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1" activeTab="13"/>
  </bookViews>
  <sheets>
    <sheet name="príjmová časť" sheetId="1" state="hidden" r:id="rId1"/>
    <sheet name="príjmy" sheetId="2" r:id="rId2"/>
    <sheet name="Program 1" sheetId="3" state="hidden" r:id="rId3"/>
    <sheet name="Program 2" sheetId="4" state="hidden" r:id="rId4"/>
    <sheet name="Program 3" sheetId="5" state="hidden" r:id="rId5"/>
    <sheet name="Program 4" sheetId="6" state="hidden" r:id="rId6"/>
    <sheet name="Program 5" sheetId="7" state="hidden" r:id="rId7"/>
    <sheet name="Program 6" sheetId="8" state="hidden" r:id="rId8"/>
    <sheet name="Program 7" sheetId="9" state="hidden" r:id="rId9"/>
    <sheet name="Program 8" sheetId="10" state="hidden" r:id="rId10"/>
    <sheet name="Program 9" sheetId="11" state="hidden" r:id="rId11"/>
    <sheet name="Program 10" sheetId="12" state="hidden" r:id="rId12"/>
    <sheet name="Bilancia" sheetId="13" state="hidden" r:id="rId13"/>
    <sheet name="výdavky" sheetId="14" r:id="rId14"/>
    <sheet name="Hárok1" sheetId="15" state="hidden" r:id="rId15"/>
  </sheets>
  <definedNames>
    <definedName name="Excel_BuiltIn_Print_Area_1">'výdavky'!$A$1:$AV$754</definedName>
    <definedName name="_xlnm.Print_Area" localSheetId="1">'príjmy'!$A$1:$P$252</definedName>
    <definedName name="_xlnm.Print_Area" localSheetId="13">'výdavky'!$A$1:$J$765</definedName>
  </definedNames>
  <calcPr fullCalcOnLoad="1"/>
</workbook>
</file>

<file path=xl/sharedStrings.xml><?xml version="1.0" encoding="utf-8"?>
<sst xmlns="http://schemas.openxmlformats.org/spreadsheetml/2006/main" count="2395" uniqueCount="914">
  <si>
    <t>P  R  Í  J  M  O V  Á     Č  A S  Ť</t>
  </si>
  <si>
    <t>Bežné príjmy</t>
  </si>
  <si>
    <t>1. Daňové príjmy</t>
  </si>
  <si>
    <t>1.1</t>
  </si>
  <si>
    <t>Výnos dane z príjmov poukázaný územnej samospráve</t>
  </si>
  <si>
    <t>v zmysle zákona č. 564/2004 Z.z. o rozpočtovom určení výnosu dane z príjmov územnej samospráve a o zmene a doplnení niektorých zákonov v znení neskorších predpisov</t>
  </si>
  <si>
    <t>1.2</t>
  </si>
  <si>
    <t>Daň z nehnuteľností</t>
  </si>
  <si>
    <t>Daň z nehnuteľnosti upravuje zákon č.582/2004 o miestnych daniach a poplatku za komunálne odpady a drobné stavebné odpady v znení neskorších predpisov. Daň z nehnuteľností sa člení na daň z pozemkov, daň zo stavieb a daň z bytov a nebytových priestorov. Pre vyrubenie dane je rozhodujúci stav k 1.januáru zdaňovacieho obdobia. Na zmeny skutočností rozhodujúcich pre daňovú povinnosť, ktoré nastanú v priebehu zdaňovacieho obdobia sa neprihliada, ak zákon neustanovuje inak.</t>
  </si>
  <si>
    <t>1.3</t>
  </si>
  <si>
    <t>Daň za užívanie verejného priestranstva</t>
  </si>
  <si>
    <t>Predmetom dane za užívanie verejného priestranstva je v zmysle zákona č.582/2004 Z.z. o miestnych daniach a poplatku za komunálne odpady a drobné stavebné odpady v znení neskorších predpisov osobitné užívanie verejného priestranstva (umiestnenie zariadenia na poskytovanie služieb, stavebného zariadenia, predajného zariadenia,  skládky, trvalé parkovanie vozidla).</t>
  </si>
  <si>
    <t>1.4</t>
  </si>
  <si>
    <t>Daň za psa</t>
  </si>
  <si>
    <t>Predmetom dane za psa v súlade so zákonom č. 582/2004 Z.z. o miestnych daniach a poplatku za komunálne odpady a drobné stavebné odpady je pes starší ako 6 mesiacov chovaný fyzickou osobou alebo právnickou osobou.</t>
  </si>
  <si>
    <t>1.5</t>
  </si>
  <si>
    <t>Daň za predajné automaty</t>
  </si>
  <si>
    <t xml:space="preserve">Daň za predajné automaty upravuje zákon č. 582/2004 Z.z. o miestnych daniach a poplatku za komunálne odpady a drobné stavebné odpady. </t>
  </si>
  <si>
    <t>1.6</t>
  </si>
  <si>
    <t>Daň za umiestnenie jadrového zariadenia</t>
  </si>
  <si>
    <t>1.7</t>
  </si>
  <si>
    <t>Poplatok za komunálne odpady a drobné stavebné odpady</t>
  </si>
  <si>
    <t xml:space="preserve">Miestny poplatok za komunálne odpady a drobné stavebné odpady sa v zmysle zákona č.582/2004 Z.z. o miestnych daniach a poplatku za komunálne a drobné stavebné odpady v znení neskorších predpisov sa platí za komunálne odpady a drobné stavebné odpady, ktoré vznikajú na území obce. </t>
  </si>
  <si>
    <t>2. Nedaňové príjmy</t>
  </si>
  <si>
    <t>2.1</t>
  </si>
  <si>
    <t>Príjmy z prenajatých pozemkov</t>
  </si>
  <si>
    <t>príjem vyplýva z uzatvorených platných nájomných zmlúv.</t>
  </si>
  <si>
    <t>2.2</t>
  </si>
  <si>
    <t>Príjmy z prenajatých budov</t>
  </si>
  <si>
    <t xml:space="preserve">príjem z uzatvorených platných nájomných zmlúv na prenájom budov </t>
  </si>
  <si>
    <t>2.3</t>
  </si>
  <si>
    <t>Príjmy z prenajatých strojov a zariadení</t>
  </si>
  <si>
    <t>Príjem poplatku za čistenie odpadu na ČOV</t>
  </si>
  <si>
    <t>2.4</t>
  </si>
  <si>
    <t>Ostatné administratívne poplatky</t>
  </si>
  <si>
    <t>administratívne poplatky – správne poplatky vyberané podľa zákona č. 145/1995 Z.z. o správnych poplatkoch v znení neskorších predpisov – vyhotovenie a osvedčenie matričných dokladov, vyhotovenie odpisu, výpisu z úradných kníh, správny poplatok z reklamy, za vydanie rybárskych  lístkov, žiadosť o povolenie stavby a o dodatočné povolenie stavby a pod.</t>
  </si>
  <si>
    <t>2.5</t>
  </si>
  <si>
    <t>Pokuty a penále za porušenie predpisov</t>
  </si>
  <si>
    <t>pokuty za priestupky, zmluvné pokuty, za porušenie predpisov stavebného zákona, v oblasti odpadového hospodárstva, za porušenie cestného zákona a pod.</t>
  </si>
  <si>
    <t>2.6</t>
  </si>
  <si>
    <t>Príjmy za služby hospodárskej činnosti obce</t>
  </si>
  <si>
    <t>2.7</t>
  </si>
  <si>
    <t>Predaj výrobkov, tovarov a služieb</t>
  </si>
  <si>
    <t>Prenájom kultúrneho domu, multifunkčného ihriska</t>
  </si>
  <si>
    <t>2.8</t>
  </si>
  <si>
    <t>Úroky z vkladov</t>
  </si>
  <si>
    <t>2.9</t>
  </si>
  <si>
    <t>Školské zariadenia</t>
  </si>
  <si>
    <t>poplatky za materské školy, školské kluby detí, za stravné v zariadení školského stravovania</t>
  </si>
  <si>
    <t>2.10</t>
  </si>
  <si>
    <t>Stravné</t>
  </si>
  <si>
    <t>príspevky zamestnancov za stravovanie</t>
  </si>
  <si>
    <t>2.11</t>
  </si>
  <si>
    <t>Ostatné</t>
  </si>
  <si>
    <t>predmetné príjmy zahŕňajú predovšetkým príjmy z dobropisov, vratiek zo zúčtovania za predchádzajúci rok, dividendy, výťažky lotérií</t>
  </si>
  <si>
    <t>3. Granty a transfery</t>
  </si>
  <si>
    <t>3.1</t>
  </si>
  <si>
    <t>Dotácia na základné vzdelanie s bežnou starostlivosťou</t>
  </si>
  <si>
    <t>3.2</t>
  </si>
  <si>
    <t>Dotácia na predškolskú výchovu</t>
  </si>
  <si>
    <t>3.3</t>
  </si>
  <si>
    <t>Dotácia na matričnú činnosť</t>
  </si>
  <si>
    <t>3.4</t>
  </si>
  <si>
    <t>Dotácia na podporu zamestnanosti (aktivačná činnosť)</t>
  </si>
  <si>
    <t>3.5</t>
  </si>
  <si>
    <t>Dotácia na deti zo sociálne znevýhodneného prostredia</t>
  </si>
  <si>
    <t>3.6</t>
  </si>
  <si>
    <t>Dotácia na dopravné</t>
  </si>
  <si>
    <t>3.7</t>
  </si>
  <si>
    <t>Dotácia na vzdelávacie poukazy</t>
  </si>
  <si>
    <t>3.8</t>
  </si>
  <si>
    <t>Dotácia na školské potreby</t>
  </si>
  <si>
    <t>3.9</t>
  </si>
  <si>
    <t>3.10</t>
  </si>
  <si>
    <t>Transfer na deti v hmotnej núdzi (stravovanie)</t>
  </si>
  <si>
    <t>3.11</t>
  </si>
  <si>
    <t>Dotácia z NSK</t>
  </si>
  <si>
    <t>3.12</t>
  </si>
  <si>
    <t>3.13</t>
  </si>
  <si>
    <t>Dotácia na voľby</t>
  </si>
  <si>
    <t>Kapitálové príjmy</t>
  </si>
  <si>
    <t>1. Nedaňové príjmy</t>
  </si>
  <si>
    <t>2. Granty a transfery</t>
  </si>
  <si>
    <t>Zateplenie MŠ</t>
  </si>
  <si>
    <t>Odvodnenie Dukelskej ulice</t>
  </si>
  <si>
    <t>Leader</t>
  </si>
  <si>
    <t>Rozšírenie kamerového systému</t>
  </si>
  <si>
    <t>Rekonštrukcia základnej školy</t>
  </si>
  <si>
    <t>Výstavba zberného dvora</t>
  </si>
  <si>
    <t>Rekonštrukcia komunitného centra</t>
  </si>
  <si>
    <t>Príjmové finančné operácie</t>
  </si>
  <si>
    <t>Bankové úvery dlhodobé</t>
  </si>
  <si>
    <t>Rekapitulácia</t>
  </si>
  <si>
    <t>Celkové príjmy</t>
  </si>
  <si>
    <t>daňové príjmy</t>
  </si>
  <si>
    <t>Daňové príjmy - dane z príjmov, dane z majetku</t>
  </si>
  <si>
    <t>003.</t>
  </si>
  <si>
    <t>Výnos dane z príjmov poukázaný samospráve</t>
  </si>
  <si>
    <t>001.</t>
  </si>
  <si>
    <t>Daň z pozemkov</t>
  </si>
  <si>
    <t>002.</t>
  </si>
  <si>
    <t>Daň zo stavieb</t>
  </si>
  <si>
    <t>Daň z bytov</t>
  </si>
  <si>
    <t>Daňové príjmy - dane za špecifické služby</t>
  </si>
  <si>
    <t>012.</t>
  </si>
  <si>
    <t>013.</t>
  </si>
  <si>
    <t xml:space="preserve">Daň za komunálny odpad </t>
  </si>
  <si>
    <t>014.</t>
  </si>
  <si>
    <t>Daň za umiestnenie jadrového zar.</t>
  </si>
  <si>
    <t>Daňové príjmy celkom</t>
  </si>
  <si>
    <t>nedaňové príjmy</t>
  </si>
  <si>
    <t>Nedaňové príjmy - z podnikania a z vlastníctva majetku</t>
  </si>
  <si>
    <t>Dividendy</t>
  </si>
  <si>
    <t>004.</t>
  </si>
  <si>
    <t>Príjmy z pren. Strojov a zar. (ČOV)</t>
  </si>
  <si>
    <t>Nedaňové príjmy - administratívne poplatky a iné platby</t>
  </si>
  <si>
    <t>Správne poplatky</t>
  </si>
  <si>
    <t>Za porušenie predpisov</t>
  </si>
  <si>
    <t>Predaj výrobkov, tovarov a služieb-multif.ihr.</t>
  </si>
  <si>
    <t>Za MŠ, školský klub detí</t>
  </si>
  <si>
    <t>Za stravné /MŠ/</t>
  </si>
  <si>
    <t>Za stravné /ZŠ/</t>
  </si>
  <si>
    <t>005.</t>
  </si>
  <si>
    <t>za znečisťovanie ovzdušia</t>
  </si>
  <si>
    <t>Iné nedaňové príjmy</t>
  </si>
  <si>
    <t>Úroky z úverov a vkladov</t>
  </si>
  <si>
    <t>Úroky z vkladov ZŠ, MŠ</t>
  </si>
  <si>
    <t>006.</t>
  </si>
  <si>
    <t>Z náhrad z poistného plnenie</t>
  </si>
  <si>
    <t>008.</t>
  </si>
  <si>
    <t>Z výťažkov z lotérií</t>
  </si>
  <si>
    <t>019.</t>
  </si>
  <si>
    <t>z refundácie</t>
  </si>
  <si>
    <t>017.</t>
  </si>
  <si>
    <t>Z vratiek</t>
  </si>
  <si>
    <t>Nedaňové príjmy spolu</t>
  </si>
  <si>
    <t>granty a transfery</t>
  </si>
  <si>
    <t>Tuzemské bežné granty a transfery</t>
  </si>
  <si>
    <t>Dotácia na školstvo</t>
  </si>
  <si>
    <t>Dotácia na školstvo - kredit.prípl.</t>
  </si>
  <si>
    <t>Dotácia na školstvo-MŠ</t>
  </si>
  <si>
    <t>Dotácia na matričnú činnosť,evid.obyv.</t>
  </si>
  <si>
    <t>Dotácia na podporu zamestnanosti</t>
  </si>
  <si>
    <t>Dotácia pre deti zo soc.znevýh.prostr.</t>
  </si>
  <si>
    <t xml:space="preserve">001. </t>
  </si>
  <si>
    <t>Transfer na osobitného príjemcu-RP</t>
  </si>
  <si>
    <t>Transfer na osobitného príjemcu - HN</t>
  </si>
  <si>
    <t>dotácia - zberný dvor</t>
  </si>
  <si>
    <t>Tuzemské granty a transfery</t>
  </si>
  <si>
    <t>Granty a transfery spolu</t>
  </si>
  <si>
    <t>Bežné príjmy spolu</t>
  </si>
  <si>
    <t>2. úprava rozpočtu</t>
  </si>
  <si>
    <t>plnenie III. Q</t>
  </si>
  <si>
    <t>Príjem z predaja kapitálových aktív</t>
  </si>
  <si>
    <t>Príjem z predaja pozemkov a nehm.aktív</t>
  </si>
  <si>
    <t>Zo ŠR - kamerový systém</t>
  </si>
  <si>
    <t>MŽP (zberný dvor)</t>
  </si>
  <si>
    <t>Kapitálové príjmy spolu</t>
  </si>
  <si>
    <t>príjmy z ostatných finančných operácií</t>
  </si>
  <si>
    <t>Prevod z rezervného fondu obce</t>
  </si>
  <si>
    <t>Prevod z ostatných fondov obce</t>
  </si>
  <si>
    <t>Príjmy z ostatných finančných operácií</t>
  </si>
  <si>
    <t>úvery, pôžičky a návratné finančné výpomoci</t>
  </si>
  <si>
    <t>Ostatné úvery a návratné finančné výpomoci</t>
  </si>
  <si>
    <t>Tuzemské úvery, pôžičky a návratné finančné výpomoci</t>
  </si>
  <si>
    <t>Vlastné príjmy RO s právnou subjektivitou</t>
  </si>
  <si>
    <t>Základná škola</t>
  </si>
  <si>
    <t>Základná škola s VJM</t>
  </si>
  <si>
    <t>Materská škola</t>
  </si>
  <si>
    <t>SUMARIZÁCIA</t>
  </si>
  <si>
    <t>Rozpočtové príjmy spolu</t>
  </si>
  <si>
    <t>PROGRAM 1</t>
  </si>
  <si>
    <t>PLÁNOVANIE, MANAŽMENT A KONTROLA</t>
  </si>
  <si>
    <t>Rok</t>
  </si>
  <si>
    <t>Pod-</t>
  </si>
  <si>
    <t>Funkčná,</t>
  </si>
  <si>
    <t>Názov</t>
  </si>
  <si>
    <t>prog-</t>
  </si>
  <si>
    <t>ekonomic.</t>
  </si>
  <si>
    <t xml:space="preserve"> rozpočet</t>
  </si>
  <si>
    <t>v €</t>
  </si>
  <si>
    <t>v  €</t>
  </si>
  <si>
    <t>ram</t>
  </si>
  <si>
    <t>klasifik.</t>
  </si>
  <si>
    <t xml:space="preserve">PROGRAM 1:     Manažment, služby občanom </t>
  </si>
  <si>
    <t>v</t>
  </si>
  <si>
    <t>BEŽNÉ VÝDAVKY SPOLU:</t>
  </si>
  <si>
    <t>tom:</t>
  </si>
  <si>
    <t>KAPITÁLOVÉ VÝDAVKY SPOLU:</t>
  </si>
  <si>
    <t>FINANČNÉ OPERÁCIE SPOLU:</t>
  </si>
  <si>
    <t>Verejná správa</t>
  </si>
  <si>
    <t>Aktivita č.1</t>
  </si>
  <si>
    <t>Činnosť obecného úradu</t>
  </si>
  <si>
    <t>01.1.1.6.</t>
  </si>
  <si>
    <t>Obce</t>
  </si>
  <si>
    <t>610</t>
  </si>
  <si>
    <t>Mzdy, platy a ostatné osobné vyrovnania</t>
  </si>
  <si>
    <t>620</t>
  </si>
  <si>
    <t>Poistné a príspevky do poisťovní</t>
  </si>
  <si>
    <t>631</t>
  </si>
  <si>
    <t>Cestovné náhrady</t>
  </si>
  <si>
    <t>632</t>
  </si>
  <si>
    <t>Energie a telekomunikácie</t>
  </si>
  <si>
    <t>633</t>
  </si>
  <si>
    <t>Materiál</t>
  </si>
  <si>
    <t>634</t>
  </si>
  <si>
    <t>Dopravné</t>
  </si>
  <si>
    <t>635</t>
  </si>
  <si>
    <t xml:space="preserve">Rutinná a štandardná údržba </t>
  </si>
  <si>
    <t>636</t>
  </si>
  <si>
    <t>Nájomné za prenájom</t>
  </si>
  <si>
    <t>637</t>
  </si>
  <si>
    <t>Služby</t>
  </si>
  <si>
    <t>711</t>
  </si>
  <si>
    <t>Nákup pozemkov</t>
  </si>
  <si>
    <t>Aktivita č.2</t>
  </si>
  <si>
    <t>Činnosť samosprávnych orgánov obce</t>
  </si>
  <si>
    <t>HK</t>
  </si>
  <si>
    <t>Odmeny poslancom a členom komisií OcZ</t>
  </si>
  <si>
    <t>Členstvo v samosprávnych organizáciách a združeniach</t>
  </si>
  <si>
    <t>642</t>
  </si>
  <si>
    <t>1</t>
  </si>
  <si>
    <t>Členské príspevky do združení</t>
  </si>
  <si>
    <t>2</t>
  </si>
  <si>
    <t>neziskovým organizáciám</t>
  </si>
  <si>
    <t>Manažment investícií</t>
  </si>
  <si>
    <t>01.1.1.6</t>
  </si>
  <si>
    <t>Transakcie verejného dlhu</t>
  </si>
  <si>
    <t>651</t>
  </si>
  <si>
    <t xml:space="preserve">Splácanie úrokov z úverov </t>
  </si>
  <si>
    <t>01.1.2</t>
  </si>
  <si>
    <t>Finančná a rozpočtová oblasť</t>
  </si>
  <si>
    <t>630</t>
  </si>
  <si>
    <t>Poplatky banke</t>
  </si>
  <si>
    <t>3</t>
  </si>
  <si>
    <t>Špeciálne služby / audit/</t>
  </si>
  <si>
    <t>4</t>
  </si>
  <si>
    <t>Za služby poskytnuté v rámci ROP - regen.sídel</t>
  </si>
  <si>
    <t>5</t>
  </si>
  <si>
    <t>Provízie za poskytnutie úveru</t>
  </si>
  <si>
    <t>FINANČNÉ OPERÁCIE VÝDAVKOVÉ SPOLU:</t>
  </si>
  <si>
    <t>824</t>
  </si>
  <si>
    <t>6</t>
  </si>
  <si>
    <t>821</t>
  </si>
  <si>
    <t>7</t>
  </si>
  <si>
    <t>Splatenie istiny úveru</t>
  </si>
  <si>
    <t>Služby občanom</t>
  </si>
  <si>
    <t>01.3.3.</t>
  </si>
  <si>
    <t>Iné všeobecné služby</t>
  </si>
  <si>
    <t>Mzdy</t>
  </si>
  <si>
    <t>Poistné</t>
  </si>
  <si>
    <t>Energie, voda, komunikácie</t>
  </si>
  <si>
    <t xml:space="preserve">Materiál </t>
  </si>
  <si>
    <t>Voľby a referendá</t>
  </si>
  <si>
    <t>01.8.0</t>
  </si>
  <si>
    <t xml:space="preserve">Všeobecné verejné služby inde neklasifikované    </t>
  </si>
  <si>
    <t xml:space="preserve">voľby  </t>
  </si>
  <si>
    <t>PROGRAM 2:</t>
  </si>
  <si>
    <t>OCHRANA OBYVATEĽSTVA</t>
  </si>
  <si>
    <t>Civilná ochrana</t>
  </si>
  <si>
    <t>02.2.0</t>
  </si>
  <si>
    <t>Poštovné a telekomunikačné služby</t>
  </si>
  <si>
    <t>Odmeny a príspevky</t>
  </si>
  <si>
    <t>PROGRAM 3:</t>
  </si>
  <si>
    <t>BEZPEČNOSŤ, PRÁVO A PORIADOK</t>
  </si>
  <si>
    <t>Verejný poriadok a bezpečnosť</t>
  </si>
  <si>
    <t>03.1.0.</t>
  </si>
  <si>
    <t>Policajné služby</t>
  </si>
  <si>
    <t xml:space="preserve">Cestovné náhrady </t>
  </si>
  <si>
    <t>Materiálne zabezpečenie</t>
  </si>
  <si>
    <t xml:space="preserve">Dopravné </t>
  </si>
  <si>
    <t>Údržba výpočtovej techniky</t>
  </si>
  <si>
    <t>8</t>
  </si>
  <si>
    <t>Služby, školenia</t>
  </si>
  <si>
    <t>9</t>
  </si>
  <si>
    <t>Transfery (členské)</t>
  </si>
  <si>
    <t>10</t>
  </si>
  <si>
    <t>Odmeny na základe dohôd</t>
  </si>
  <si>
    <t>Monitorovací kamerový systém</t>
  </si>
  <si>
    <t>713</t>
  </si>
  <si>
    <t>Kamerový systém + rozšírenie starého kam.systému</t>
  </si>
  <si>
    <t>Ochrana pred požiarmi</t>
  </si>
  <si>
    <t>03.2.0.</t>
  </si>
  <si>
    <t>Požiarna ochrana</t>
  </si>
  <si>
    <t xml:space="preserve">Energie </t>
  </si>
  <si>
    <t>Rutinná a štandardná údržba</t>
  </si>
  <si>
    <t>Služby v súvislosti s požiarnou ochranou</t>
  </si>
  <si>
    <t>PROGRAM 4: KOMUNIKÁCIE, VÝSTAVBA A ROZVOJ OBCE</t>
  </si>
  <si>
    <t>PROSTREDIE PRE ŽIVOT</t>
  </si>
  <si>
    <t>PROGRAM 4:    Komunikácie, výstavba a rozvoj obce</t>
  </si>
  <si>
    <t>Menšie obecné služby</t>
  </si>
  <si>
    <t>04.1.2.0</t>
  </si>
  <si>
    <t>Všeobecno - pracovná oblasť</t>
  </si>
  <si>
    <t>Mzdy, platy, ostatné osobné vyrovnania</t>
  </si>
  <si>
    <t>Palivo, mazivo</t>
  </si>
  <si>
    <t>Správa a údržba miestnych komunikácií</t>
  </si>
  <si>
    <t>04.5.1.0</t>
  </si>
  <si>
    <t xml:space="preserve">Cestná doprava </t>
  </si>
  <si>
    <t>700</t>
  </si>
  <si>
    <t xml:space="preserve">Asfaltovanie komunikácií  </t>
  </si>
  <si>
    <t>Rutinná a štandartná údržba</t>
  </si>
  <si>
    <t>Výstavba obce</t>
  </si>
  <si>
    <t>04.4.3.0</t>
  </si>
  <si>
    <t>Geometrické plány, štúdie a usporiadanie majetku</t>
  </si>
  <si>
    <t>Správa a údržba majetku</t>
  </si>
  <si>
    <t>04.1.1.0</t>
  </si>
  <si>
    <t>Všeobecná ekonomická a obchodná činnosť</t>
  </si>
  <si>
    <t>Štandardná úrdržba</t>
  </si>
  <si>
    <t>Odstupné</t>
  </si>
  <si>
    <t>na nemocenské dávky</t>
  </si>
  <si>
    <t>04.1.1-0</t>
  </si>
  <si>
    <t>PROGRAM 5</t>
  </si>
  <si>
    <t>ODPADOVÉ HOSPODÁRSTVO</t>
  </si>
  <si>
    <t>Odvoz a zneškodňovanie odpadu</t>
  </si>
  <si>
    <t>05.1.0.</t>
  </si>
  <si>
    <t>Nakladanie s odpadmi</t>
  </si>
  <si>
    <t>Služby - odvoz a likvidácia odpadu</t>
  </si>
  <si>
    <t>externý manažment</t>
  </si>
  <si>
    <t>05.1.0</t>
  </si>
  <si>
    <t>Nakladanie s odpadovými vodami</t>
  </si>
  <si>
    <t>05.2.0.</t>
  </si>
  <si>
    <t>Služby - servis</t>
  </si>
  <si>
    <t xml:space="preserve">poistné  </t>
  </si>
  <si>
    <t>Výstavba kanalizácie</t>
  </si>
  <si>
    <t>Ochrana životného prostredia</t>
  </si>
  <si>
    <t>05.6.0</t>
  </si>
  <si>
    <t>Materiál – povodeň</t>
  </si>
  <si>
    <t>Špeciálne služby</t>
  </si>
  <si>
    <t>PROGRAM 6</t>
  </si>
  <si>
    <t>OBČIANSKA VYBAVENOSŤ</t>
  </si>
  <si>
    <t>Rozvoj obce</t>
  </si>
  <si>
    <t>06.2.0.</t>
  </si>
  <si>
    <t>poistenie - centrum obce</t>
  </si>
  <si>
    <t>špeciálne služby</t>
  </si>
  <si>
    <t>716</t>
  </si>
  <si>
    <t>Projektová dokumentácia</t>
  </si>
  <si>
    <t>717</t>
  </si>
  <si>
    <t>Verejné osvetlenie</t>
  </si>
  <si>
    <t>06.4.0.</t>
  </si>
  <si>
    <t>Rekonštrukcia verejného osvetlenia</t>
  </si>
  <si>
    <t>PROGRAM 7</t>
  </si>
  <si>
    <t>ZDRAVOTNÁ STAROSTLIVOSŤ</t>
  </si>
  <si>
    <t>Zdravotné stredisko</t>
  </si>
  <si>
    <t>07.6.0</t>
  </si>
  <si>
    <t>Zdravotníctvo inde neklasifikované</t>
  </si>
  <si>
    <t>07.6.0.</t>
  </si>
  <si>
    <t>Rekonštrukcia zdravotného strediska</t>
  </si>
  <si>
    <t>PROGRAM 8</t>
  </si>
  <si>
    <t>ŠPORT A KULTÚRA</t>
  </si>
  <si>
    <t>Športový areál</t>
  </si>
  <si>
    <t>08.1.0.0.</t>
  </si>
  <si>
    <t>Rekreačné a športové služby</t>
  </si>
  <si>
    <t>Energie</t>
  </si>
  <si>
    <t xml:space="preserve">Materiál  </t>
  </si>
  <si>
    <t>Prepravné</t>
  </si>
  <si>
    <t>Transfery športovým klubom</t>
  </si>
  <si>
    <t>TJ Družstevník Tekovské Lužany</t>
  </si>
  <si>
    <t>STK Tekovské Lužany</t>
  </si>
  <si>
    <t>Jednotlivci a ostatné športové aktivity</t>
  </si>
  <si>
    <t xml:space="preserve">Podpora kultúrnych a iných spoločenských aktivít </t>
  </si>
  <si>
    <t>Kultúrne služby</t>
  </si>
  <si>
    <t>08.2.0.1</t>
  </si>
  <si>
    <t>Mzdy, platy a ostatné služobné vyrovnania</t>
  </si>
  <si>
    <t>Všeobecný materiál</t>
  </si>
  <si>
    <t>Reprezentačné</t>
  </si>
  <si>
    <t>Knižničné služby</t>
  </si>
  <si>
    <t>08.2.0.5</t>
  </si>
  <si>
    <t>Knižnica</t>
  </si>
  <si>
    <t>11</t>
  </si>
  <si>
    <t>Tovary a služby</t>
  </si>
  <si>
    <t>Aktivita č.3</t>
  </si>
  <si>
    <t>Organizácia občianskych obradov</t>
  </si>
  <si>
    <t>08.2.0.9</t>
  </si>
  <si>
    <t>Ostatné kultúrne služby</t>
  </si>
  <si>
    <t>12</t>
  </si>
  <si>
    <t>Špeciálne služby (ZPOZ)</t>
  </si>
  <si>
    <t>Transfery kultúre</t>
  </si>
  <si>
    <t>640</t>
  </si>
  <si>
    <t>Mažoretky</t>
  </si>
  <si>
    <t>Obecné slávnosti</t>
  </si>
  <si>
    <t>Transfery občianskym združeniam</t>
  </si>
  <si>
    <t>08.4.0.</t>
  </si>
  <si>
    <t>Náboženské a iné spoločenské služby</t>
  </si>
  <si>
    <t>Transfer cirkvi, nábož.spoločnosti, cirkevnej charite</t>
  </si>
  <si>
    <t>Transfer ostaným občianskym združeniam</t>
  </si>
  <si>
    <t>Správa cintorínov</t>
  </si>
  <si>
    <t>PROGRAM 9</t>
  </si>
  <si>
    <t>VZDELÁVANIE</t>
  </si>
  <si>
    <t>09.1.1.1.</t>
  </si>
  <si>
    <t>Predškolská výchova s bežnou starostlivosťou</t>
  </si>
  <si>
    <t>610,620</t>
  </si>
  <si>
    <t>Mzdy a odvody</t>
  </si>
  <si>
    <t>630,640</t>
  </si>
  <si>
    <t>Potraviny</t>
  </si>
  <si>
    <t>školské potreby</t>
  </si>
  <si>
    <t>dotácia na deti v predškolskom veku</t>
  </si>
  <si>
    <t>Rekonštrukcia materskej školy</t>
  </si>
  <si>
    <t>09.1.2.1.</t>
  </si>
  <si>
    <t>Základné vzdelanie s bežnou starostlivosťou</t>
  </si>
  <si>
    <t>Tovary a služby - z účtu obce</t>
  </si>
  <si>
    <t>ŠKD</t>
  </si>
  <si>
    <t>dotácia na dopravné</t>
  </si>
  <si>
    <t>dotácie pre deti zo sociálne znevýhodneného prostredia</t>
  </si>
  <si>
    <t>dotácia na školské potreby</t>
  </si>
  <si>
    <t>príspevok na školské potreby z rozpočtu obce</t>
  </si>
  <si>
    <t>dotácia na vzdelávacie poukazy</t>
  </si>
  <si>
    <t>Zariadenie školského stravovania</t>
  </si>
  <si>
    <t>09.6.0.1.</t>
  </si>
  <si>
    <t>Školské stravovacie zariadenia</t>
  </si>
  <si>
    <t>Odvody</t>
  </si>
  <si>
    <t xml:space="preserve">Všeobecný materiál </t>
  </si>
  <si>
    <t>Prevádzkové stroje a prístroje</t>
  </si>
  <si>
    <t>PROGRAM 10</t>
  </si>
  <si>
    <t xml:space="preserve"> SOCIÁLNE SLUŽBY</t>
  </si>
  <si>
    <t>SOCIÁLNE SLUŽBY</t>
  </si>
  <si>
    <t>Seniori</t>
  </si>
  <si>
    <t>10.2.0.1</t>
  </si>
  <si>
    <t>Staroba</t>
  </si>
  <si>
    <t>Stravovanie dôchodcov</t>
  </si>
  <si>
    <t>Vianočné poukážky</t>
  </si>
  <si>
    <t>Opatrovateľská služba</t>
  </si>
  <si>
    <t>Sociálna pomoc občanom</t>
  </si>
  <si>
    <t>10.7.0.2</t>
  </si>
  <si>
    <t>Pomoc v hmotnej a sociálnej núdzi</t>
  </si>
  <si>
    <t>Jednorázová dávka v hmotnej núdzi</t>
  </si>
  <si>
    <t>Príspevok na pohreb</t>
  </si>
  <si>
    <t>Komunitné centrum</t>
  </si>
  <si>
    <t>10.4.0.2.</t>
  </si>
  <si>
    <t>Sociálne príspevky pre deti</t>
  </si>
  <si>
    <t>10.4.0.</t>
  </si>
  <si>
    <t>Rodina a deti</t>
  </si>
  <si>
    <t>Príspevok na stravovanie detí v hmotnej núdzi</t>
  </si>
  <si>
    <t>Príspevok na osobitného príjemcu</t>
  </si>
  <si>
    <t>BILANCIA PROGRAMOVÉHO ROZPOČTU OBCE TEKOVSKÉ LUŽANY</t>
  </si>
  <si>
    <t>CELKOVÁ BILANCIA ROZPOČTU</t>
  </si>
  <si>
    <t xml:space="preserve">Rok </t>
  </si>
  <si>
    <t>Rozpočtové zdroje:</t>
  </si>
  <si>
    <t>Finančné operácie príjmové</t>
  </si>
  <si>
    <t>ROZPOČTOVÉ ZDROJE SPOLU</t>
  </si>
  <si>
    <t>Rozpočtové výdavky:</t>
  </si>
  <si>
    <t>Bežné výdavky</t>
  </si>
  <si>
    <t>Kapitálové výdavky</t>
  </si>
  <si>
    <t>Finančné operácie výdavkové</t>
  </si>
  <si>
    <t>ROZPOČTOVÉ VÝDAVKY SPOLU</t>
  </si>
  <si>
    <t>ROZDIEL</t>
  </si>
  <si>
    <t>DRUHOVÁ BILANCIA ROZPOČTU</t>
  </si>
  <si>
    <t>rozdiel</t>
  </si>
  <si>
    <t>Výdavkové finančné operácie</t>
  </si>
  <si>
    <t>Rozpočtové zdroje</t>
  </si>
  <si>
    <t>Rozpočtové výdavky</t>
  </si>
  <si>
    <t>€</t>
  </si>
  <si>
    <t>Občianska vybavenosť</t>
  </si>
  <si>
    <t>Vzdelávanie</t>
  </si>
  <si>
    <t>Sumarizácia</t>
  </si>
  <si>
    <t>01 všeobecné verejné služby</t>
  </si>
  <si>
    <t>01.1.1 Výdavky verejnej správy</t>
  </si>
  <si>
    <t>Mzdy, platy, sl.príjmy a ost.os.vyrovnania</t>
  </si>
  <si>
    <t>voľby</t>
  </si>
  <si>
    <t>Na úrazové poistenie</t>
  </si>
  <si>
    <t>z toho  631</t>
  </si>
  <si>
    <t>Energia, voda, telekomunikácie</t>
  </si>
  <si>
    <t>v tom:energia, telekomunikácie-voľby</t>
  </si>
  <si>
    <t>Materiál:</t>
  </si>
  <si>
    <t>interiérové vybavenie</t>
  </si>
  <si>
    <t>výpočtová technika</t>
  </si>
  <si>
    <t>prevádzkové stroje a zariadenia</t>
  </si>
  <si>
    <t>všeobecný materiál - životné prostredie</t>
  </si>
  <si>
    <t>všeobecný materiál</t>
  </si>
  <si>
    <t>009.</t>
  </si>
  <si>
    <t>knihy, časopisy</t>
  </si>
  <si>
    <t>010.</t>
  </si>
  <si>
    <t>pracovné odevy pomôcky</t>
  </si>
  <si>
    <t>011.</t>
  </si>
  <si>
    <t>potraviny</t>
  </si>
  <si>
    <t>softvér a licencie</t>
  </si>
  <si>
    <t>016.</t>
  </si>
  <si>
    <t>reprezentačné</t>
  </si>
  <si>
    <t>Doprava:</t>
  </si>
  <si>
    <t>palivo, mazivá, oleje</t>
  </si>
  <si>
    <t>v tom:palivá,mazivá, oleje - voľby</t>
  </si>
  <si>
    <t>údržba, opravy</t>
  </si>
  <si>
    <t>poistenie</t>
  </si>
  <si>
    <t>prepravné</t>
  </si>
  <si>
    <t>karty, známky, poplatky</t>
  </si>
  <si>
    <t>Rutinná a štandartná údržba:</t>
  </si>
  <si>
    <t>výpočtovej techniky</t>
  </si>
  <si>
    <t>prevádzkových strojov a zariadení</t>
  </si>
  <si>
    <t>budov, priestorov a objektov</t>
  </si>
  <si>
    <t>Nájomné za prenájom:</t>
  </si>
  <si>
    <t>dopravných prostriedkov</t>
  </si>
  <si>
    <t>Služby:</t>
  </si>
  <si>
    <t>školenia, kurzy, semináre</t>
  </si>
  <si>
    <t>031.</t>
  </si>
  <si>
    <t>pokuty a penále</t>
  </si>
  <si>
    <t>propagácia, reklama a inzercia</t>
  </si>
  <si>
    <t>všeobecné služby</t>
  </si>
  <si>
    <t>poplatky, odvody a dane</t>
  </si>
  <si>
    <t>stravovanie</t>
  </si>
  <si>
    <t>stravovanie - voľby</t>
  </si>
  <si>
    <t>015.</t>
  </si>
  <si>
    <t>poistné</t>
  </si>
  <si>
    <t>prídel do sociálneho fondu</t>
  </si>
  <si>
    <t>018.</t>
  </si>
  <si>
    <t>vrátenie príjmov z mr</t>
  </si>
  <si>
    <t>023.</t>
  </si>
  <si>
    <t>kolkové známky</t>
  </si>
  <si>
    <t>027.</t>
  </si>
  <si>
    <t>Odmeny a príspevky-voľby</t>
  </si>
  <si>
    <t>Bežné transfery</t>
  </si>
  <si>
    <t>občianskym združeniam</t>
  </si>
  <si>
    <t>provízie</t>
  </si>
  <si>
    <t>01.1.2 Finančná a rozpočtová oblasť</t>
  </si>
  <si>
    <t>026.</t>
  </si>
  <si>
    <t>odmeny na základe dohôd-pre čl.zast.</t>
  </si>
  <si>
    <t>Služby - audit</t>
  </si>
  <si>
    <t xml:space="preserve"> Poistné a prísp. do poisťovní-zdroj ŠR</t>
  </si>
  <si>
    <t>v tom: Pracovné odevy+materiál</t>
  </si>
  <si>
    <t>Školenia, kurzy, semináre</t>
  </si>
  <si>
    <t>01</t>
  </si>
  <si>
    <t>Všeobecné verejné služby</t>
  </si>
  <si>
    <t>02 civilná ochrana</t>
  </si>
  <si>
    <t>02.2.0 Civilná obrana</t>
  </si>
  <si>
    <t>Poštové a telekomunikačné služby</t>
  </si>
  <si>
    <t>02</t>
  </si>
  <si>
    <t>03 policajné služby</t>
  </si>
  <si>
    <t>03.1.0 Policajné služby</t>
  </si>
  <si>
    <t>cestovné náhrady</t>
  </si>
  <si>
    <t>Výpočtová technika</t>
  </si>
  <si>
    <t>Knihy, časopisy, odborná literatúra</t>
  </si>
  <si>
    <t>Pracovné odevy, obuv, prac. Pomôcky</t>
  </si>
  <si>
    <t>Palivá, mazivá, oleje</t>
  </si>
  <si>
    <t>Údržba, opravy</t>
  </si>
  <si>
    <t>Poistenie</t>
  </si>
  <si>
    <t>Služby,školenia</t>
  </si>
  <si>
    <t>Transfery (členské, odchodné)</t>
  </si>
  <si>
    <t>03.2.0 Požiarna ochrana</t>
  </si>
  <si>
    <t>Interiérové vybavenie</t>
  </si>
  <si>
    <t>Prevádzkové stroje,prístroje, zariad.</t>
  </si>
  <si>
    <t>Príspevok DHZ</t>
  </si>
  <si>
    <t>03</t>
  </si>
  <si>
    <t>Policajné služby, PO</t>
  </si>
  <si>
    <t>04 všeobecná ekonomická a obchodná oblasť</t>
  </si>
  <si>
    <t>04.1.1 Všeobecná ekonomická a obchodná oblasť</t>
  </si>
  <si>
    <t>Prevádzkové stroje, prístr.,zar.</t>
  </si>
  <si>
    <t>Pracovné odevy, obuv a prac. Pomôcky</t>
  </si>
  <si>
    <t>palivá - kosačky</t>
  </si>
  <si>
    <t>odstupné</t>
  </si>
  <si>
    <t>04.1.2 Všeobecno - pracovná oblasť /aktivačná činnosť/</t>
  </si>
  <si>
    <t>Poistné a prísp. do poisťovní - zdroj ŠR</t>
  </si>
  <si>
    <t>Materiál - zdroj ŠR</t>
  </si>
  <si>
    <t>04.4.3 Výstavba</t>
  </si>
  <si>
    <t>04.5.1 Cestná doprava</t>
  </si>
  <si>
    <t>04.7.3 Cestovný ruch</t>
  </si>
  <si>
    <t>04</t>
  </si>
  <si>
    <t>Ekonomická oblasť</t>
  </si>
  <si>
    <t>05 ochrana životného prostredia</t>
  </si>
  <si>
    <t>05.1.0 Nakladanie s odpadmi</t>
  </si>
  <si>
    <t>Palivá, mazivá a oleje</t>
  </si>
  <si>
    <t>Prenájom</t>
  </si>
  <si>
    <t>zberný dvor</t>
  </si>
  <si>
    <t>05.2.0 Nakladanie s odpadovými vodami</t>
  </si>
  <si>
    <t>Dopravné, servis</t>
  </si>
  <si>
    <t>Servis a údržba</t>
  </si>
  <si>
    <t>rutinná a štandartná údržba</t>
  </si>
  <si>
    <t>05.6.0 Ochrana životného prostredia</t>
  </si>
  <si>
    <t>05</t>
  </si>
  <si>
    <t>06 občianska vybavenosť</t>
  </si>
  <si>
    <t>06.2.0 Rozvoj obce</t>
  </si>
  <si>
    <t>poistné - centrum obce</t>
  </si>
  <si>
    <t>06.4.0 Verejné osvetlenie</t>
  </si>
  <si>
    <t>06</t>
  </si>
  <si>
    <t>07 zdravotníctvo</t>
  </si>
  <si>
    <t>07.6.0 Zdravotníctvo inde neklasifikované</t>
  </si>
  <si>
    <t>Mzdy, platy,príjmy a ost. os. vyrovn.</t>
  </si>
  <si>
    <t>07</t>
  </si>
  <si>
    <t>Zdravotníctvo</t>
  </si>
  <si>
    <t>08 športové, kultúrne a spoločenské služby</t>
  </si>
  <si>
    <t>08.1.0 Rekreačné a športové služby</t>
  </si>
  <si>
    <t xml:space="preserve">Transfery  </t>
  </si>
  <si>
    <t>v tom: TJ Družstevník</t>
  </si>
  <si>
    <t>STK</t>
  </si>
  <si>
    <t>08.2.0 Kultúrne služby</t>
  </si>
  <si>
    <t>prevádzkové stroje, prístr.,zar.</t>
  </si>
  <si>
    <t>mažoretky</t>
  </si>
  <si>
    <t>Nájomné prev. strojov</t>
  </si>
  <si>
    <t>Všeobecné služby-obecné slávnosti</t>
  </si>
  <si>
    <t>posedenie s dôchodcami</t>
  </si>
  <si>
    <t>08.2.0.5 Knižnice</t>
  </si>
  <si>
    <t>Materiál, knihy</t>
  </si>
  <si>
    <t>08.2.0.9 Ostatné kultúrne služby</t>
  </si>
  <si>
    <t>Špeciálne služby (kronika, ZPOZ)</t>
  </si>
  <si>
    <t>08.4.0 Náboženské a iné spoločenské služby</t>
  </si>
  <si>
    <t>Energie, služby</t>
  </si>
  <si>
    <t>08</t>
  </si>
  <si>
    <t>Športové, kultúrne a spol.služby</t>
  </si>
  <si>
    <t>09 vzdelávanie</t>
  </si>
  <si>
    <t>09.1.1.1 Predškolská výchova s bežnou starostlivosťou</t>
  </si>
  <si>
    <t>MŠ</t>
  </si>
  <si>
    <t>610,620,</t>
  </si>
  <si>
    <t>630,640,</t>
  </si>
  <si>
    <t>predškolský vek</t>
  </si>
  <si>
    <t>09.1.2.1 Základné vzdelanie s bežnou starostlivosťou</t>
  </si>
  <si>
    <t>dotácie a príspevky</t>
  </si>
  <si>
    <t>vzdelávacie poukazy</t>
  </si>
  <si>
    <t>09.6.0.</t>
  </si>
  <si>
    <t>Energia,voda,telekomunikácia</t>
  </si>
  <si>
    <t>Prevádzkové stroje,prístr.</t>
  </si>
  <si>
    <t>Rutinná údržba budov prev.strojov,zar.</t>
  </si>
  <si>
    <t>09</t>
  </si>
  <si>
    <t>10 sociálne zabezpečenie</t>
  </si>
  <si>
    <t>10  Sociálne zabezpečenie</t>
  </si>
  <si>
    <t>10.2.0.2</t>
  </si>
  <si>
    <t>pohrebné</t>
  </si>
  <si>
    <t>nenávr. dávka v HN</t>
  </si>
  <si>
    <t>10.7.0.1</t>
  </si>
  <si>
    <t>Jednorázová dávka v HN</t>
  </si>
  <si>
    <t>10.7.0.1.</t>
  </si>
  <si>
    <t>Sociálne príspevky</t>
  </si>
  <si>
    <t>občianskemu združeniu</t>
  </si>
  <si>
    <t>10.7.0.</t>
  </si>
  <si>
    <t>výdavky na miesta v detských domovoch</t>
  </si>
  <si>
    <t>na stravovanie detí v HN-zdroj ŠR</t>
  </si>
  <si>
    <t>osobitný príjemca - HN</t>
  </si>
  <si>
    <t>osobitný príjemca-RP</t>
  </si>
  <si>
    <t>Sociálne zabezpečenie</t>
  </si>
  <si>
    <t>Bežné výdavky spolu:</t>
  </si>
  <si>
    <t>Prev.zariadenie - kamerový systém</t>
  </si>
  <si>
    <t>v tom:Prev.zariad. - kamerový systém-ŠR</t>
  </si>
  <si>
    <t>04.5.1.3 Správa a údržba ciest</t>
  </si>
  <si>
    <r>
      <t>05.</t>
    </r>
    <r>
      <rPr>
        <b/>
        <i/>
        <sz val="8"/>
        <rFont val="Arial CE"/>
        <family val="2"/>
      </rPr>
      <t>2.0 Nakladanie s odpadovými vodami</t>
    </r>
  </si>
  <si>
    <t>projektová dokumentácia</t>
  </si>
  <si>
    <t>06.2.0 Rozvoj obcí</t>
  </si>
  <si>
    <t>Rekonštrukcia parku</t>
  </si>
  <si>
    <t>Prípravná a projektová dokumentácia</t>
  </si>
  <si>
    <t>Rekonštrukcia MŠ</t>
  </si>
  <si>
    <t>Rekonštrukcia a modernizácia</t>
  </si>
  <si>
    <t>10.4 Sociálne zabezpečenie</t>
  </si>
  <si>
    <t>Kapitálové výdavky spolu:</t>
  </si>
  <si>
    <t>Výdavkové finančné oprácie</t>
  </si>
  <si>
    <t>Výdavkové finančné operácie spolu:</t>
  </si>
  <si>
    <t>Bežné výdavky spolu</t>
  </si>
  <si>
    <t>Kapitálové výdavky spolu</t>
  </si>
  <si>
    <t>Rozpočtové výdavky spolu</t>
  </si>
  <si>
    <t>Príspevok pre DHZ</t>
  </si>
  <si>
    <t>dotácia na školstvo - učebnice</t>
  </si>
  <si>
    <t>dotácia na ROEP</t>
  </si>
  <si>
    <t>dotácia - KC</t>
  </si>
  <si>
    <t>granty OP</t>
  </si>
  <si>
    <t>od fyzickej osoby</t>
  </si>
  <si>
    <t>prevod z ostatných fondov obce</t>
  </si>
  <si>
    <t>dotácia na školstvo - kreditové príplatky</t>
  </si>
  <si>
    <t>3.14</t>
  </si>
  <si>
    <t>transfer na osobitného príjemcu - RP</t>
  </si>
  <si>
    <t>transfer na osobitného príjemcu - HN</t>
  </si>
  <si>
    <t>3.15</t>
  </si>
  <si>
    <t>3.16</t>
  </si>
  <si>
    <t>3.17</t>
  </si>
  <si>
    <t>3.21</t>
  </si>
  <si>
    <t>dotácia - komunitné centrum</t>
  </si>
  <si>
    <t>príjem z predaja kapitálových aktív</t>
  </si>
  <si>
    <t>príjem z predaja pozemkov a nehmotných aktív</t>
  </si>
  <si>
    <t>Mzdy, platy, sl. Príjmy a ost.os.vyrovnania § 54</t>
  </si>
  <si>
    <t>všeobecný materiál - ples obce</t>
  </si>
  <si>
    <t>licencie, autorské práva SOZA</t>
  </si>
  <si>
    <t>všeobecné služby - ples obce</t>
  </si>
  <si>
    <t>koncesionárske poplatky</t>
  </si>
  <si>
    <t>v tom mzdy - zdroj ŠR</t>
  </si>
  <si>
    <t>Servis</t>
  </si>
  <si>
    <t>pracovné odevy, obuv a prac.pomôcky § 54</t>
  </si>
  <si>
    <t>energie a telekomunikácie</t>
  </si>
  <si>
    <t>mzdy, platy, sl.príjmy a ost.os.vyrovnania</t>
  </si>
  <si>
    <t>v tom - zdroj ŠR</t>
  </si>
  <si>
    <t>poistné a príspevky do poisťovní</t>
  </si>
  <si>
    <t>poistenie dopravných prostriedkov</t>
  </si>
  <si>
    <t>učebnice</t>
  </si>
  <si>
    <t>TSP</t>
  </si>
  <si>
    <t>mzdy, platy, sl.príjmy a ost.os.vyrovnania § 51</t>
  </si>
  <si>
    <t>cestovné</t>
  </si>
  <si>
    <t>energia, voda, telekomunikácie</t>
  </si>
  <si>
    <t>prevádzkové stroje, prístroje, zariadenia</t>
  </si>
  <si>
    <t>softvér</t>
  </si>
  <si>
    <t>služby</t>
  </si>
  <si>
    <t>nákl.voz.ťahače príp.voz.</t>
  </si>
  <si>
    <t>Rekonštrukcia OcÚ</t>
  </si>
  <si>
    <t>Rekonštrukcia Ocú z RF</t>
  </si>
  <si>
    <t>vratky</t>
  </si>
  <si>
    <t>Terénna sociálna práca</t>
  </si>
  <si>
    <t>13</t>
  </si>
  <si>
    <t>dotácia na učebnice</t>
  </si>
  <si>
    <t>príjmy z pren.strojov a zariadení (zberný dvor)</t>
  </si>
  <si>
    <t>Príjem poplatkov zberného dvora</t>
  </si>
  <si>
    <t>2.12</t>
  </si>
  <si>
    <t>lízing vozidla</t>
  </si>
  <si>
    <t>dotácia pre DHZ</t>
  </si>
  <si>
    <t>likvidácia kuchynského odpadu</t>
  </si>
  <si>
    <t>na nemocenské dávky/kompostér</t>
  </si>
  <si>
    <t>výstavba chodníkov</t>
  </si>
  <si>
    <r>
      <t>Predmetom dane za jadrové zariadenie v súlade so zákonom č. 582/2004 Z.z. o miestnych daniach a poplatku za komunálne odpady a drobné stavebné odpady je jadrové zariadenie v ktorom prebieha štiepna reakcia a vyrába sa elektrická energia (ďalej len „jadrové zariadenie“), a to aj časť kalendárneho roka. Daňovníkom dane je prevádzkovateľ jadrového zariadenia. Základom dane je výmera katastrálneho územia obce v m</t>
    </r>
    <r>
      <rPr>
        <vertAlign val="superscript"/>
        <sz val="8"/>
        <rFont val="Tahoma"/>
        <family val="2"/>
      </rPr>
      <t>2</t>
    </r>
    <r>
      <rPr>
        <sz val="8"/>
        <rFont val="Tahoma"/>
        <family val="2"/>
      </rPr>
      <t>, ktoré sa nachádza v oblasti ohrozenia jadrovým zariadením.</t>
    </r>
  </si>
  <si>
    <t>bežné príjmy</t>
  </si>
  <si>
    <t>kapitálové príjmy</t>
  </si>
  <si>
    <t>príjmové finančné operácie</t>
  </si>
  <si>
    <t>vlastné príjmy RO s právnou subjektivitou</t>
  </si>
  <si>
    <t>dotácia TSP</t>
  </si>
  <si>
    <t>bankové úvery dlhodobé</t>
  </si>
  <si>
    <t>granty KC</t>
  </si>
  <si>
    <t>zberný dvor/nemocenské dávky</t>
  </si>
  <si>
    <t>služby maž. Stretnutie</t>
  </si>
  <si>
    <t>nákup pozemkov/prev.strojov a zariadení</t>
  </si>
  <si>
    <t>04.1.1</t>
  </si>
  <si>
    <t>Všeobecná obchodná a ekonomická oblasť</t>
  </si>
  <si>
    <t>nákup prev.strojov a zariadení (buldozér)</t>
  </si>
  <si>
    <t>realizácia stavieb</t>
  </si>
  <si>
    <t>dotácia na podporu športu/kultúry</t>
  </si>
  <si>
    <t>MŽP SR (kanalizácia)</t>
  </si>
  <si>
    <t>v tom: aktivačná činnosť</t>
  </si>
  <si>
    <t>komunitné centrum</t>
  </si>
  <si>
    <t>nákup prevádzkových strojov a zariadení</t>
  </si>
  <si>
    <t>3.22</t>
  </si>
  <si>
    <t>3.23</t>
  </si>
  <si>
    <t>Leader - obecný úrad</t>
  </si>
  <si>
    <t>Leader - park</t>
  </si>
  <si>
    <t>vrátenie zábezpeky MŠ</t>
  </si>
  <si>
    <t>pamätník/MR</t>
  </si>
  <si>
    <t>rež.nákl. Od stravníkov ZŠ</t>
  </si>
  <si>
    <t>reprezentačné Kult. Komisia</t>
  </si>
  <si>
    <t>Rekonštrukcia multifunkčné ihrisko</t>
  </si>
  <si>
    <t>rekonštrukcia multifunkčného ihriska</t>
  </si>
  <si>
    <t>zdravotné stredisko</t>
  </si>
  <si>
    <t>európa obyvateľom</t>
  </si>
  <si>
    <t>granty - knihy</t>
  </si>
  <si>
    <t>nákup prev.strojov</t>
  </si>
  <si>
    <t>ŠKD - príspevky rodičov</t>
  </si>
  <si>
    <t>MŠVVaŠ SR - dopravné</t>
  </si>
  <si>
    <t>MŠVVaŠ SR - lyžiarsky kurz, škola v prírode</t>
  </si>
  <si>
    <t>MŠVVaŠ SR - vzdelávacie poukazy</t>
  </si>
  <si>
    <t>MPSVaR SR - dotácia na deti zo SZP</t>
  </si>
  <si>
    <t>MPSVaR SR - ŠP v hmotnej núdzi</t>
  </si>
  <si>
    <t>MŠVVaŠ SR - kreditové príplatky</t>
  </si>
  <si>
    <t>príspevky od rodičov</t>
  </si>
  <si>
    <t>MPSVaR SR - školské potreby</t>
  </si>
  <si>
    <t>stravné - deti</t>
  </si>
  <si>
    <t>stravné - dospelí</t>
  </si>
  <si>
    <t>MPSVaR SR - predškolský vek</t>
  </si>
  <si>
    <t>Školská jedáleň pri MŠ</t>
  </si>
  <si>
    <t>1-4</t>
  </si>
  <si>
    <t>5-9</t>
  </si>
  <si>
    <t>NPG</t>
  </si>
  <si>
    <t>dopravné</t>
  </si>
  <si>
    <t>lyžiarsky kurz, škola v prírode</t>
  </si>
  <si>
    <t>dotácia pre deti zo SZP</t>
  </si>
  <si>
    <t>mzdy a odvody</t>
  </si>
  <si>
    <t>Základná škola s VJM - Alapiskola</t>
  </si>
  <si>
    <t>školské potreby z ÚPSV a R</t>
  </si>
  <si>
    <t>školské potreby z ÚPSVaR</t>
  </si>
  <si>
    <t>v tom: mzdy, platy, sl.príjym a ost.os.vyrovnania</t>
  </si>
  <si>
    <t xml:space="preserve">          Odmeny zamestnancom mimoprac.pomeru</t>
  </si>
  <si>
    <t>v tom: mzdy, platy, sl.príjym a ost.os.vyrovn.-asist.</t>
  </si>
  <si>
    <t xml:space="preserve">          poistné a príspevky do posťovní-asist.</t>
  </si>
  <si>
    <t xml:space="preserve">         vš.materiál </t>
  </si>
  <si>
    <t xml:space="preserve">          vš. materiál - krúžková činnosť</t>
  </si>
  <si>
    <t>v tom: Odmeny zamestnancom mimoprac.pomeru</t>
  </si>
  <si>
    <t xml:space="preserve">          Poistné a príspevky do poisťovní</t>
  </si>
  <si>
    <t xml:space="preserve">          Služby, prepravné, zápožička</t>
  </si>
  <si>
    <t>MPSVaR SR - učebnice</t>
  </si>
  <si>
    <t>všeobecný materiál - ŠKD</t>
  </si>
  <si>
    <t>v tom: služby, ubytovanie, zápožička</t>
  </si>
  <si>
    <t>v tom: vš.materiál</t>
  </si>
  <si>
    <t>v tom: Mzdy,platy, sl.príjmy a ost. os.vyrovnania</t>
  </si>
  <si>
    <t xml:space="preserve">         Odmeny zamestnancom mimoprac.pomeru</t>
  </si>
  <si>
    <t xml:space="preserve">          ŠKD ZŠ </t>
  </si>
  <si>
    <t xml:space="preserve">          ŠKD ZŠ s VJM</t>
  </si>
  <si>
    <t>V tom:mzdy - zdroj ŠR</t>
  </si>
  <si>
    <t>v tom: MŠ + ŠJ</t>
  </si>
  <si>
    <t>Dotácia na vzdelávanie MRK/ROEP</t>
  </si>
  <si>
    <t>kamerový systém</t>
  </si>
  <si>
    <t>bežné transfery:</t>
  </si>
  <si>
    <t>škola v prírode, lyžiarsky kurz</t>
  </si>
  <si>
    <t>školská jedáleň</t>
  </si>
  <si>
    <t>vlastné príjmy RO</t>
  </si>
  <si>
    <t>CVČ</t>
  </si>
  <si>
    <t xml:space="preserve">          CVČ</t>
  </si>
  <si>
    <t>predaj výrobkov, tovarov a služieb - zberný dvor</t>
  </si>
  <si>
    <t>z dobropisov</t>
  </si>
  <si>
    <t>opatrovateľská služba</t>
  </si>
  <si>
    <t>dotácia na lyžiarsky kurz, škola v prírode</t>
  </si>
  <si>
    <t>dotácia - kanalizácia</t>
  </si>
  <si>
    <t>dotácia - skladník PIOO</t>
  </si>
  <si>
    <t>dotácia - hasičská zbrojnica</t>
  </si>
  <si>
    <t>dotácia - prevencia kriminality</t>
  </si>
  <si>
    <t>dotácia - TSP</t>
  </si>
  <si>
    <t>2018 S</t>
  </si>
  <si>
    <t>poplatky, odvody a dane - úverový poplatok</t>
  </si>
  <si>
    <t>na členské príspevky, DCOM</t>
  </si>
  <si>
    <t>jednotlivcovi - cena obce</t>
  </si>
  <si>
    <t>splácanie úrokov banke - úver</t>
  </si>
  <si>
    <t>z roku 2016</t>
  </si>
  <si>
    <t>obecné slávnosti EU</t>
  </si>
  <si>
    <t>obecné slávnosti VUC</t>
  </si>
  <si>
    <t>knihy BG - Nem felejtunk</t>
  </si>
  <si>
    <t>nájomné</t>
  </si>
  <si>
    <t>zdravotníctvo</t>
  </si>
  <si>
    <t>v tom: dotácia EU, ŠR</t>
  </si>
  <si>
    <t>Rekonštrukcia ciest, chodníkov</t>
  </si>
  <si>
    <t>PD priechody pre chodcov</t>
  </si>
  <si>
    <t>návratné fin. výpomoci FO</t>
  </si>
  <si>
    <t>MV SR - DHZO</t>
  </si>
  <si>
    <t>IROP (rozšírenie MŠ)</t>
  </si>
  <si>
    <t>SIEA (zateplenie MŠ)</t>
  </si>
  <si>
    <t>ÚV SR - MFI</t>
  </si>
  <si>
    <t>ÚV SR - hasičská zbrojnica</t>
  </si>
  <si>
    <t xml:space="preserve">MPSVaR SR - asistentky </t>
  </si>
  <si>
    <t>dotácia lyžiarsky kurz, škola v príríde</t>
  </si>
  <si>
    <t>3.24</t>
  </si>
  <si>
    <t>dotácia - európa obyvateľom</t>
  </si>
  <si>
    <t>športové aktivity</t>
  </si>
  <si>
    <t>PHM - kosačky, traktor</t>
  </si>
  <si>
    <t>asistentky</t>
  </si>
  <si>
    <t xml:space="preserve">Odmeny a príspevky </t>
  </si>
  <si>
    <t>učebnice a školské potreby</t>
  </si>
  <si>
    <t>modernizácia VO</t>
  </si>
  <si>
    <t>verejné obstarávanie</t>
  </si>
  <si>
    <t>realizácia CIZS</t>
  </si>
  <si>
    <t>MZ SR - CIZS</t>
  </si>
  <si>
    <t>Prístavba MŠ</t>
  </si>
  <si>
    <t>tovary a služby z účtu obce</t>
  </si>
  <si>
    <t>Centrum voľného času</t>
  </si>
  <si>
    <t>14</t>
  </si>
  <si>
    <t>15</t>
  </si>
  <si>
    <t>bežné transfery</t>
  </si>
  <si>
    <t>01.6.0 Iné všeobecné služby /matrika/</t>
  </si>
  <si>
    <t>účast na majetku v tuzemsku</t>
  </si>
  <si>
    <t>09.5.0.</t>
  </si>
  <si>
    <t>Výdavky RO</t>
  </si>
  <si>
    <t>Sankcie uložené v daň.konaní</t>
  </si>
  <si>
    <t>Granty - nadácia ČSOB - osv.priech.pre chodcov</t>
  </si>
  <si>
    <t>IOMO - správne poplatky</t>
  </si>
  <si>
    <t>MPSVaR SR - asistenti</t>
  </si>
  <si>
    <t>Z dobropisov</t>
  </si>
  <si>
    <t>zberný dvor    §50j</t>
  </si>
  <si>
    <t>Iné PFO - zábezpeky</t>
  </si>
  <si>
    <t>+16000</t>
  </si>
  <si>
    <t>01.7.0 Transakcia verejného dlhu</t>
  </si>
  <si>
    <t>0</t>
  </si>
  <si>
    <t>v tom:mzdy - zdroj ŠR §50j</t>
  </si>
  <si>
    <t>v tom: dotácia zo ŠR</t>
  </si>
  <si>
    <t>modernizácia skl.priest.  HZ</t>
  </si>
  <si>
    <t>Projektová dokumentácia-rek.podkrovia - šj</t>
  </si>
  <si>
    <t>Tovary a služby- z účtu OÚ-vypracov.žiad. O NFP-zl.tepl.vl.</t>
  </si>
  <si>
    <t>Služby - LSS</t>
  </si>
  <si>
    <t>stále služby 15102</t>
  </si>
  <si>
    <t>údržba, opravy buldozéra</t>
  </si>
  <si>
    <t>prístrešok KD</t>
  </si>
  <si>
    <t>v tom : dotácia</t>
  </si>
  <si>
    <t>prevádzkové stroje a zariadenia-čerpadlo ČOV</t>
  </si>
  <si>
    <t>+11120</t>
  </si>
  <si>
    <t>Mészáros E.</t>
  </si>
  <si>
    <t>,</t>
  </si>
  <si>
    <t>Splácanie istiny z bankových úverov ZŠ</t>
  </si>
  <si>
    <t>Splácanie istiny z bankových úverov-kanalizácia</t>
  </si>
  <si>
    <t>BV O</t>
  </si>
  <si>
    <t>BV RO</t>
  </si>
  <si>
    <t>KP</t>
  </si>
  <si>
    <t>KV</t>
  </si>
  <si>
    <t>PFO</t>
  </si>
  <si>
    <t>VFO</t>
  </si>
  <si>
    <t xml:space="preserve"> I.úpravu</t>
  </si>
  <si>
    <t>BP O</t>
  </si>
  <si>
    <t>BP RO</t>
  </si>
  <si>
    <t>+-zmeny</t>
  </si>
  <si>
    <t>+47411</t>
  </si>
  <si>
    <t>+198759</t>
  </si>
  <si>
    <t>09.6.0 Vedlajšie služby bv školstve</t>
  </si>
  <si>
    <t>Prevádzkové stroje a zariadenia</t>
  </si>
  <si>
    <t>+78580</t>
  </si>
  <si>
    <t>+78288</t>
  </si>
  <si>
    <t>príjmy</t>
  </si>
  <si>
    <t>výdavky</t>
  </si>
  <si>
    <t>c e l k o m</t>
  </si>
  <si>
    <t>+151 348</t>
  </si>
  <si>
    <t>+183988</t>
  </si>
  <si>
    <t>+14771</t>
  </si>
  <si>
    <t>2019 OS</t>
  </si>
  <si>
    <t>2021</t>
  </si>
  <si>
    <t xml:space="preserve">      Daň z pozemkov-minulé roky</t>
  </si>
  <si>
    <t xml:space="preserve">      Daň zo stavieb-minulé roky</t>
  </si>
  <si>
    <t>007.</t>
  </si>
  <si>
    <t>Dotácia na stravovanie detí z ÚPSVaR ZŠ</t>
  </si>
  <si>
    <t>Dotácia na stravovanie detí z ÚPSVaR MŠ</t>
  </si>
  <si>
    <t>stravné deti z ÚPSVaR</t>
  </si>
  <si>
    <t>zábezpeky</t>
  </si>
  <si>
    <t>78180</t>
  </si>
  <si>
    <t>nákup softvéru - ,pasport miest.komunikácií,cintorín</t>
  </si>
  <si>
    <t>Návrh rozpočtu na roky 2020 - 2021 - 2022</t>
  </si>
  <si>
    <t>Rutinná a štandartná údržba-výp.techn.,prev.strojov</t>
  </si>
  <si>
    <t>Služby,školenia,poistenie,odmeny mimoprac.pomeru</t>
  </si>
  <si>
    <t>Služby,dohody</t>
  </si>
  <si>
    <t>Služby-rozhlas</t>
  </si>
  <si>
    <t>nákup konvektomatu/digestor</t>
  </si>
  <si>
    <t>LK a ŠVP</t>
  </si>
  <si>
    <t>Odmeny pracovníkom mimoprac.pomeru</t>
  </si>
  <si>
    <t>Návrh rozpočtu na roky  2020 - 2021 - 2022</t>
  </si>
  <si>
    <t xml:space="preserve">      Daň za psa-minulé roky</t>
  </si>
  <si>
    <t xml:space="preserve">      Daň za komunálny odpad-minulé roky</t>
  </si>
  <si>
    <t>08.3.0. Vysielacie a vydavateľské služby</t>
  </si>
  <si>
    <t>Všeobecné služby/TV/</t>
  </si>
  <si>
    <t>vianočné ozdoby</t>
  </si>
  <si>
    <t>3000-čítačka</t>
  </si>
  <si>
    <t>Zo ŠR - dotácie pre ZŠ</t>
  </si>
  <si>
    <t>zostatky z predchádzajúcich rokov-zábezpeky</t>
  </si>
  <si>
    <t>zostatky z predchádzajúcich rokov-has.zbr.</t>
  </si>
  <si>
    <t>ref.</t>
  </si>
  <si>
    <t>zostatky z predchádzajúcich rokov - ZŠ šport.</t>
  </si>
  <si>
    <t>zostatky z predchádzajúcich rokov</t>
  </si>
  <si>
    <t>kompenzácia</t>
  </si>
</sst>
</file>

<file path=xl/styles.xml><?xml version="1.0" encoding="utf-8"?>
<styleSheet xmlns="http://schemas.openxmlformats.org/spreadsheetml/2006/main">
  <numFmts count="3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.00,_S_k_-;\-* #,##0.00,_S_k_-;_-* \-??\ _S_k_-;_-@_-"/>
    <numFmt numFmtId="173" formatCode="_-* #,##0.00&quot; €&quot;_-;\-* #,##0.00&quot; €&quot;_-;_-* \-??&quot; €&quot;_-;_-@_-"/>
    <numFmt numFmtId="174" formatCode="#,##0.0"/>
    <numFmt numFmtId="175" formatCode="0.0"/>
    <numFmt numFmtId="176" formatCode="#,##0;\-#,##0"/>
    <numFmt numFmtId="177" formatCode="#,##0.00;\-#,##0.00"/>
    <numFmt numFmtId="178" formatCode="_-* #,##0.000\ _S_k_-;\-* #,##0.000\ _S_k_-;_-* &quot;-&quot;??\ _S_k_-;_-@_-"/>
    <numFmt numFmtId="179" formatCode="_-* #,##0.0000\ _S_k_-;\-* #,##0.0000\ _S_k_-;_-* &quot;-&quot;??\ _S_k_-;_-@_-"/>
    <numFmt numFmtId="180" formatCode="_-* #,##0.0\ _S_k_-;\-* #,##0.0\ _S_k_-;_-* &quot;-&quot;??\ _S_k_-;_-@_-"/>
    <numFmt numFmtId="181" formatCode="_-* #,##0\ _S_k_-;\-* #,##0\ _S_k_-;_-* &quot;-&quot;??\ _S_k_-;_-@_-"/>
    <numFmt numFmtId="182" formatCode="[$-41B]d\.\ mmmm\ yyyy"/>
    <numFmt numFmtId="183" formatCode="0.000"/>
    <numFmt numFmtId="184" formatCode="#,##0\ [$€-1];[Red]\-#,##0\ [$€-1]"/>
    <numFmt numFmtId="185" formatCode="_-* #,##0.0\ _E_U_R_-;\-* #,##0.0\ _E_U_R_-;_-* &quot;-&quot;?\ _E_U_R_-;_-@_-"/>
  </numFmts>
  <fonts count="1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color indexed="10"/>
      <name val="Tahoma"/>
      <family val="2"/>
    </font>
    <font>
      <b/>
      <sz val="12"/>
      <name val="Tahoma"/>
      <family val="2"/>
    </font>
    <font>
      <b/>
      <sz val="12"/>
      <name val="Arial"/>
      <family val="2"/>
    </font>
    <font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i/>
      <sz val="12"/>
      <name val="Tahoma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10"/>
      <color indexed="17"/>
      <name val="Arial CE"/>
      <family val="2"/>
    </font>
    <font>
      <sz val="8"/>
      <color indexed="8"/>
      <name val="Arial CE"/>
      <family val="2"/>
    </font>
    <font>
      <sz val="10"/>
      <color indexed="10"/>
      <name val="Arial CE"/>
      <family val="2"/>
    </font>
    <font>
      <sz val="8"/>
      <color indexed="57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8"/>
      <color indexed="10"/>
      <name val="Arial CE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9"/>
      <color indexed="9"/>
      <name val="Arial"/>
      <family val="2"/>
    </font>
    <font>
      <b/>
      <i/>
      <sz val="11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i/>
      <sz val="11"/>
      <name val="Arial"/>
      <family val="2"/>
    </font>
    <font>
      <i/>
      <sz val="8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i/>
      <sz val="8"/>
      <color indexed="12"/>
      <name val="Arial CE"/>
      <family val="2"/>
    </font>
    <font>
      <sz val="9"/>
      <name val="Arial CE"/>
      <family val="2"/>
    </font>
    <font>
      <sz val="8"/>
      <color indexed="12"/>
      <name val="Arial CE"/>
      <family val="2"/>
    </font>
    <font>
      <sz val="8"/>
      <color indexed="48"/>
      <name val="Arial CE"/>
      <family val="2"/>
    </font>
    <font>
      <b/>
      <sz val="8"/>
      <color indexed="57"/>
      <name val="Arial CE"/>
      <family val="2"/>
    </font>
    <font>
      <b/>
      <sz val="8"/>
      <color indexed="12"/>
      <name val="Arial CE"/>
      <family val="2"/>
    </font>
    <font>
      <sz val="10"/>
      <color indexed="12"/>
      <name val="Arial CE"/>
      <family val="2"/>
    </font>
    <font>
      <b/>
      <i/>
      <sz val="8"/>
      <color indexed="57"/>
      <name val="Arial CE"/>
      <family val="2"/>
    </font>
    <font>
      <b/>
      <i/>
      <sz val="10"/>
      <color indexed="57"/>
      <name val="Arial CE"/>
      <family val="2"/>
    </font>
    <font>
      <sz val="8"/>
      <color indexed="17"/>
      <name val="Arial CE"/>
      <family val="2"/>
    </font>
    <font>
      <i/>
      <sz val="10"/>
      <color indexed="12"/>
      <name val="Arial CE"/>
      <family val="2"/>
    </font>
    <font>
      <i/>
      <sz val="8"/>
      <color indexed="48"/>
      <name val="Arial CE"/>
      <family val="2"/>
    </font>
    <font>
      <b/>
      <i/>
      <sz val="10"/>
      <color indexed="12"/>
      <name val="Arial CE"/>
      <family val="2"/>
    </font>
    <font>
      <b/>
      <i/>
      <sz val="9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sz val="8"/>
      <color indexed="30"/>
      <name val="Arial CE"/>
      <family val="2"/>
    </font>
    <font>
      <sz val="8"/>
      <color indexed="62"/>
      <name val="Arial CE"/>
      <family val="0"/>
    </font>
    <font>
      <sz val="8"/>
      <color indexed="56"/>
      <name val="Arial CE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u val="single"/>
      <sz val="9"/>
      <name val="Arial"/>
      <family val="2"/>
    </font>
    <font>
      <i/>
      <sz val="9"/>
      <name val="Arial CE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vertAlign val="superscript"/>
      <sz val="8"/>
      <name val="Tahoma"/>
      <family val="2"/>
    </font>
    <font>
      <b/>
      <sz val="9"/>
      <name val="Tahoma"/>
      <family val="2"/>
    </font>
    <font>
      <u val="single"/>
      <sz val="10"/>
      <color indexed="50"/>
      <name val="Arial"/>
      <family val="2"/>
    </font>
    <font>
      <u val="single"/>
      <sz val="10"/>
      <color indexed="55"/>
      <name val="Arial"/>
      <family val="2"/>
    </font>
    <font>
      <b/>
      <sz val="8"/>
      <color indexed="17"/>
      <name val="Arial CE"/>
      <family val="0"/>
    </font>
    <font>
      <b/>
      <i/>
      <sz val="8"/>
      <color indexed="17"/>
      <name val="Arial CE"/>
      <family val="0"/>
    </font>
    <font>
      <b/>
      <sz val="8"/>
      <color indexed="30"/>
      <name val="Arial CE"/>
      <family val="0"/>
    </font>
    <font>
      <b/>
      <sz val="8"/>
      <color indexed="17"/>
      <name val="Arial"/>
      <family val="2"/>
    </font>
    <font>
      <b/>
      <sz val="9"/>
      <color indexed="30"/>
      <name val="Arial"/>
      <family val="2"/>
    </font>
    <font>
      <sz val="8"/>
      <color indexed="9"/>
      <name val="Arial CE"/>
      <family val="2"/>
    </font>
    <font>
      <sz val="8"/>
      <color indexed="30"/>
      <name val="Arial"/>
      <family val="2"/>
    </font>
    <font>
      <sz val="8"/>
      <color indexed="17"/>
      <name val="Arial"/>
      <family val="2"/>
    </font>
    <font>
      <i/>
      <sz val="8"/>
      <color indexed="30"/>
      <name val="Arial CE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8"/>
      <color theme="7" tint="-0.24997000396251678"/>
      <name val="Arial CE"/>
      <family val="2"/>
    </font>
    <font>
      <b/>
      <sz val="8"/>
      <color rgb="FF00A84C"/>
      <name val="Arial CE"/>
      <family val="0"/>
    </font>
    <font>
      <b/>
      <i/>
      <sz val="8"/>
      <color rgb="FF00A84C"/>
      <name val="Arial CE"/>
      <family val="0"/>
    </font>
    <font>
      <b/>
      <sz val="8"/>
      <color theme="7" tint="-0.24997000396251678"/>
      <name val="Arial CE"/>
      <family val="0"/>
    </font>
    <font>
      <b/>
      <sz val="8"/>
      <color rgb="FF00A84C"/>
      <name val="Arial"/>
      <family val="2"/>
    </font>
    <font>
      <sz val="8"/>
      <color rgb="FF1A1FEE"/>
      <name val="Arial CE"/>
      <family val="2"/>
    </font>
    <font>
      <sz val="8"/>
      <color rgb="FF0000FF"/>
      <name val="Arial CE"/>
      <family val="2"/>
    </font>
    <font>
      <b/>
      <sz val="8"/>
      <color rgb="FF00B050"/>
      <name val="Arial CE"/>
      <family val="0"/>
    </font>
    <font>
      <sz val="8"/>
      <color rgb="FF00B050"/>
      <name val="Arial CE"/>
      <family val="2"/>
    </font>
    <font>
      <b/>
      <sz val="9"/>
      <color theme="7" tint="-0.24997000396251678"/>
      <name val="Arial"/>
      <family val="2"/>
    </font>
    <font>
      <i/>
      <sz val="8"/>
      <color rgb="FF0066FF"/>
      <name val="Arial CE"/>
      <family val="0"/>
    </font>
    <font>
      <i/>
      <sz val="10"/>
      <color rgb="FF0066FF"/>
      <name val="Arial CE"/>
      <family val="0"/>
    </font>
    <font>
      <sz val="10"/>
      <color theme="0"/>
      <name val="Arial"/>
      <family val="2"/>
    </font>
    <font>
      <sz val="8"/>
      <color theme="0"/>
      <name val="Arial CE"/>
      <family val="2"/>
    </font>
    <font>
      <b/>
      <sz val="8"/>
      <color rgb="FF00B050"/>
      <name val="Arial"/>
      <family val="2"/>
    </font>
    <font>
      <sz val="8"/>
      <color rgb="FF0070C0"/>
      <name val="Arial CE"/>
      <family val="2"/>
    </font>
    <font>
      <sz val="8"/>
      <color rgb="FF0070C0"/>
      <name val="Arial"/>
      <family val="2"/>
    </font>
    <font>
      <sz val="8"/>
      <color rgb="FF00B050"/>
      <name val="Arial"/>
      <family val="2"/>
    </font>
    <font>
      <i/>
      <sz val="8"/>
      <color theme="7" tint="-0.24997000396251678"/>
      <name val="Arial CE"/>
      <family val="0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3AB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92D050"/>
        <bgColor indexed="64"/>
      </patternFill>
    </fill>
  </fills>
  <borders count="3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31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/>
      <right style="medium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medium"/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>
        <color indexed="8"/>
      </right>
      <top style="medium">
        <color indexed="8"/>
      </top>
      <bottom style="thin"/>
    </border>
    <border>
      <left style="thin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/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medium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thin"/>
      <right style="medium"/>
      <top style="thin">
        <color indexed="8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medium">
        <color indexed="8"/>
      </bottom>
    </border>
    <border>
      <left style="thin"/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2" fontId="5" fillId="0" borderId="0" applyFill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1" fillId="24" borderId="5" applyNumberFormat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3" fontId="0" fillId="0" borderId="0" applyFill="0" applyBorder="0" applyAlignment="0" applyProtection="0"/>
    <xf numFmtId="0" fontId="14" fillId="0" borderId="7" applyNumberFormat="0" applyFill="0" applyAlignment="0" applyProtection="0"/>
    <xf numFmtId="0" fontId="15" fillId="0" borderId="3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5" fillId="0" borderId="0">
      <alignment/>
      <protection/>
    </xf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9" fontId="0" fillId="0" borderId="0" applyFill="0" applyBorder="0" applyAlignment="0" applyProtection="0"/>
    <xf numFmtId="0" fontId="106" fillId="0" borderId="0" applyNumberFormat="0" applyFill="0" applyBorder="0" applyAlignment="0" applyProtection="0"/>
    <xf numFmtId="0" fontId="0" fillId="9" borderId="9" applyNumberFormat="0" applyAlignment="0" applyProtection="0"/>
    <xf numFmtId="0" fontId="13" fillId="0" borderId="6" applyNumberFormat="0" applyFill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2" fillId="7" borderId="1" applyNumberFormat="0" applyAlignment="0" applyProtection="0"/>
    <xf numFmtId="0" fontId="4" fillId="14" borderId="1" applyNumberFormat="0" applyAlignment="0" applyProtection="0"/>
    <xf numFmtId="0" fontId="18" fillId="14" borderId="10" applyNumberFormat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" fillId="2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</cellStyleXfs>
  <cellXfs count="32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right"/>
    </xf>
    <xf numFmtId="49" fontId="26" fillId="0" borderId="0" xfId="0" applyNumberFormat="1" applyFont="1" applyAlignment="1">
      <alignment horizontal="center"/>
    </xf>
    <xf numFmtId="49" fontId="26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28" fillId="0" borderId="0" xfId="0" applyFont="1" applyBorder="1" applyAlignment="1">
      <alignment/>
    </xf>
    <xf numFmtId="3" fontId="29" fillId="0" borderId="0" xfId="0" applyNumberFormat="1" applyFont="1" applyBorder="1" applyAlignment="1">
      <alignment horizontal="right"/>
    </xf>
    <xf numFmtId="49" fontId="28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3" fontId="28" fillId="0" borderId="0" xfId="0" applyNumberFormat="1" applyFont="1" applyAlignment="1">
      <alignment horizontal="right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5" fillId="0" borderId="0" xfId="587" applyFont="1" applyBorder="1">
      <alignment/>
      <protection/>
    </xf>
    <xf numFmtId="0" fontId="30" fillId="0" borderId="0" xfId="587" applyFont="1" applyBorder="1">
      <alignment/>
      <protection/>
    </xf>
    <xf numFmtId="3" fontId="5" fillId="0" borderId="0" xfId="587" applyNumberFormat="1" applyFont="1" applyBorder="1">
      <alignment/>
      <protection/>
    </xf>
    <xf numFmtId="0" fontId="5" fillId="0" borderId="0" xfId="587" applyFont="1" applyFill="1" applyBorder="1">
      <alignment/>
      <protection/>
    </xf>
    <xf numFmtId="4" fontId="5" fillId="0" borderId="0" xfId="587" applyNumberFormat="1" applyFont="1" applyFill="1" applyBorder="1">
      <alignment/>
      <protection/>
    </xf>
    <xf numFmtId="0" fontId="31" fillId="0" borderId="0" xfId="587" applyFont="1" applyFill="1" applyBorder="1" applyAlignment="1">
      <alignment/>
      <protection/>
    </xf>
    <xf numFmtId="0" fontId="31" fillId="0" borderId="0" xfId="587" applyFont="1" applyBorder="1" applyAlignment="1">
      <alignment horizontal="center"/>
      <protection/>
    </xf>
    <xf numFmtId="0" fontId="30" fillId="0" borderId="0" xfId="587" applyFont="1" applyBorder="1" applyAlignment="1">
      <alignment horizontal="center"/>
      <protection/>
    </xf>
    <xf numFmtId="2" fontId="31" fillId="0" borderId="0" xfId="587" applyNumberFormat="1" applyFont="1" applyFill="1" applyBorder="1" applyAlignment="1">
      <alignment/>
      <protection/>
    </xf>
    <xf numFmtId="2" fontId="31" fillId="0" borderId="0" xfId="587" applyNumberFormat="1" applyFont="1" applyFill="1" applyBorder="1" applyAlignment="1">
      <alignment horizontal="center"/>
      <protection/>
    </xf>
    <xf numFmtId="3" fontId="31" fillId="0" borderId="0" xfId="587" applyNumberFormat="1" applyFont="1" applyFill="1" applyBorder="1" applyAlignment="1">
      <alignment horizontal="center"/>
      <protection/>
    </xf>
    <xf numFmtId="4" fontId="31" fillId="0" borderId="0" xfId="587" applyNumberFormat="1" applyFont="1" applyFill="1" applyBorder="1" applyAlignment="1">
      <alignment horizontal="center"/>
      <protection/>
    </xf>
    <xf numFmtId="0" fontId="30" fillId="7" borderId="13" xfId="587" applyFont="1" applyFill="1" applyBorder="1">
      <alignment/>
      <protection/>
    </xf>
    <xf numFmtId="2" fontId="30" fillId="0" borderId="0" xfId="587" applyNumberFormat="1" applyFont="1" applyFill="1" applyBorder="1" applyAlignment="1">
      <alignment horizontal="justify" vertical="center"/>
      <protection/>
    </xf>
    <xf numFmtId="4" fontId="30" fillId="0" borderId="0" xfId="587" applyNumberFormat="1" applyFont="1" applyFill="1" applyBorder="1" applyAlignment="1">
      <alignment horizontal="justify" vertical="top"/>
      <protection/>
    </xf>
    <xf numFmtId="4" fontId="34" fillId="0" borderId="0" xfId="587" applyNumberFormat="1" applyFont="1" applyFill="1" applyBorder="1" applyAlignment="1">
      <alignment horizontal="right" vertical="top"/>
      <protection/>
    </xf>
    <xf numFmtId="4" fontId="34" fillId="0" borderId="0" xfId="587" applyNumberFormat="1" applyFont="1" applyFill="1" applyBorder="1" applyAlignment="1">
      <alignment horizontal="center" vertical="top"/>
      <protection/>
    </xf>
    <xf numFmtId="0" fontId="32" fillId="0" borderId="0" xfId="587" applyFont="1" applyBorder="1">
      <alignment/>
      <protection/>
    </xf>
    <xf numFmtId="0" fontId="35" fillId="0" borderId="14" xfId="587" applyFont="1" applyFill="1" applyBorder="1">
      <alignment/>
      <protection/>
    </xf>
    <xf numFmtId="0" fontId="35" fillId="0" borderId="15" xfId="587" applyFont="1" applyFill="1" applyBorder="1">
      <alignment/>
      <protection/>
    </xf>
    <xf numFmtId="3" fontId="36" fillId="0" borderId="16" xfId="587" applyNumberFormat="1" applyFont="1" applyFill="1" applyBorder="1" applyAlignment="1">
      <alignment horizontal="right"/>
      <protection/>
    </xf>
    <xf numFmtId="3" fontId="35" fillId="0" borderId="16" xfId="587" applyNumberFormat="1" applyFont="1" applyFill="1" applyBorder="1" applyAlignment="1">
      <alignment horizontal="right"/>
      <protection/>
    </xf>
    <xf numFmtId="4" fontId="36" fillId="0" borderId="0" xfId="587" applyNumberFormat="1" applyFont="1" applyFill="1" applyBorder="1" applyAlignment="1">
      <alignment horizontal="right"/>
      <protection/>
    </xf>
    <xf numFmtId="4" fontId="36" fillId="0" borderId="0" xfId="587" applyNumberFormat="1" applyFont="1" applyFill="1" applyBorder="1" applyAlignment="1">
      <alignment horizontal="center"/>
      <protection/>
    </xf>
    <xf numFmtId="0" fontId="5" fillId="0" borderId="0" xfId="587" applyFill="1" applyBorder="1">
      <alignment/>
      <protection/>
    </xf>
    <xf numFmtId="0" fontId="35" fillId="0" borderId="14" xfId="587" applyFont="1" applyBorder="1">
      <alignment/>
      <protection/>
    </xf>
    <xf numFmtId="0" fontId="35" fillId="0" borderId="15" xfId="587" applyFont="1" applyBorder="1">
      <alignment/>
      <protection/>
    </xf>
    <xf numFmtId="3" fontId="35" fillId="0" borderId="17" xfId="587" applyNumberFormat="1" applyFont="1" applyBorder="1" applyAlignment="1">
      <alignment horizontal="right"/>
      <protection/>
    </xf>
    <xf numFmtId="3" fontId="36" fillId="0" borderId="17" xfId="587" applyNumberFormat="1" applyFont="1" applyBorder="1" applyAlignment="1">
      <alignment horizontal="right"/>
      <protection/>
    </xf>
    <xf numFmtId="4" fontId="35" fillId="0" borderId="0" xfId="587" applyNumberFormat="1" applyFont="1" applyFill="1" applyBorder="1" applyAlignment="1">
      <alignment horizontal="right"/>
      <protection/>
    </xf>
    <xf numFmtId="4" fontId="35" fillId="0" borderId="0" xfId="587" applyNumberFormat="1" applyFont="1" applyFill="1" applyBorder="1" applyAlignment="1">
      <alignment horizontal="center"/>
      <protection/>
    </xf>
    <xf numFmtId="4" fontId="37" fillId="0" borderId="0" xfId="587" applyNumberFormat="1" applyFont="1" applyFill="1" applyBorder="1" applyAlignment="1">
      <alignment horizontal="left"/>
      <protection/>
    </xf>
    <xf numFmtId="3" fontId="35" fillId="0" borderId="16" xfId="587" applyNumberFormat="1" applyFont="1" applyBorder="1">
      <alignment/>
      <protection/>
    </xf>
    <xf numFmtId="3" fontId="35" fillId="0" borderId="16" xfId="587" applyNumberFormat="1" applyFont="1" applyBorder="1" applyAlignment="1">
      <alignment horizontal="right"/>
      <protection/>
    </xf>
    <xf numFmtId="3" fontId="36" fillId="0" borderId="16" xfId="587" applyNumberFormat="1" applyFont="1" applyBorder="1">
      <alignment/>
      <protection/>
    </xf>
    <xf numFmtId="0" fontId="35" fillId="0" borderId="18" xfId="587" applyFont="1" applyBorder="1">
      <alignment/>
      <protection/>
    </xf>
    <xf numFmtId="0" fontId="35" fillId="0" borderId="19" xfId="587" applyFont="1" applyBorder="1">
      <alignment/>
      <protection/>
    </xf>
    <xf numFmtId="3" fontId="35" fillId="0" borderId="20" xfId="587" applyNumberFormat="1" applyFont="1" applyBorder="1">
      <alignment/>
      <protection/>
    </xf>
    <xf numFmtId="4" fontId="38" fillId="0" borderId="0" xfId="587" applyNumberFormat="1" applyFont="1" applyBorder="1" applyAlignment="1">
      <alignment horizontal="left"/>
      <protection/>
    </xf>
    <xf numFmtId="0" fontId="35" fillId="0" borderId="0" xfId="587" applyFont="1" applyBorder="1">
      <alignment/>
      <protection/>
    </xf>
    <xf numFmtId="3" fontId="35" fillId="0" borderId="0" xfId="587" applyNumberFormat="1" applyFont="1" applyBorder="1">
      <alignment/>
      <protection/>
    </xf>
    <xf numFmtId="3" fontId="35" fillId="0" borderId="0" xfId="587" applyNumberFormat="1" applyFont="1" applyBorder="1" applyAlignment="1">
      <alignment horizontal="center"/>
      <protection/>
    </xf>
    <xf numFmtId="3" fontId="36" fillId="0" borderId="0" xfId="587" applyNumberFormat="1" applyFont="1" applyBorder="1">
      <alignment/>
      <protection/>
    </xf>
    <xf numFmtId="4" fontId="35" fillId="0" borderId="0" xfId="587" applyNumberFormat="1" applyFont="1" applyBorder="1" applyAlignment="1">
      <alignment horizontal="center"/>
      <protection/>
    </xf>
    <xf numFmtId="3" fontId="35" fillId="0" borderId="0" xfId="587" applyNumberFormat="1" applyFont="1" applyBorder="1" applyAlignment="1">
      <alignment horizontal="right"/>
      <protection/>
    </xf>
    <xf numFmtId="4" fontId="34" fillId="0" borderId="0" xfId="587" applyNumberFormat="1" applyFont="1" applyFill="1" applyBorder="1" applyAlignment="1">
      <alignment horizontal="center"/>
      <protection/>
    </xf>
    <xf numFmtId="0" fontId="32" fillId="0" borderId="0" xfId="587" applyFont="1" applyFill="1" applyBorder="1">
      <alignment/>
      <protection/>
    </xf>
    <xf numFmtId="3" fontId="36" fillId="0" borderId="16" xfId="587" applyNumberFormat="1" applyFont="1" applyBorder="1" applyAlignment="1">
      <alignment horizontal="right"/>
      <protection/>
    </xf>
    <xf numFmtId="0" fontId="5" fillId="0" borderId="0" xfId="587" applyBorder="1">
      <alignment/>
      <protection/>
    </xf>
    <xf numFmtId="0" fontId="35" fillId="0" borderId="21" xfId="587" applyFont="1" applyBorder="1">
      <alignment/>
      <protection/>
    </xf>
    <xf numFmtId="0" fontId="35" fillId="0" borderId="22" xfId="587" applyFont="1" applyFill="1" applyBorder="1">
      <alignment/>
      <protection/>
    </xf>
    <xf numFmtId="0" fontId="35" fillId="0" borderId="0" xfId="587" applyFont="1" applyFill="1" applyBorder="1">
      <alignment/>
      <protection/>
    </xf>
    <xf numFmtId="3" fontId="36" fillId="0" borderId="0" xfId="587" applyNumberFormat="1" applyFont="1" applyBorder="1" applyAlignment="1">
      <alignment horizontal="right"/>
      <protection/>
    </xf>
    <xf numFmtId="2" fontId="35" fillId="0" borderId="0" xfId="587" applyNumberFormat="1" applyFont="1" applyFill="1" applyBorder="1" applyAlignment="1">
      <alignment horizontal="center"/>
      <protection/>
    </xf>
    <xf numFmtId="2" fontId="30" fillId="0" borderId="0" xfId="587" applyNumberFormat="1" applyFont="1" applyFill="1" applyBorder="1" applyAlignment="1">
      <alignment horizontal="center" vertical="center"/>
      <protection/>
    </xf>
    <xf numFmtId="4" fontId="30" fillId="0" borderId="0" xfId="587" applyNumberFormat="1" applyFont="1" applyFill="1" applyBorder="1" applyAlignment="1">
      <alignment horizontal="center" vertical="top"/>
      <protection/>
    </xf>
    <xf numFmtId="3" fontId="34" fillId="15" borderId="16" xfId="587" applyNumberFormat="1" applyFont="1" applyFill="1" applyBorder="1" applyAlignment="1">
      <alignment horizontal="right"/>
      <protection/>
    </xf>
    <xf numFmtId="4" fontId="34" fillId="15" borderId="16" xfId="587" applyNumberFormat="1" applyFont="1" applyFill="1" applyBorder="1" applyAlignment="1">
      <alignment horizontal="right"/>
      <protection/>
    </xf>
    <xf numFmtId="4" fontId="34" fillId="0" borderId="0" xfId="587" applyNumberFormat="1" applyFont="1" applyFill="1" applyBorder="1" applyAlignment="1">
      <alignment horizontal="right"/>
      <protection/>
    </xf>
    <xf numFmtId="2" fontId="38" fillId="0" borderId="0" xfId="587" applyNumberFormat="1" applyFont="1" applyBorder="1" applyAlignment="1">
      <alignment horizontal="left"/>
      <protection/>
    </xf>
    <xf numFmtId="3" fontId="35" fillId="0" borderId="0" xfId="587" applyNumberFormat="1" applyFont="1" applyFill="1" applyBorder="1">
      <alignment/>
      <protection/>
    </xf>
    <xf numFmtId="3" fontId="36" fillId="0" borderId="0" xfId="587" applyNumberFormat="1" applyFont="1" applyFill="1" applyBorder="1">
      <alignment/>
      <protection/>
    </xf>
    <xf numFmtId="3" fontId="35" fillId="0" borderId="23" xfId="587" applyNumberFormat="1" applyFont="1" applyFill="1" applyBorder="1" applyAlignment="1">
      <alignment horizontal="right"/>
      <protection/>
    </xf>
    <xf numFmtId="3" fontId="35" fillId="0" borderId="23" xfId="587" applyNumberFormat="1" applyFont="1" applyBorder="1" applyAlignment="1">
      <alignment horizontal="right"/>
      <protection/>
    </xf>
    <xf numFmtId="3" fontId="36" fillId="0" borderId="23" xfId="587" applyNumberFormat="1" applyFont="1" applyFill="1" applyBorder="1" applyAlignment="1">
      <alignment horizontal="right"/>
      <protection/>
    </xf>
    <xf numFmtId="1" fontId="35" fillId="0" borderId="0" xfId="587" applyNumberFormat="1" applyFont="1" applyFill="1" applyBorder="1" applyAlignment="1">
      <alignment horizontal="left"/>
      <protection/>
    </xf>
    <xf numFmtId="1" fontId="35" fillId="0" borderId="0" xfId="587" applyNumberFormat="1" applyFont="1" applyFill="1" applyBorder="1" applyAlignment="1">
      <alignment horizontal="right"/>
      <protection/>
    </xf>
    <xf numFmtId="2" fontId="40" fillId="0" borderId="0" xfId="587" applyNumberFormat="1" applyFont="1" applyBorder="1" applyAlignment="1">
      <alignment horizontal="left"/>
      <protection/>
    </xf>
    <xf numFmtId="3" fontId="35" fillId="0" borderId="24" xfId="587" applyNumberFormat="1" applyFont="1" applyFill="1" applyBorder="1" applyAlignment="1">
      <alignment horizontal="right"/>
      <protection/>
    </xf>
    <xf numFmtId="3" fontId="36" fillId="0" borderId="24" xfId="587" applyNumberFormat="1" applyFont="1" applyFill="1" applyBorder="1" applyAlignment="1">
      <alignment horizontal="right"/>
      <protection/>
    </xf>
    <xf numFmtId="0" fontId="35" fillId="0" borderId="21" xfId="587" applyFont="1" applyFill="1" applyBorder="1">
      <alignment/>
      <protection/>
    </xf>
    <xf numFmtId="0" fontId="35" fillId="0" borderId="22" xfId="587" applyFont="1" applyBorder="1">
      <alignment/>
      <protection/>
    </xf>
    <xf numFmtId="3" fontId="35" fillId="0" borderId="17" xfId="587" applyNumberFormat="1" applyFont="1" applyFill="1" applyBorder="1" applyAlignment="1">
      <alignment horizontal="right"/>
      <protection/>
    </xf>
    <xf numFmtId="3" fontId="36" fillId="0" borderId="17" xfId="587" applyNumberFormat="1" applyFont="1" applyFill="1" applyBorder="1" applyAlignment="1">
      <alignment horizontal="right"/>
      <protection/>
    </xf>
    <xf numFmtId="0" fontId="35" fillId="0" borderId="22" xfId="587" applyFont="1" applyBorder="1" applyAlignment="1">
      <alignment/>
      <protection/>
    </xf>
    <xf numFmtId="0" fontId="35" fillId="0" borderId="0" xfId="587" applyFont="1" applyBorder="1" applyAlignment="1">
      <alignment/>
      <protection/>
    </xf>
    <xf numFmtId="3" fontId="35" fillId="0" borderId="0" xfId="587" applyNumberFormat="1" applyFont="1" applyFill="1" applyBorder="1" applyAlignment="1">
      <alignment horizontal="right"/>
      <protection/>
    </xf>
    <xf numFmtId="3" fontId="36" fillId="0" borderId="0" xfId="587" applyNumberFormat="1" applyFont="1" applyFill="1" applyBorder="1" applyAlignment="1">
      <alignment horizontal="right"/>
      <protection/>
    </xf>
    <xf numFmtId="3" fontId="31" fillId="4" borderId="0" xfId="587" applyNumberFormat="1" applyFont="1" applyFill="1" applyBorder="1" applyAlignment="1">
      <alignment/>
      <protection/>
    </xf>
    <xf numFmtId="3" fontId="31" fillId="0" borderId="0" xfId="587" applyNumberFormat="1" applyFont="1" applyFill="1" applyBorder="1" applyAlignment="1">
      <alignment/>
      <protection/>
    </xf>
    <xf numFmtId="3" fontId="35" fillId="0" borderId="16" xfId="587" applyNumberFormat="1" applyFont="1" applyFill="1" applyBorder="1" applyAlignment="1">
      <alignment horizontal="center"/>
      <protection/>
    </xf>
    <xf numFmtId="3" fontId="36" fillId="0" borderId="16" xfId="587" applyNumberFormat="1" applyFont="1" applyFill="1" applyBorder="1" applyAlignment="1">
      <alignment horizontal="center"/>
      <protection/>
    </xf>
    <xf numFmtId="3" fontId="36" fillId="0" borderId="23" xfId="587" applyNumberFormat="1" applyFont="1" applyBorder="1" applyAlignment="1">
      <alignment horizontal="right"/>
      <protection/>
    </xf>
    <xf numFmtId="3" fontId="33" fillId="0" borderId="0" xfId="587" applyNumberFormat="1" applyFont="1" applyFill="1" applyBorder="1" applyAlignment="1">
      <alignment horizontal="right" vertical="top"/>
      <protection/>
    </xf>
    <xf numFmtId="3" fontId="35" fillId="0" borderId="16" xfId="587" applyNumberFormat="1" applyFont="1" applyFill="1" applyBorder="1">
      <alignment/>
      <protection/>
    </xf>
    <xf numFmtId="3" fontId="36" fillId="0" borderId="16" xfId="587" applyNumberFormat="1" applyFont="1" applyFill="1" applyBorder="1">
      <alignment/>
      <protection/>
    </xf>
    <xf numFmtId="3" fontId="33" fillId="0" borderId="0" xfId="587" applyNumberFormat="1" applyFont="1" applyFill="1" applyBorder="1" applyAlignment="1">
      <alignment horizontal="right"/>
      <protection/>
    </xf>
    <xf numFmtId="3" fontId="35" fillId="0" borderId="17" xfId="587" applyNumberFormat="1" applyFont="1" applyFill="1" applyBorder="1">
      <alignment/>
      <protection/>
    </xf>
    <xf numFmtId="3" fontId="36" fillId="0" borderId="17" xfId="587" applyNumberFormat="1" applyFont="1" applyFill="1" applyBorder="1">
      <alignment/>
      <protection/>
    </xf>
    <xf numFmtId="3" fontId="33" fillId="0" borderId="0" xfId="587" applyNumberFormat="1" applyFont="1" applyFill="1" applyBorder="1">
      <alignment/>
      <protection/>
    </xf>
    <xf numFmtId="3" fontId="32" fillId="0" borderId="0" xfId="587" applyNumberFormat="1" applyFont="1" applyFill="1" applyBorder="1" applyAlignment="1">
      <alignment horizontal="center"/>
      <protection/>
    </xf>
    <xf numFmtId="3" fontId="5" fillId="0" borderId="0" xfId="587" applyNumberFormat="1" applyFont="1" applyFill="1" applyBorder="1">
      <alignment/>
      <protection/>
    </xf>
    <xf numFmtId="2" fontId="38" fillId="0" borderId="0" xfId="587" applyNumberFormat="1" applyFont="1" applyFill="1" applyBorder="1" applyAlignment="1">
      <alignment horizontal="left"/>
      <protection/>
    </xf>
    <xf numFmtId="4" fontId="35" fillId="8" borderId="0" xfId="587" applyNumberFormat="1" applyFont="1" applyFill="1" applyBorder="1" applyAlignment="1">
      <alignment horizontal="right"/>
      <protection/>
    </xf>
    <xf numFmtId="0" fontId="35" fillId="0" borderId="18" xfId="587" applyFont="1" applyFill="1" applyBorder="1">
      <alignment/>
      <protection/>
    </xf>
    <xf numFmtId="4" fontId="5" fillId="0" borderId="0" xfId="587" applyNumberFormat="1" applyFont="1" applyFill="1" applyBorder="1" applyAlignment="1">
      <alignment horizontal="right"/>
      <protection/>
    </xf>
    <xf numFmtId="3" fontId="5" fillId="0" borderId="0" xfId="587" applyNumberFormat="1" applyFont="1" applyFill="1" applyBorder="1" applyAlignment="1">
      <alignment horizontal="right"/>
      <protection/>
    </xf>
    <xf numFmtId="3" fontId="35" fillId="0" borderId="15" xfId="587" applyNumberFormat="1" applyFont="1" applyBorder="1" applyAlignment="1">
      <alignment horizontal="right"/>
      <protection/>
    </xf>
    <xf numFmtId="3" fontId="36" fillId="0" borderId="15" xfId="587" applyNumberFormat="1" applyFont="1" applyBorder="1" applyAlignment="1">
      <alignment horizontal="right"/>
      <protection/>
    </xf>
    <xf numFmtId="4" fontId="35" fillId="0" borderId="15" xfId="587" applyNumberFormat="1" applyFont="1" applyBorder="1" applyAlignment="1">
      <alignment horizontal="right"/>
      <protection/>
    </xf>
    <xf numFmtId="4" fontId="35" fillId="0" borderId="17" xfId="587" applyNumberFormat="1" applyFont="1" applyBorder="1">
      <alignment/>
      <protection/>
    </xf>
    <xf numFmtId="4" fontId="35" fillId="0" borderId="0" xfId="587" applyNumberFormat="1" applyFont="1" applyFill="1" applyBorder="1">
      <alignment/>
      <protection/>
    </xf>
    <xf numFmtId="4" fontId="41" fillId="0" borderId="0" xfId="587" applyNumberFormat="1" applyFont="1" applyFill="1" applyBorder="1" applyAlignment="1">
      <alignment horizontal="right"/>
      <protection/>
    </xf>
    <xf numFmtId="0" fontId="35" fillId="0" borderId="25" xfId="587" applyFont="1" applyFill="1" applyBorder="1">
      <alignment/>
      <protection/>
    </xf>
    <xf numFmtId="0" fontId="30" fillId="3" borderId="26" xfId="587" applyFont="1" applyFill="1" applyBorder="1">
      <alignment/>
      <protection/>
    </xf>
    <xf numFmtId="0" fontId="30" fillId="3" borderId="27" xfId="587" applyFont="1" applyFill="1" applyBorder="1">
      <alignment/>
      <protection/>
    </xf>
    <xf numFmtId="0" fontId="30" fillId="7" borderId="28" xfId="587" applyFont="1" applyFill="1" applyBorder="1" applyAlignment="1">
      <alignment vertical="top"/>
      <protection/>
    </xf>
    <xf numFmtId="0" fontId="30" fillId="7" borderId="29" xfId="587" applyFont="1" applyFill="1" applyBorder="1" applyAlignment="1">
      <alignment horizontal="center"/>
      <protection/>
    </xf>
    <xf numFmtId="4" fontId="30" fillId="7" borderId="30" xfId="587" applyNumberFormat="1" applyFont="1" applyFill="1" applyBorder="1" applyAlignment="1">
      <alignment horizontal="justify" vertical="top"/>
      <protection/>
    </xf>
    <xf numFmtId="2" fontId="30" fillId="7" borderId="31" xfId="587" applyNumberFormat="1" applyFont="1" applyFill="1" applyBorder="1" applyAlignment="1">
      <alignment horizontal="justify" vertical="center"/>
      <protection/>
    </xf>
    <xf numFmtId="4" fontId="34" fillId="4" borderId="20" xfId="587" applyNumberFormat="1" applyFont="1" applyFill="1" applyBorder="1">
      <alignment/>
      <protection/>
    </xf>
    <xf numFmtId="4" fontId="34" fillId="0" borderId="0" xfId="587" applyNumberFormat="1" applyFont="1" applyFill="1" applyBorder="1">
      <alignment/>
      <protection/>
    </xf>
    <xf numFmtId="0" fontId="35" fillId="0" borderId="0" xfId="587" applyFont="1" applyBorder="1" applyAlignment="1">
      <alignment horizontal="left"/>
      <protection/>
    </xf>
    <xf numFmtId="0" fontId="5" fillId="0" borderId="0" xfId="587">
      <alignment/>
      <protection/>
    </xf>
    <xf numFmtId="10" fontId="5" fillId="0" borderId="0" xfId="587" applyNumberFormat="1" applyFont="1" applyBorder="1">
      <alignment/>
      <protection/>
    </xf>
    <xf numFmtId="4" fontId="35" fillId="0" borderId="16" xfId="587" applyNumberFormat="1" applyFont="1" applyBorder="1">
      <alignment/>
      <protection/>
    </xf>
    <xf numFmtId="4" fontId="35" fillId="0" borderId="24" xfId="587" applyNumberFormat="1" applyFont="1" applyBorder="1">
      <alignment/>
      <protection/>
    </xf>
    <xf numFmtId="4" fontId="35" fillId="0" borderId="0" xfId="587" applyNumberFormat="1" applyFont="1" applyBorder="1" applyAlignment="1">
      <alignment horizontal="right"/>
      <protection/>
    </xf>
    <xf numFmtId="4" fontId="34" fillId="4" borderId="17" xfId="587" applyNumberFormat="1" applyFont="1" applyFill="1" applyBorder="1">
      <alignment/>
      <protection/>
    </xf>
    <xf numFmtId="0" fontId="5" fillId="3" borderId="32" xfId="587" applyFont="1" applyFill="1" applyBorder="1">
      <alignment/>
      <protection/>
    </xf>
    <xf numFmtId="4" fontId="36" fillId="3" borderId="33" xfId="587" applyNumberFormat="1" applyFont="1" applyFill="1" applyBorder="1">
      <alignment/>
      <protection/>
    </xf>
    <xf numFmtId="4" fontId="36" fillId="0" borderId="0" xfId="587" applyNumberFormat="1" applyFont="1" applyFill="1" applyBorder="1">
      <alignment/>
      <protection/>
    </xf>
    <xf numFmtId="0" fontId="31" fillId="0" borderId="0" xfId="587" applyFont="1" applyFill="1" applyBorder="1">
      <alignment/>
      <protection/>
    </xf>
    <xf numFmtId="0" fontId="30" fillId="4" borderId="0" xfId="587" applyFont="1" applyFill="1" applyBorder="1" applyAlignment="1">
      <alignment/>
      <protection/>
    </xf>
    <xf numFmtId="0" fontId="30" fillId="0" borderId="0" xfId="587" applyFont="1" applyFill="1" applyBorder="1" applyAlignment="1">
      <alignment/>
      <protection/>
    </xf>
    <xf numFmtId="0" fontId="35" fillId="0" borderId="16" xfId="587" applyFont="1" applyBorder="1">
      <alignment/>
      <protection/>
    </xf>
    <xf numFmtId="0" fontId="35" fillId="0" borderId="23" xfId="587" applyFont="1" applyBorder="1">
      <alignment/>
      <protection/>
    </xf>
    <xf numFmtId="0" fontId="35" fillId="0" borderId="24" xfId="587" applyFont="1" applyBorder="1">
      <alignment/>
      <protection/>
    </xf>
    <xf numFmtId="0" fontId="33" fillId="4" borderId="18" xfId="587" applyFont="1" applyFill="1" applyBorder="1">
      <alignment/>
      <protection/>
    </xf>
    <xf numFmtId="0" fontId="33" fillId="4" borderId="19" xfId="587" applyFont="1" applyFill="1" applyBorder="1">
      <alignment/>
      <protection/>
    </xf>
    <xf numFmtId="0" fontId="33" fillId="4" borderId="34" xfId="587" applyFont="1" applyFill="1" applyBorder="1">
      <alignment/>
      <protection/>
    </xf>
    <xf numFmtId="0" fontId="34" fillId="4" borderId="20" xfId="587" applyFont="1" applyFill="1" applyBorder="1">
      <alignment/>
      <protection/>
    </xf>
    <xf numFmtId="0" fontId="36" fillId="0" borderId="0" xfId="587" applyFont="1" applyBorder="1" applyAlignment="1">
      <alignment horizontal="left"/>
      <protection/>
    </xf>
    <xf numFmtId="0" fontId="30" fillId="0" borderId="0" xfId="587" applyFont="1" applyFill="1" applyBorder="1">
      <alignment/>
      <protection/>
    </xf>
    <xf numFmtId="4" fontId="30" fillId="0" borderId="0" xfId="587" applyNumberFormat="1" applyFont="1" applyFill="1" applyBorder="1">
      <alignment/>
      <protection/>
    </xf>
    <xf numFmtId="4" fontId="35" fillId="0" borderId="16" xfId="587" applyNumberFormat="1" applyFont="1" applyFill="1" applyBorder="1">
      <alignment/>
      <protection/>
    </xf>
    <xf numFmtId="3" fontId="35" fillId="0" borderId="24" xfId="587" applyNumberFormat="1" applyFont="1" applyBorder="1">
      <alignment/>
      <protection/>
    </xf>
    <xf numFmtId="0" fontId="33" fillId="4" borderId="14" xfId="587" applyFont="1" applyFill="1" applyBorder="1">
      <alignment/>
      <protection/>
    </xf>
    <xf numFmtId="0" fontId="33" fillId="4" borderId="15" xfId="587" applyFont="1" applyFill="1" applyBorder="1">
      <alignment/>
      <protection/>
    </xf>
    <xf numFmtId="0" fontId="33" fillId="4" borderId="35" xfId="587" applyFont="1" applyFill="1" applyBorder="1">
      <alignment/>
      <protection/>
    </xf>
    <xf numFmtId="3" fontId="30" fillId="0" borderId="0" xfId="587" applyNumberFormat="1" applyFont="1" applyFill="1" applyBorder="1" applyAlignment="1">
      <alignment horizontal="right"/>
      <protection/>
    </xf>
    <xf numFmtId="0" fontId="36" fillId="0" borderId="0" xfId="587" applyFont="1" applyBorder="1">
      <alignment/>
      <protection/>
    </xf>
    <xf numFmtId="3" fontId="35" fillId="0" borderId="17" xfId="587" applyNumberFormat="1" applyFont="1" applyBorder="1">
      <alignment/>
      <protection/>
    </xf>
    <xf numFmtId="0" fontId="30" fillId="3" borderId="36" xfId="587" applyFont="1" applyFill="1" applyBorder="1">
      <alignment/>
      <protection/>
    </xf>
    <xf numFmtId="4" fontId="38" fillId="0" borderId="0" xfId="587" applyNumberFormat="1" applyFont="1" applyBorder="1">
      <alignment/>
      <protection/>
    </xf>
    <xf numFmtId="4" fontId="40" fillId="0" borderId="0" xfId="587" applyNumberFormat="1" applyFont="1" applyBorder="1">
      <alignment/>
      <protection/>
    </xf>
    <xf numFmtId="4" fontId="35" fillId="0" borderId="23" xfId="587" applyNumberFormat="1" applyFont="1" applyBorder="1">
      <alignment/>
      <protection/>
    </xf>
    <xf numFmtId="0" fontId="30" fillId="4" borderId="18" xfId="587" applyFont="1" applyFill="1" applyBorder="1">
      <alignment/>
      <protection/>
    </xf>
    <xf numFmtId="0" fontId="5" fillId="4" borderId="19" xfId="587" applyFont="1" applyFill="1" applyBorder="1">
      <alignment/>
      <protection/>
    </xf>
    <xf numFmtId="0" fontId="5" fillId="4" borderId="34" xfId="587" applyFont="1" applyFill="1" applyBorder="1">
      <alignment/>
      <protection/>
    </xf>
    <xf numFmtId="4" fontId="35" fillId="4" borderId="37" xfId="587" applyNumberFormat="1" applyFont="1" applyFill="1" applyBorder="1">
      <alignment/>
      <protection/>
    </xf>
    <xf numFmtId="0" fontId="43" fillId="0" borderId="0" xfId="0" applyFont="1" applyAlignment="1">
      <alignment horizontal="center"/>
    </xf>
    <xf numFmtId="0" fontId="0" fillId="0" borderId="0" xfId="0" applyBorder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5" fillId="0" borderId="0" xfId="0" applyFont="1" applyAlignment="1">
      <alignment/>
    </xf>
    <xf numFmtId="174" fontId="4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5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49" fontId="46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3" fontId="44" fillId="0" borderId="0" xfId="0" applyNumberFormat="1" applyFont="1" applyAlignment="1">
      <alignment/>
    </xf>
    <xf numFmtId="0" fontId="43" fillId="9" borderId="33" xfId="0" applyFont="1" applyFill="1" applyBorder="1" applyAlignment="1">
      <alignment horizontal="center"/>
    </xf>
    <xf numFmtId="0" fontId="25" fillId="9" borderId="38" xfId="0" applyFont="1" applyFill="1" applyBorder="1" applyAlignment="1">
      <alignment horizontal="left"/>
    </xf>
    <xf numFmtId="49" fontId="45" fillId="9" borderId="32" xfId="0" applyNumberFormat="1" applyFont="1" applyFill="1" applyBorder="1" applyAlignment="1">
      <alignment horizontal="center"/>
    </xf>
    <xf numFmtId="0" fontId="0" fillId="9" borderId="32" xfId="0" applyFont="1" applyFill="1" applyBorder="1" applyAlignment="1">
      <alignment/>
    </xf>
    <xf numFmtId="0" fontId="0" fillId="9" borderId="27" xfId="0" applyFont="1" applyFill="1" applyBorder="1" applyAlignment="1">
      <alignment/>
    </xf>
    <xf numFmtId="0" fontId="43" fillId="9" borderId="39" xfId="0" applyFont="1" applyFill="1" applyBorder="1" applyAlignment="1">
      <alignment horizontal="center"/>
    </xf>
    <xf numFmtId="0" fontId="43" fillId="9" borderId="40" xfId="0" applyFont="1" applyFill="1" applyBorder="1" applyAlignment="1">
      <alignment horizontal="center"/>
    </xf>
    <xf numFmtId="49" fontId="43" fillId="9" borderId="40" xfId="0" applyNumberFormat="1" applyFont="1" applyFill="1" applyBorder="1" applyAlignment="1">
      <alignment horizontal="center"/>
    </xf>
    <xf numFmtId="0" fontId="47" fillId="9" borderId="13" xfId="0" applyFont="1" applyFill="1" applyBorder="1" applyAlignment="1">
      <alignment/>
    </xf>
    <xf numFmtId="0" fontId="47" fillId="9" borderId="41" xfId="0" applyFont="1" applyFill="1" applyBorder="1" applyAlignment="1">
      <alignment horizontal="center"/>
    </xf>
    <xf numFmtId="174" fontId="0" fillId="9" borderId="21" xfId="0" applyNumberFormat="1" applyFont="1" applyFill="1" applyBorder="1" applyAlignment="1">
      <alignment horizontal="center"/>
    </xf>
    <xf numFmtId="174" fontId="0" fillId="9" borderId="42" xfId="0" applyNumberFormat="1" applyFont="1" applyFill="1" applyBorder="1" applyAlignment="1">
      <alignment horizontal="center"/>
    </xf>
    <xf numFmtId="174" fontId="0" fillId="9" borderId="43" xfId="0" applyNumberFormat="1" applyFont="1" applyFill="1" applyBorder="1" applyAlignment="1">
      <alignment horizontal="center"/>
    </xf>
    <xf numFmtId="1" fontId="0" fillId="9" borderId="21" xfId="0" applyNumberFormat="1" applyFont="1" applyFill="1" applyBorder="1" applyAlignment="1">
      <alignment horizontal="center" vertical="center"/>
    </xf>
    <xf numFmtId="1" fontId="0" fillId="9" borderId="44" xfId="0" applyNumberFormat="1" applyFont="1" applyFill="1" applyBorder="1" applyAlignment="1">
      <alignment horizontal="center" vertical="center"/>
    </xf>
    <xf numFmtId="1" fontId="0" fillId="9" borderId="45" xfId="0" applyNumberFormat="1" applyFont="1" applyFill="1" applyBorder="1" applyAlignment="1">
      <alignment horizontal="center" vertical="center"/>
    </xf>
    <xf numFmtId="0" fontId="43" fillId="0" borderId="46" xfId="0" applyFont="1" applyBorder="1" applyAlignment="1">
      <alignment horizontal="center"/>
    </xf>
    <xf numFmtId="0" fontId="48" fillId="7" borderId="28" xfId="0" applyFont="1" applyFill="1" applyBorder="1" applyAlignment="1">
      <alignment horizontal="left" vertical="center"/>
    </xf>
    <xf numFmtId="0" fontId="48" fillId="7" borderId="28" xfId="0" applyFont="1" applyFill="1" applyBorder="1" applyAlignment="1">
      <alignment vertical="center"/>
    </xf>
    <xf numFmtId="0" fontId="48" fillId="7" borderId="28" xfId="0" applyFont="1" applyFill="1" applyBorder="1" applyAlignment="1">
      <alignment/>
    </xf>
    <xf numFmtId="0" fontId="48" fillId="7" borderId="47" xfId="0" applyFont="1" applyFill="1" applyBorder="1" applyAlignment="1">
      <alignment/>
    </xf>
    <xf numFmtId="174" fontId="48" fillId="7" borderId="13" xfId="0" applyNumberFormat="1" applyFont="1" applyFill="1" applyBorder="1" applyAlignment="1">
      <alignment/>
    </xf>
    <xf numFmtId="3" fontId="48" fillId="7" borderId="41" xfId="0" applyNumberFormat="1" applyFont="1" applyFill="1" applyBorder="1" applyAlignment="1">
      <alignment/>
    </xf>
    <xf numFmtId="0" fontId="43" fillId="0" borderId="39" xfId="0" applyFont="1" applyBorder="1" applyAlignment="1">
      <alignment horizontal="center"/>
    </xf>
    <xf numFmtId="0" fontId="49" fillId="7" borderId="40" xfId="0" applyFont="1" applyFill="1" applyBorder="1" applyAlignment="1">
      <alignment/>
    </xf>
    <xf numFmtId="0" fontId="49" fillId="7" borderId="0" xfId="0" applyFont="1" applyFill="1" applyBorder="1" applyAlignment="1">
      <alignment/>
    </xf>
    <xf numFmtId="0" fontId="49" fillId="7" borderId="48" xfId="0" applyFont="1" applyFill="1" applyBorder="1" applyAlignment="1">
      <alignment/>
    </xf>
    <xf numFmtId="0" fontId="49" fillId="7" borderId="49" xfId="0" applyFont="1" applyFill="1" applyBorder="1" applyAlignment="1">
      <alignment/>
    </xf>
    <xf numFmtId="0" fontId="50" fillId="10" borderId="40" xfId="0" applyFont="1" applyFill="1" applyBorder="1" applyAlignment="1">
      <alignment horizontal="center"/>
    </xf>
    <xf numFmtId="0" fontId="52" fillId="10" borderId="40" xfId="0" applyFont="1" applyFill="1" applyBorder="1" applyAlignment="1">
      <alignment/>
    </xf>
    <xf numFmtId="0" fontId="43" fillId="10" borderId="0" xfId="0" applyFont="1" applyFill="1" applyBorder="1" applyAlignment="1">
      <alignment/>
    </xf>
    <xf numFmtId="0" fontId="43" fillId="10" borderId="48" xfId="0" applyFont="1" applyFill="1" applyBorder="1" applyAlignment="1">
      <alignment/>
    </xf>
    <xf numFmtId="174" fontId="51" fillId="10" borderId="25" xfId="0" applyNumberFormat="1" applyFont="1" applyFill="1" applyBorder="1" applyAlignment="1">
      <alignment/>
    </xf>
    <xf numFmtId="3" fontId="51" fillId="10" borderId="46" xfId="0" applyNumberFormat="1" applyFont="1" applyFill="1" applyBorder="1" applyAlignment="1">
      <alignment/>
    </xf>
    <xf numFmtId="3" fontId="51" fillId="10" borderId="39" xfId="0" applyNumberFormat="1" applyFont="1" applyFill="1" applyBorder="1" applyAlignment="1">
      <alignment/>
    </xf>
    <xf numFmtId="0" fontId="53" fillId="0" borderId="40" xfId="0" applyFont="1" applyFill="1" applyBorder="1" applyAlignment="1">
      <alignment horizontal="center"/>
    </xf>
    <xf numFmtId="49" fontId="49" fillId="3" borderId="0" xfId="0" applyNumberFormat="1" applyFont="1" applyFill="1" applyBorder="1" applyAlignment="1">
      <alignment horizontal="left"/>
    </xf>
    <xf numFmtId="0" fontId="54" fillId="3" borderId="0" xfId="0" applyFont="1" applyFill="1" applyBorder="1" applyAlignment="1">
      <alignment/>
    </xf>
    <xf numFmtId="0" fontId="43" fillId="3" borderId="0" xfId="0" applyFont="1" applyFill="1" applyBorder="1" applyAlignment="1">
      <alignment/>
    </xf>
    <xf numFmtId="0" fontId="49" fillId="3" borderId="48" xfId="0" applyFont="1" applyFill="1" applyBorder="1" applyAlignment="1">
      <alignment/>
    </xf>
    <xf numFmtId="174" fontId="49" fillId="3" borderId="25" xfId="0" applyNumberFormat="1" applyFont="1" applyFill="1" applyBorder="1" applyAlignment="1">
      <alignment horizontal="right"/>
    </xf>
    <xf numFmtId="3" fontId="49" fillId="3" borderId="39" xfId="0" applyNumberFormat="1" applyFont="1" applyFill="1" applyBorder="1" applyAlignment="1">
      <alignment horizontal="right"/>
    </xf>
    <xf numFmtId="0" fontId="43" fillId="0" borderId="0" xfId="0" applyFont="1" applyFill="1" applyAlignment="1">
      <alignment/>
    </xf>
    <xf numFmtId="0" fontId="50" fillId="0" borderId="4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7" borderId="48" xfId="0" applyFont="1" applyFill="1" applyBorder="1" applyAlignment="1">
      <alignment/>
    </xf>
    <xf numFmtId="174" fontId="49" fillId="7" borderId="25" xfId="0" applyNumberFormat="1" applyFont="1" applyFill="1" applyBorder="1" applyAlignment="1">
      <alignment/>
    </xf>
    <xf numFmtId="3" fontId="49" fillId="7" borderId="39" xfId="0" applyNumberFormat="1" applyFont="1" applyFill="1" applyBorder="1" applyAlignment="1">
      <alignment/>
    </xf>
    <xf numFmtId="0" fontId="43" fillId="0" borderId="0" xfId="0" applyFont="1" applyBorder="1" applyAlignment="1">
      <alignment horizontal="center"/>
    </xf>
    <xf numFmtId="49" fontId="50" fillId="15" borderId="24" xfId="0" applyNumberFormat="1" applyFont="1" applyFill="1" applyBorder="1" applyAlignment="1">
      <alignment horizontal="center"/>
    </xf>
    <xf numFmtId="49" fontId="51" fillId="15" borderId="50" xfId="0" applyNumberFormat="1" applyFont="1" applyFill="1" applyBorder="1" applyAlignment="1">
      <alignment horizontal="left"/>
    </xf>
    <xf numFmtId="0" fontId="51" fillId="15" borderId="15" xfId="0" applyFont="1" applyFill="1" applyBorder="1" applyAlignment="1">
      <alignment/>
    </xf>
    <xf numFmtId="0" fontId="51" fillId="15" borderId="51" xfId="0" applyFont="1" applyFill="1" applyBorder="1" applyAlignment="1">
      <alignment/>
    </xf>
    <xf numFmtId="174" fontId="51" fillId="15" borderId="14" xfId="0" applyNumberFormat="1" applyFont="1" applyFill="1" applyBorder="1" applyAlignment="1">
      <alignment horizontal="right"/>
    </xf>
    <xf numFmtId="3" fontId="49" fillId="15" borderId="52" xfId="0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horizontal="center"/>
    </xf>
    <xf numFmtId="49" fontId="55" fillId="0" borderId="53" xfId="0" applyNumberFormat="1" applyFont="1" applyFill="1" applyBorder="1" applyAlignment="1">
      <alignment horizontal="right"/>
    </xf>
    <xf numFmtId="0" fontId="43" fillId="0" borderId="24" xfId="0" applyFont="1" applyBorder="1" applyAlignment="1">
      <alignment horizontal="center"/>
    </xf>
    <xf numFmtId="0" fontId="43" fillId="8" borderId="53" xfId="0" applyFont="1" applyFill="1" applyBorder="1" applyAlignment="1">
      <alignment/>
    </xf>
    <xf numFmtId="0" fontId="43" fillId="8" borderId="40" xfId="0" applyFont="1" applyFill="1" applyBorder="1" applyAlignment="1">
      <alignment/>
    </xf>
    <xf numFmtId="174" fontId="43" fillId="0" borderId="0" xfId="0" applyNumberFormat="1" applyFont="1" applyFill="1" applyBorder="1" applyAlignment="1">
      <alignment horizontal="right"/>
    </xf>
    <xf numFmtId="3" fontId="43" fillId="0" borderId="39" xfId="0" applyNumberFormat="1" applyFont="1" applyFill="1" applyBorder="1" applyAlignment="1">
      <alignment horizontal="right"/>
    </xf>
    <xf numFmtId="0" fontId="43" fillId="0" borderId="16" xfId="0" applyFont="1" applyBorder="1" applyAlignment="1">
      <alignment horizontal="center"/>
    </xf>
    <xf numFmtId="0" fontId="43" fillId="0" borderId="50" xfId="0" applyFont="1" applyFill="1" applyBorder="1" applyAlignment="1">
      <alignment/>
    </xf>
    <xf numFmtId="0" fontId="43" fillId="0" borderId="35" xfId="0" applyFont="1" applyFill="1" applyBorder="1" applyAlignment="1">
      <alignment/>
    </xf>
    <xf numFmtId="174" fontId="43" fillId="0" borderId="15" xfId="0" applyNumberFormat="1" applyFont="1" applyFill="1" applyBorder="1" applyAlignment="1">
      <alignment horizontal="right"/>
    </xf>
    <xf numFmtId="3" fontId="43" fillId="0" borderId="52" xfId="0" applyNumberFormat="1" applyFont="1" applyFill="1" applyBorder="1" applyAlignment="1">
      <alignment horizontal="right"/>
    </xf>
    <xf numFmtId="0" fontId="43" fillId="8" borderId="50" xfId="0" applyFont="1" applyFill="1" applyBorder="1" applyAlignment="1">
      <alignment/>
    </xf>
    <xf numFmtId="0" fontId="43" fillId="8" borderId="35" xfId="0" applyFont="1" applyFill="1" applyBorder="1" applyAlignment="1">
      <alignment/>
    </xf>
    <xf numFmtId="0" fontId="43" fillId="8" borderId="54" xfId="0" applyFont="1" applyFill="1" applyBorder="1" applyAlignment="1">
      <alignment/>
    </xf>
    <xf numFmtId="0" fontId="43" fillId="8" borderId="55" xfId="0" applyFont="1" applyFill="1" applyBorder="1" applyAlignment="1">
      <alignment/>
    </xf>
    <xf numFmtId="174" fontId="43" fillId="0" borderId="22" xfId="0" applyNumberFormat="1" applyFont="1" applyFill="1" applyBorder="1" applyAlignment="1">
      <alignment horizontal="right"/>
    </xf>
    <xf numFmtId="3" fontId="43" fillId="0" borderId="44" xfId="0" applyNumberFormat="1" applyFont="1" applyFill="1" applyBorder="1" applyAlignment="1">
      <alignment horizontal="right"/>
    </xf>
    <xf numFmtId="0" fontId="43" fillId="8" borderId="51" xfId="0" applyFont="1" applyFill="1" applyBorder="1" applyAlignment="1">
      <alignment/>
    </xf>
    <xf numFmtId="174" fontId="43" fillId="0" borderId="14" xfId="0" applyNumberFormat="1" applyFont="1" applyFill="1" applyBorder="1" applyAlignment="1">
      <alignment horizontal="right"/>
    </xf>
    <xf numFmtId="0" fontId="43" fillId="0" borderId="40" xfId="0" applyFont="1" applyBorder="1" applyAlignment="1">
      <alignment horizontal="center"/>
    </xf>
    <xf numFmtId="0" fontId="0" fillId="3" borderId="0" xfId="0" applyFont="1" applyFill="1" applyBorder="1" applyAlignment="1">
      <alignment/>
    </xf>
    <xf numFmtId="0" fontId="51" fillId="3" borderId="48" xfId="0" applyFont="1" applyFill="1" applyBorder="1" applyAlignment="1">
      <alignment/>
    </xf>
    <xf numFmtId="174" fontId="51" fillId="3" borderId="25" xfId="0" applyNumberFormat="1" applyFont="1" applyFill="1" applyBorder="1" applyAlignment="1">
      <alignment horizontal="right"/>
    </xf>
    <xf numFmtId="3" fontId="51" fillId="3" borderId="39" xfId="0" applyNumberFormat="1" applyFont="1" applyFill="1" applyBorder="1" applyAlignment="1">
      <alignment horizontal="right"/>
    </xf>
    <xf numFmtId="0" fontId="43" fillId="0" borderId="40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50" fillId="15" borderId="40" xfId="0" applyNumberFormat="1" applyFont="1" applyFill="1" applyBorder="1" applyAlignment="1">
      <alignment horizontal="center"/>
    </xf>
    <xf numFmtId="0" fontId="51" fillId="15" borderId="50" xfId="0" applyFont="1" applyFill="1" applyBorder="1" applyAlignment="1">
      <alignment/>
    </xf>
    <xf numFmtId="0" fontId="49" fillId="15" borderId="51" xfId="0" applyFont="1" applyFill="1" applyBorder="1" applyAlignment="1">
      <alignment/>
    </xf>
    <xf numFmtId="174" fontId="49" fillId="15" borderId="14" xfId="0" applyNumberFormat="1" applyFont="1" applyFill="1" applyBorder="1" applyAlignment="1">
      <alignment horizontal="right"/>
    </xf>
    <xf numFmtId="49" fontId="55" fillId="0" borderId="40" xfId="0" applyNumberFormat="1" applyFont="1" applyFill="1" applyBorder="1" applyAlignment="1">
      <alignment horizontal="right"/>
    </xf>
    <xf numFmtId="0" fontId="43" fillId="0" borderId="24" xfId="0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0" fontId="43" fillId="0" borderId="48" xfId="0" applyFont="1" applyFill="1" applyBorder="1" applyAlignment="1">
      <alignment/>
    </xf>
    <xf numFmtId="174" fontId="49" fillId="0" borderId="25" xfId="0" applyNumberFormat="1" applyFont="1" applyFill="1" applyBorder="1" applyAlignment="1">
      <alignment horizontal="right"/>
    </xf>
    <xf numFmtId="0" fontId="43" fillId="0" borderId="16" xfId="0" applyFont="1" applyFill="1" applyBorder="1" applyAlignment="1">
      <alignment horizontal="center"/>
    </xf>
    <xf numFmtId="0" fontId="43" fillId="0" borderId="15" xfId="0" applyFont="1" applyFill="1" applyBorder="1" applyAlignment="1">
      <alignment/>
    </xf>
    <xf numFmtId="0" fontId="43" fillId="0" borderId="51" xfId="0" applyFont="1" applyFill="1" applyBorder="1" applyAlignment="1">
      <alignment/>
    </xf>
    <xf numFmtId="174" fontId="49" fillId="0" borderId="14" xfId="0" applyNumberFormat="1" applyFont="1" applyFill="1" applyBorder="1" applyAlignment="1">
      <alignment horizontal="right"/>
    </xf>
    <xf numFmtId="0" fontId="49" fillId="0" borderId="51" xfId="0" applyFont="1" applyFill="1" applyBorder="1" applyAlignment="1">
      <alignment/>
    </xf>
    <xf numFmtId="174" fontId="43" fillId="0" borderId="14" xfId="0" applyNumberFormat="1" applyFont="1" applyFill="1" applyBorder="1" applyAlignment="1">
      <alignment/>
    </xf>
    <xf numFmtId="3" fontId="43" fillId="0" borderId="52" xfId="0" applyNumberFormat="1" applyFont="1" applyFill="1" applyBorder="1" applyAlignment="1">
      <alignment/>
    </xf>
    <xf numFmtId="174" fontId="49" fillId="15" borderId="14" xfId="0" applyNumberFormat="1" applyFont="1" applyFill="1" applyBorder="1" applyAlignment="1">
      <alignment/>
    </xf>
    <xf numFmtId="3" fontId="49" fillId="15" borderId="52" xfId="0" applyNumberFormat="1" applyFont="1" applyFill="1" applyBorder="1" applyAlignment="1">
      <alignment/>
    </xf>
    <xf numFmtId="49" fontId="43" fillId="0" borderId="24" xfId="0" applyNumberFormat="1" applyFont="1" applyFill="1" applyBorder="1" applyAlignment="1">
      <alignment horizontal="center"/>
    </xf>
    <xf numFmtId="0" fontId="43" fillId="8" borderId="48" xfId="0" applyFont="1" applyFill="1" applyBorder="1" applyAlignment="1">
      <alignment/>
    </xf>
    <xf numFmtId="174" fontId="43" fillId="0" borderId="25" xfId="0" applyNumberFormat="1" applyFont="1" applyFill="1" applyBorder="1" applyAlignment="1">
      <alignment/>
    </xf>
    <xf numFmtId="3" fontId="43" fillId="0" borderId="39" xfId="0" applyNumberFormat="1" applyFont="1" applyFill="1" applyBorder="1" applyAlignment="1">
      <alignment/>
    </xf>
    <xf numFmtId="49" fontId="55" fillId="0" borderId="0" xfId="0" applyNumberFormat="1" applyFont="1" applyFill="1" applyBorder="1" applyAlignment="1">
      <alignment horizontal="right"/>
    </xf>
    <xf numFmtId="49" fontId="43" fillId="0" borderId="16" xfId="0" applyNumberFormat="1" applyFont="1" applyFill="1" applyBorder="1" applyAlignment="1">
      <alignment horizontal="center"/>
    </xf>
    <xf numFmtId="49" fontId="55" fillId="0" borderId="24" xfId="0" applyNumberFormat="1" applyFont="1" applyFill="1" applyBorder="1" applyAlignment="1">
      <alignment horizontal="right"/>
    </xf>
    <xf numFmtId="174" fontId="43" fillId="0" borderId="25" xfId="0" applyNumberFormat="1" applyFont="1" applyFill="1" applyBorder="1" applyAlignment="1">
      <alignment horizontal="right"/>
    </xf>
    <xf numFmtId="0" fontId="43" fillId="0" borderId="0" xfId="0" applyFont="1" applyBorder="1" applyAlignment="1">
      <alignment/>
    </xf>
    <xf numFmtId="0" fontId="43" fillId="0" borderId="53" xfId="0" applyFont="1" applyBorder="1" applyAlignment="1">
      <alignment/>
    </xf>
    <xf numFmtId="0" fontId="43" fillId="0" borderId="39" xfId="0" applyFont="1" applyBorder="1" applyAlignment="1">
      <alignment/>
    </xf>
    <xf numFmtId="0" fontId="43" fillId="0" borderId="0" xfId="0" applyFont="1" applyAlignment="1">
      <alignment/>
    </xf>
    <xf numFmtId="0" fontId="43" fillId="0" borderId="50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52" xfId="0" applyFont="1" applyBorder="1" applyAlignment="1">
      <alignment/>
    </xf>
    <xf numFmtId="0" fontId="52" fillId="0" borderId="53" xfId="0" applyFont="1" applyFill="1" applyBorder="1" applyAlignment="1">
      <alignment/>
    </xf>
    <xf numFmtId="174" fontId="51" fillId="15" borderId="14" xfId="0" applyNumberFormat="1" applyFont="1" applyFill="1" applyBorder="1" applyAlignment="1">
      <alignment/>
    </xf>
    <xf numFmtId="3" fontId="49" fillId="15" borderId="52" xfId="0" applyNumberFormat="1" applyFont="1" applyFill="1" applyBorder="1" applyAlignment="1">
      <alignment/>
    </xf>
    <xf numFmtId="0" fontId="49" fillId="0" borderId="48" xfId="0" applyFont="1" applyFill="1" applyBorder="1" applyAlignment="1">
      <alignment/>
    </xf>
    <xf numFmtId="174" fontId="49" fillId="0" borderId="25" xfId="0" applyNumberFormat="1" applyFont="1" applyFill="1" applyBorder="1" applyAlignment="1">
      <alignment/>
    </xf>
    <xf numFmtId="3" fontId="43" fillId="0" borderId="39" xfId="0" applyNumberFormat="1" applyFont="1" applyFill="1" applyBorder="1" applyAlignment="1">
      <alignment/>
    </xf>
    <xf numFmtId="174" fontId="49" fillId="0" borderId="14" xfId="0" applyNumberFormat="1" applyFont="1" applyFill="1" applyBorder="1" applyAlignment="1">
      <alignment/>
    </xf>
    <xf numFmtId="3" fontId="43" fillId="0" borderId="52" xfId="0" applyNumberFormat="1" applyFont="1" applyFill="1" applyBorder="1" applyAlignment="1">
      <alignment/>
    </xf>
    <xf numFmtId="0" fontId="50" fillId="10" borderId="0" xfId="0" applyFont="1" applyFill="1" applyBorder="1" applyAlignment="1">
      <alignment horizontal="center"/>
    </xf>
    <xf numFmtId="0" fontId="52" fillId="10" borderId="53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49" fontId="53" fillId="15" borderId="24" xfId="0" applyNumberFormat="1" applyFont="1" applyFill="1" applyBorder="1" applyAlignment="1">
      <alignment horizontal="center"/>
    </xf>
    <xf numFmtId="0" fontId="43" fillId="0" borderId="53" xfId="0" applyFont="1" applyFill="1" applyBorder="1" applyAlignment="1">
      <alignment/>
    </xf>
    <xf numFmtId="0" fontId="52" fillId="10" borderId="0" xfId="0" applyFont="1" applyFill="1" applyBorder="1" applyAlignment="1">
      <alignment/>
    </xf>
    <xf numFmtId="0" fontId="49" fillId="10" borderId="48" xfId="0" applyFont="1" applyFill="1" applyBorder="1" applyAlignment="1">
      <alignment/>
    </xf>
    <xf numFmtId="49" fontId="53" fillId="15" borderId="40" xfId="0" applyNumberFormat="1" applyFont="1" applyFill="1" applyBorder="1" applyAlignment="1">
      <alignment horizontal="center"/>
    </xf>
    <xf numFmtId="0" fontId="55" fillId="0" borderId="0" xfId="0" applyFont="1" applyBorder="1" applyAlignment="1">
      <alignment horizontal="right"/>
    </xf>
    <xf numFmtId="0" fontId="43" fillId="0" borderId="15" xfId="0" applyFont="1" applyFill="1" applyBorder="1" applyAlignment="1">
      <alignment/>
    </xf>
    <xf numFmtId="0" fontId="49" fillId="0" borderId="51" xfId="0" applyFont="1" applyFill="1" applyBorder="1" applyAlignment="1">
      <alignment/>
    </xf>
    <xf numFmtId="174" fontId="51" fillId="0" borderId="14" xfId="0" applyNumberFormat="1" applyFont="1" applyFill="1" applyBorder="1" applyAlignment="1">
      <alignment/>
    </xf>
    <xf numFmtId="0" fontId="43" fillId="0" borderId="56" xfId="0" applyFont="1" applyBorder="1" applyAlignment="1">
      <alignment horizontal="center"/>
    </xf>
    <xf numFmtId="0" fontId="50" fillId="0" borderId="57" xfId="0" applyFont="1" applyFill="1" applyBorder="1" applyAlignment="1">
      <alignment horizontal="center"/>
    </xf>
    <xf numFmtId="0" fontId="55" fillId="0" borderId="58" xfId="0" applyFont="1" applyBorder="1" applyAlignment="1">
      <alignment horizontal="right"/>
    </xf>
    <xf numFmtId="0" fontId="43" fillId="0" borderId="37" xfId="0" applyFont="1" applyFill="1" applyBorder="1" applyAlignment="1">
      <alignment horizontal="center"/>
    </xf>
    <xf numFmtId="0" fontId="43" fillId="0" borderId="58" xfId="0" applyFont="1" applyFill="1" applyBorder="1" applyAlignment="1">
      <alignment/>
    </xf>
    <xf numFmtId="0" fontId="49" fillId="0" borderId="59" xfId="0" applyFont="1" applyFill="1" applyBorder="1" applyAlignment="1">
      <alignment/>
    </xf>
    <xf numFmtId="174" fontId="51" fillId="0" borderId="36" xfId="0" applyNumberFormat="1" applyFont="1" applyFill="1" applyBorder="1" applyAlignment="1">
      <alignment/>
    </xf>
    <xf numFmtId="3" fontId="47" fillId="0" borderId="56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3" fontId="44" fillId="0" borderId="0" xfId="0" applyNumberFormat="1" applyFont="1" applyFill="1" applyAlignment="1">
      <alignment/>
    </xf>
    <xf numFmtId="174" fontId="0" fillId="0" borderId="0" xfId="0" applyNumberFormat="1" applyFont="1" applyAlignment="1">
      <alignment/>
    </xf>
    <xf numFmtId="174" fontId="0" fillId="9" borderId="25" xfId="0" applyNumberFormat="1" applyFont="1" applyFill="1" applyBorder="1" applyAlignment="1">
      <alignment horizontal="center"/>
    </xf>
    <xf numFmtId="0" fontId="43" fillId="9" borderId="56" xfId="0" applyFont="1" applyFill="1" applyBorder="1" applyAlignment="1">
      <alignment horizontal="center"/>
    </xf>
    <xf numFmtId="0" fontId="43" fillId="9" borderId="60" xfId="0" applyFont="1" applyFill="1" applyBorder="1" applyAlignment="1">
      <alignment horizontal="center"/>
    </xf>
    <xf numFmtId="49" fontId="43" fillId="9" borderId="60" xfId="0" applyNumberFormat="1" applyFont="1" applyFill="1" applyBorder="1" applyAlignment="1">
      <alignment horizontal="center"/>
    </xf>
    <xf numFmtId="1" fontId="0" fillId="9" borderId="18" xfId="0" applyNumberFormat="1" applyFont="1" applyFill="1" applyBorder="1" applyAlignment="1">
      <alignment horizontal="center" vertical="center"/>
    </xf>
    <xf numFmtId="1" fontId="0" fillId="9" borderId="61" xfId="0" applyNumberFormat="1" applyFont="1" applyFill="1" applyBorder="1" applyAlignment="1">
      <alignment horizontal="center" vertical="center"/>
    </xf>
    <xf numFmtId="0" fontId="48" fillId="7" borderId="62" xfId="0" applyFont="1" applyFill="1" applyBorder="1" applyAlignment="1">
      <alignment horizontal="left" vertical="center"/>
    </xf>
    <xf numFmtId="0" fontId="48" fillId="7" borderId="63" xfId="0" applyFont="1" applyFill="1" applyBorder="1" applyAlignment="1">
      <alignment vertical="center"/>
    </xf>
    <xf numFmtId="0" fontId="56" fillId="7" borderId="63" xfId="0" applyFont="1" applyFill="1" applyBorder="1" applyAlignment="1">
      <alignment/>
    </xf>
    <xf numFmtId="0" fontId="48" fillId="7" borderId="63" xfId="0" applyFont="1" applyFill="1" applyBorder="1" applyAlignment="1">
      <alignment/>
    </xf>
    <xf numFmtId="0" fontId="56" fillId="7" borderId="43" xfId="0" applyFont="1" applyFill="1" applyBorder="1" applyAlignment="1">
      <alignment/>
    </xf>
    <xf numFmtId="174" fontId="48" fillId="7" borderId="62" xfId="0" applyNumberFormat="1" applyFont="1" applyFill="1" applyBorder="1" applyAlignment="1">
      <alignment/>
    </xf>
    <xf numFmtId="3" fontId="48" fillId="7" borderId="63" xfId="0" applyNumberFormat="1" applyFont="1" applyFill="1" applyBorder="1" applyAlignment="1">
      <alignment/>
    </xf>
    <xf numFmtId="0" fontId="49" fillId="7" borderId="64" xfId="0" applyFont="1" applyFill="1" applyBorder="1" applyAlignment="1">
      <alignment/>
    </xf>
    <xf numFmtId="0" fontId="49" fillId="7" borderId="65" xfId="0" applyFont="1" applyFill="1" applyBorder="1" applyAlignment="1">
      <alignment/>
    </xf>
    <xf numFmtId="0" fontId="50" fillId="10" borderId="64" xfId="0" applyFont="1" applyFill="1" applyBorder="1" applyAlignment="1">
      <alignment horizontal="center"/>
    </xf>
    <xf numFmtId="3" fontId="51" fillId="10" borderId="0" xfId="0" applyNumberFormat="1" applyFont="1" applyFill="1" applyBorder="1" applyAlignment="1">
      <alignment/>
    </xf>
    <xf numFmtId="0" fontId="50" fillId="0" borderId="64" xfId="0" applyFont="1" applyFill="1" applyBorder="1" applyAlignment="1">
      <alignment horizontal="center"/>
    </xf>
    <xf numFmtId="3" fontId="49" fillId="7" borderId="0" xfId="0" applyNumberFormat="1" applyFont="1" applyFill="1" applyBorder="1" applyAlignment="1">
      <alignment/>
    </xf>
    <xf numFmtId="0" fontId="43" fillId="0" borderId="64" xfId="0" applyFont="1" applyBorder="1" applyAlignment="1">
      <alignment horizontal="center"/>
    </xf>
    <xf numFmtId="49" fontId="53" fillId="15" borderId="0" xfId="0" applyNumberFormat="1" applyFont="1" applyFill="1" applyBorder="1" applyAlignment="1">
      <alignment horizontal="center"/>
    </xf>
    <xf numFmtId="0" fontId="43" fillId="15" borderId="15" xfId="0" applyFont="1" applyFill="1" applyBorder="1" applyAlignment="1">
      <alignment/>
    </xf>
    <xf numFmtId="0" fontId="43" fillId="15" borderId="51" xfId="0" applyFont="1" applyFill="1" applyBorder="1" applyAlignment="1">
      <alignment/>
    </xf>
    <xf numFmtId="3" fontId="49" fillId="15" borderId="14" xfId="0" applyNumberFormat="1" applyFont="1" applyFill="1" applyBorder="1" applyAlignment="1">
      <alignment horizontal="right"/>
    </xf>
    <xf numFmtId="3" fontId="43" fillId="0" borderId="15" xfId="0" applyNumberFormat="1" applyFont="1" applyFill="1" applyBorder="1" applyAlignment="1">
      <alignment horizontal="right"/>
    </xf>
    <xf numFmtId="0" fontId="43" fillId="0" borderId="57" xfId="0" applyFont="1" applyBorder="1" applyAlignment="1">
      <alignment horizontal="center"/>
    </xf>
    <xf numFmtId="49" fontId="55" fillId="0" borderId="58" xfId="0" applyNumberFormat="1" applyFont="1" applyFill="1" applyBorder="1" applyAlignment="1">
      <alignment horizontal="right"/>
    </xf>
    <xf numFmtId="49" fontId="43" fillId="0" borderId="37" xfId="0" applyNumberFormat="1" applyFont="1" applyFill="1" applyBorder="1" applyAlignment="1">
      <alignment horizontal="center"/>
    </xf>
    <xf numFmtId="0" fontId="43" fillId="0" borderId="66" xfId="0" applyFont="1" applyFill="1" applyBorder="1" applyAlignment="1">
      <alignment/>
    </xf>
    <xf numFmtId="0" fontId="43" fillId="0" borderId="59" xfId="0" applyFont="1" applyFill="1" applyBorder="1" applyAlignment="1">
      <alignment/>
    </xf>
    <xf numFmtId="174" fontId="49" fillId="0" borderId="36" xfId="0" applyNumberFormat="1" applyFont="1" applyFill="1" applyBorder="1" applyAlignment="1">
      <alignment horizontal="right"/>
    </xf>
    <xf numFmtId="3" fontId="43" fillId="0" borderId="58" xfId="0" applyNumberFormat="1" applyFont="1" applyFill="1" applyBorder="1" applyAlignment="1">
      <alignment horizontal="right"/>
    </xf>
    <xf numFmtId="3" fontId="43" fillId="0" borderId="56" xfId="0" applyNumberFormat="1" applyFont="1" applyFill="1" applyBorder="1" applyAlignment="1">
      <alignment horizontal="right"/>
    </xf>
    <xf numFmtId="0" fontId="57" fillId="0" borderId="0" xfId="0" applyFont="1" applyBorder="1" applyAlignment="1">
      <alignment/>
    </xf>
    <xf numFmtId="0" fontId="25" fillId="0" borderId="0" xfId="0" applyFont="1" applyBorder="1" applyAlignment="1">
      <alignment/>
    </xf>
    <xf numFmtId="174" fontId="0" fillId="0" borderId="0" xfId="0" applyNumberFormat="1" applyFont="1" applyBorder="1" applyAlignment="1">
      <alignment/>
    </xf>
    <xf numFmtId="3" fontId="58" fillId="0" borderId="0" xfId="0" applyNumberFormat="1" applyFont="1" applyBorder="1" applyAlignment="1">
      <alignment/>
    </xf>
    <xf numFmtId="3" fontId="58" fillId="0" borderId="0" xfId="0" applyNumberFormat="1" applyFont="1" applyFill="1" applyAlignment="1">
      <alignment/>
    </xf>
    <xf numFmtId="0" fontId="54" fillId="7" borderId="13" xfId="0" applyFont="1" applyFill="1" applyBorder="1" applyAlignment="1">
      <alignment horizontal="left" vertical="center"/>
    </xf>
    <xf numFmtId="0" fontId="48" fillId="7" borderId="67" xfId="0" applyFont="1" applyFill="1" applyBorder="1" applyAlignment="1">
      <alignment vertical="center"/>
    </xf>
    <xf numFmtId="0" fontId="56" fillId="7" borderId="28" xfId="0" applyFont="1" applyFill="1" applyBorder="1" applyAlignment="1">
      <alignment/>
    </xf>
    <xf numFmtId="0" fontId="56" fillId="7" borderId="47" xfId="0" applyFont="1" applyFill="1" applyBorder="1" applyAlignment="1">
      <alignment/>
    </xf>
    <xf numFmtId="0" fontId="50" fillId="10" borderId="25" xfId="0" applyFont="1" applyFill="1" applyBorder="1" applyAlignment="1">
      <alignment horizontal="center"/>
    </xf>
    <xf numFmtId="0" fontId="50" fillId="0" borderId="25" xfId="0" applyFont="1" applyFill="1" applyBorder="1" applyAlignment="1">
      <alignment horizontal="center"/>
    </xf>
    <xf numFmtId="0" fontId="43" fillId="0" borderId="25" xfId="0" applyFont="1" applyBorder="1" applyAlignment="1">
      <alignment horizontal="center"/>
    </xf>
    <xf numFmtId="49" fontId="53" fillId="15" borderId="24" xfId="0" applyNumberFormat="1" applyFont="1" applyFill="1" applyBorder="1" applyAlignment="1">
      <alignment horizontal="right"/>
    </xf>
    <xf numFmtId="0" fontId="43" fillId="8" borderId="0" xfId="0" applyFont="1" applyFill="1" applyBorder="1" applyAlignment="1">
      <alignment/>
    </xf>
    <xf numFmtId="3" fontId="43" fillId="0" borderId="0" xfId="0" applyNumberFormat="1" applyFont="1" applyFill="1" applyBorder="1" applyAlignment="1">
      <alignment horizontal="right"/>
    </xf>
    <xf numFmtId="0" fontId="43" fillId="8" borderId="15" xfId="0" applyFont="1" applyFill="1" applyBorder="1" applyAlignment="1">
      <alignment/>
    </xf>
    <xf numFmtId="0" fontId="52" fillId="10" borderId="25" xfId="0" applyFont="1" applyFill="1" applyBorder="1" applyAlignment="1">
      <alignment horizontal="center"/>
    </xf>
    <xf numFmtId="0" fontId="52" fillId="10" borderId="48" xfId="0" applyFont="1" applyFill="1" applyBorder="1" applyAlignment="1">
      <alignment/>
    </xf>
    <xf numFmtId="174" fontId="43" fillId="10" borderId="25" xfId="0" applyNumberFormat="1" applyFont="1" applyFill="1" applyBorder="1" applyAlignment="1">
      <alignment horizontal="right"/>
    </xf>
    <xf numFmtId="3" fontId="51" fillId="10" borderId="39" xfId="0" applyNumberFormat="1" applyFont="1" applyFill="1" applyBorder="1" applyAlignment="1">
      <alignment horizontal="right"/>
    </xf>
    <xf numFmtId="3" fontId="51" fillId="10" borderId="0" xfId="0" applyNumberFormat="1" applyFont="1" applyFill="1" applyBorder="1" applyAlignment="1">
      <alignment horizontal="right"/>
    </xf>
    <xf numFmtId="0" fontId="0" fillId="0" borderId="25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43" fillId="0" borderId="25" xfId="0" applyFont="1" applyFill="1" applyBorder="1" applyAlignment="1">
      <alignment horizontal="center"/>
    </xf>
    <xf numFmtId="0" fontId="43" fillId="8" borderId="16" xfId="0" applyFont="1" applyFill="1" applyBorder="1" applyAlignment="1">
      <alignment horizontal="center"/>
    </xf>
    <xf numFmtId="0" fontId="43" fillId="8" borderId="24" xfId="0" applyFont="1" applyFill="1" applyBorder="1" applyAlignment="1">
      <alignment horizontal="center"/>
    </xf>
    <xf numFmtId="0" fontId="35" fillId="0" borderId="36" xfId="0" applyFont="1" applyFill="1" applyBorder="1" applyAlignment="1">
      <alignment horizontal="center"/>
    </xf>
    <xf numFmtId="49" fontId="37" fillId="0" borderId="37" xfId="0" applyNumberFormat="1" applyFont="1" applyFill="1" applyBorder="1" applyAlignment="1">
      <alignment horizontal="right"/>
    </xf>
    <xf numFmtId="0" fontId="35" fillId="0" borderId="37" xfId="0" applyFont="1" applyFill="1" applyBorder="1" applyAlignment="1">
      <alignment horizontal="center"/>
    </xf>
    <xf numFmtId="0" fontId="35" fillId="0" borderId="66" xfId="0" applyFont="1" applyFill="1" applyBorder="1" applyAlignment="1">
      <alignment/>
    </xf>
    <xf numFmtId="0" fontId="35" fillId="0" borderId="59" xfId="0" applyFont="1" applyFill="1" applyBorder="1" applyAlignment="1">
      <alignment/>
    </xf>
    <xf numFmtId="174" fontId="35" fillId="0" borderId="36" xfId="0" applyNumberFormat="1" applyFont="1" applyFill="1" applyBorder="1" applyAlignment="1">
      <alignment horizontal="right"/>
    </xf>
    <xf numFmtId="3" fontId="35" fillId="0" borderId="56" xfId="0" applyNumberFormat="1" applyFont="1" applyFill="1" applyBorder="1" applyAlignment="1">
      <alignment horizontal="right"/>
    </xf>
    <xf numFmtId="3" fontId="35" fillId="0" borderId="58" xfId="0" applyNumberFormat="1" applyFont="1" applyFill="1" applyBorder="1" applyAlignment="1">
      <alignment horizontal="right"/>
    </xf>
    <xf numFmtId="1" fontId="0" fillId="9" borderId="68" xfId="0" applyNumberFormat="1" applyFont="1" applyFill="1" applyBorder="1" applyAlignment="1">
      <alignment horizontal="center" vertical="center"/>
    </xf>
    <xf numFmtId="174" fontId="59" fillId="7" borderId="13" xfId="0" applyNumberFormat="1" applyFont="1" applyFill="1" applyBorder="1" applyAlignment="1">
      <alignment/>
    </xf>
    <xf numFmtId="3" fontId="49" fillId="7" borderId="48" xfId="0" applyNumberFormat="1" applyFont="1" applyFill="1" applyBorder="1" applyAlignment="1">
      <alignment/>
    </xf>
    <xf numFmtId="3" fontId="43" fillId="0" borderId="48" xfId="0" applyNumberFormat="1" applyFont="1" applyFill="1" applyBorder="1" applyAlignment="1">
      <alignment horizontal="right"/>
    </xf>
    <xf numFmtId="3" fontId="43" fillId="0" borderId="51" xfId="0" applyNumberFormat="1" applyFont="1" applyFill="1" applyBorder="1" applyAlignment="1">
      <alignment horizontal="right"/>
    </xf>
    <xf numFmtId="3" fontId="51" fillId="10" borderId="48" xfId="0" applyNumberFormat="1" applyFont="1" applyFill="1" applyBorder="1" applyAlignment="1">
      <alignment/>
    </xf>
    <xf numFmtId="0" fontId="0" fillId="15" borderId="51" xfId="0" applyFont="1" applyFill="1" applyBorder="1" applyAlignment="1">
      <alignment/>
    </xf>
    <xf numFmtId="3" fontId="43" fillId="0" borderId="48" xfId="0" applyNumberFormat="1" applyFont="1" applyBorder="1" applyAlignment="1">
      <alignment/>
    </xf>
    <xf numFmtId="3" fontId="43" fillId="0" borderId="51" xfId="0" applyNumberFormat="1" applyFont="1" applyBorder="1" applyAlignment="1">
      <alignment/>
    </xf>
    <xf numFmtId="0" fontId="43" fillId="7" borderId="48" xfId="0" applyFont="1" applyFill="1" applyBorder="1" applyAlignment="1">
      <alignment/>
    </xf>
    <xf numFmtId="174" fontId="43" fillId="7" borderId="25" xfId="0" applyNumberFormat="1" applyFont="1" applyFill="1" applyBorder="1" applyAlignment="1">
      <alignment horizontal="right"/>
    </xf>
    <xf numFmtId="3" fontId="49" fillId="7" borderId="39" xfId="0" applyNumberFormat="1" applyFont="1" applyFill="1" applyBorder="1" applyAlignment="1">
      <alignment horizontal="right"/>
    </xf>
    <xf numFmtId="0" fontId="55" fillId="0" borderId="24" xfId="0" applyFont="1" applyBorder="1" applyAlignment="1">
      <alignment horizontal="right"/>
    </xf>
    <xf numFmtId="0" fontId="0" fillId="0" borderId="51" xfId="0" applyFont="1" applyFill="1" applyBorder="1" applyAlignment="1">
      <alignment/>
    </xf>
    <xf numFmtId="0" fontId="54" fillId="0" borderId="0" xfId="0" applyFont="1" applyBorder="1" applyAlignment="1">
      <alignment horizontal="center"/>
    </xf>
    <xf numFmtId="0" fontId="54" fillId="15" borderId="51" xfId="0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43" fillId="0" borderId="48" xfId="0" applyFont="1" applyBorder="1" applyAlignment="1">
      <alignment/>
    </xf>
    <xf numFmtId="0" fontId="0" fillId="0" borderId="25" xfId="0" applyFont="1" applyBorder="1" applyAlignment="1">
      <alignment/>
    </xf>
    <xf numFmtId="0" fontId="55" fillId="0" borderId="0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51" xfId="0" applyFont="1" applyBorder="1" applyAlignment="1">
      <alignment/>
    </xf>
    <xf numFmtId="0" fontId="52" fillId="10" borderId="0" xfId="0" applyFont="1" applyFill="1" applyBorder="1" applyAlignment="1">
      <alignment horizontal="center"/>
    </xf>
    <xf numFmtId="0" fontId="0" fillId="10" borderId="0" xfId="0" applyFont="1" applyFill="1" applyBorder="1" applyAlignment="1">
      <alignment/>
    </xf>
    <xf numFmtId="0" fontId="0" fillId="10" borderId="48" xfId="0" applyFont="1" applyFill="1" applyBorder="1" applyAlignment="1">
      <alignment/>
    </xf>
    <xf numFmtId="174" fontId="54" fillId="10" borderId="25" xfId="0" applyNumberFormat="1" applyFont="1" applyFill="1" applyBorder="1" applyAlignment="1">
      <alignment/>
    </xf>
    <xf numFmtId="0" fontId="43" fillId="0" borderId="58" xfId="0" applyFont="1" applyBorder="1" applyAlignment="1">
      <alignment horizontal="center"/>
    </xf>
    <xf numFmtId="49" fontId="55" fillId="0" borderId="37" xfId="0" applyNumberFormat="1" applyFont="1" applyFill="1" applyBorder="1" applyAlignment="1">
      <alignment horizontal="right"/>
    </xf>
    <xf numFmtId="0" fontId="43" fillId="8" borderId="66" xfId="0" applyFont="1" applyFill="1" applyBorder="1" applyAlignment="1">
      <alignment/>
    </xf>
    <xf numFmtId="0" fontId="43" fillId="8" borderId="59" xfId="0" applyFont="1" applyFill="1" applyBorder="1" applyAlignment="1">
      <alignment/>
    </xf>
    <xf numFmtId="174" fontId="43" fillId="0" borderId="36" xfId="0" applyNumberFormat="1" applyFont="1" applyFill="1" applyBorder="1" applyAlignment="1">
      <alignment horizontal="right"/>
    </xf>
    <xf numFmtId="3" fontId="43" fillId="0" borderId="59" xfId="0" applyNumberFormat="1" applyFont="1" applyFill="1" applyBorder="1" applyAlignment="1">
      <alignment horizontal="right"/>
    </xf>
    <xf numFmtId="0" fontId="48" fillId="7" borderId="63" xfId="0" applyFont="1" applyFill="1" applyBorder="1" applyAlignment="1">
      <alignment horizontal="left" vertical="center"/>
    </xf>
    <xf numFmtId="3" fontId="51" fillId="10" borderId="69" xfId="0" applyNumberFormat="1" applyFont="1" applyFill="1" applyBorder="1" applyAlignment="1">
      <alignment/>
    </xf>
    <xf numFmtId="3" fontId="49" fillId="15" borderId="51" xfId="0" applyNumberFormat="1" applyFont="1" applyFill="1" applyBorder="1" applyAlignment="1">
      <alignment horizontal="right"/>
    </xf>
    <xf numFmtId="0" fontId="52" fillId="1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right"/>
    </xf>
    <xf numFmtId="49" fontId="53" fillId="15" borderId="0" xfId="0" applyNumberFormat="1" applyFont="1" applyFill="1" applyBorder="1" applyAlignment="1">
      <alignment horizontal="right"/>
    </xf>
    <xf numFmtId="3" fontId="43" fillId="15" borderId="52" xfId="0" applyNumberFormat="1" applyFont="1" applyFill="1" applyBorder="1" applyAlignment="1">
      <alignment horizontal="right"/>
    </xf>
    <xf numFmtId="3" fontId="43" fillId="15" borderId="51" xfId="0" applyNumberFormat="1" applyFont="1" applyFill="1" applyBorder="1" applyAlignment="1">
      <alignment horizontal="right"/>
    </xf>
    <xf numFmtId="174" fontId="49" fillId="0" borderId="15" xfId="0" applyNumberFormat="1" applyFont="1" applyFill="1" applyBorder="1" applyAlignment="1">
      <alignment horizontal="right"/>
    </xf>
    <xf numFmtId="0" fontId="43" fillId="0" borderId="17" xfId="0" applyFont="1" applyFill="1" applyBorder="1" applyAlignment="1">
      <alignment horizontal="center"/>
    </xf>
    <xf numFmtId="0" fontId="43" fillId="0" borderId="45" xfId="0" applyFont="1" applyFill="1" applyBorder="1" applyAlignment="1">
      <alignment/>
    </xf>
    <xf numFmtId="174" fontId="49" fillId="0" borderId="21" xfId="0" applyNumberFormat="1" applyFont="1" applyFill="1" applyBorder="1" applyAlignment="1">
      <alignment horizontal="right"/>
    </xf>
    <xf numFmtId="3" fontId="43" fillId="0" borderId="45" xfId="0" applyNumberFormat="1" applyFont="1" applyFill="1" applyBorder="1" applyAlignment="1">
      <alignment horizontal="right"/>
    </xf>
    <xf numFmtId="0" fontId="0" fillId="10" borderId="0" xfId="0" applyFill="1" applyBorder="1" applyAlignment="1">
      <alignment/>
    </xf>
    <xf numFmtId="0" fontId="51" fillId="10" borderId="39" xfId="0" applyFont="1" applyFill="1" applyBorder="1" applyAlignment="1">
      <alignment/>
    </xf>
    <xf numFmtId="0" fontId="51" fillId="10" borderId="48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53" xfId="0" applyBorder="1" applyAlignment="1">
      <alignment/>
    </xf>
    <xf numFmtId="0" fontId="55" fillId="0" borderId="53" xfId="0" applyFont="1" applyBorder="1" applyAlignment="1">
      <alignment/>
    </xf>
    <xf numFmtId="0" fontId="43" fillId="0" borderId="50" xfId="0" applyFont="1" applyBorder="1" applyAlignment="1">
      <alignment horizontal="center"/>
    </xf>
    <xf numFmtId="0" fontId="43" fillId="0" borderId="51" xfId="0" applyFont="1" applyBorder="1" applyAlignment="1">
      <alignment/>
    </xf>
    <xf numFmtId="0" fontId="0" fillId="0" borderId="58" xfId="0" applyBorder="1" applyAlignment="1">
      <alignment horizontal="center"/>
    </xf>
    <xf numFmtId="0" fontId="55" fillId="0" borderId="66" xfId="0" applyFont="1" applyBorder="1" applyAlignment="1">
      <alignment/>
    </xf>
    <xf numFmtId="0" fontId="43" fillId="0" borderId="70" xfId="0" applyFont="1" applyBorder="1" applyAlignment="1">
      <alignment horizontal="center"/>
    </xf>
    <xf numFmtId="0" fontId="43" fillId="0" borderId="19" xfId="0" applyFont="1" applyBorder="1" applyAlignment="1">
      <alignment/>
    </xf>
    <xf numFmtId="0" fontId="43" fillId="0" borderId="61" xfId="0" applyFont="1" applyBorder="1" applyAlignment="1">
      <alignment/>
    </xf>
    <xf numFmtId="0" fontId="43" fillId="0" borderId="68" xfId="0" applyFont="1" applyBorder="1" applyAlignment="1">
      <alignment/>
    </xf>
    <xf numFmtId="0" fontId="60" fillId="0" borderId="51" xfId="0" applyFont="1" applyFill="1" applyBorder="1" applyAlignment="1">
      <alignment/>
    </xf>
    <xf numFmtId="174" fontId="61" fillId="0" borderId="14" xfId="0" applyNumberFormat="1" applyFont="1" applyFill="1" applyBorder="1" applyAlignment="1">
      <alignment horizontal="right"/>
    </xf>
    <xf numFmtId="0" fontId="43" fillId="0" borderId="57" xfId="0" applyFont="1" applyFill="1" applyBorder="1" applyAlignment="1">
      <alignment horizontal="center"/>
    </xf>
    <xf numFmtId="0" fontId="43" fillId="0" borderId="58" xfId="0" applyFont="1" applyFill="1" applyBorder="1" applyAlignment="1">
      <alignment/>
    </xf>
    <xf numFmtId="0" fontId="50" fillId="10" borderId="71" xfId="0" applyFont="1" applyFill="1" applyBorder="1" applyAlignment="1">
      <alignment horizontal="center"/>
    </xf>
    <xf numFmtId="0" fontId="52" fillId="10" borderId="72" xfId="0" applyFont="1" applyFill="1" applyBorder="1" applyAlignment="1">
      <alignment/>
    </xf>
    <xf numFmtId="0" fontId="43" fillId="10" borderId="72" xfId="0" applyFont="1" applyFill="1" applyBorder="1" applyAlignment="1">
      <alignment/>
    </xf>
    <xf numFmtId="0" fontId="43" fillId="10" borderId="69" xfId="0" applyFont="1" applyFill="1" applyBorder="1" applyAlignment="1">
      <alignment/>
    </xf>
    <xf numFmtId="174" fontId="51" fillId="10" borderId="73" xfId="0" applyNumberFormat="1" applyFont="1" applyFill="1" applyBorder="1" applyAlignment="1">
      <alignment/>
    </xf>
    <xf numFmtId="49" fontId="43" fillId="0" borderId="20" xfId="0" applyNumberFormat="1" applyFont="1" applyFill="1" applyBorder="1" applyAlignment="1">
      <alignment horizontal="center"/>
    </xf>
    <xf numFmtId="0" fontId="43" fillId="8" borderId="19" xfId="0" applyFont="1" applyFill="1" applyBorder="1" applyAlignment="1">
      <alignment/>
    </xf>
    <xf numFmtId="0" fontId="43" fillId="8" borderId="68" xfId="0" applyFont="1" applyFill="1" applyBorder="1" applyAlignment="1">
      <alignment/>
    </xf>
    <xf numFmtId="174" fontId="43" fillId="0" borderId="18" xfId="0" applyNumberFormat="1" applyFont="1" applyFill="1" applyBorder="1" applyAlignment="1">
      <alignment horizontal="right"/>
    </xf>
    <xf numFmtId="3" fontId="43" fillId="0" borderId="61" xfId="0" applyNumberFormat="1" applyFont="1" applyFill="1" applyBorder="1" applyAlignment="1">
      <alignment horizontal="right"/>
    </xf>
    <xf numFmtId="174" fontId="0" fillId="9" borderId="62" xfId="0" applyNumberFormat="1" applyFont="1" applyFill="1" applyBorder="1" applyAlignment="1">
      <alignment horizontal="center"/>
    </xf>
    <xf numFmtId="0" fontId="59" fillId="7" borderId="28" xfId="0" applyFont="1" applyFill="1" applyBorder="1" applyAlignment="1">
      <alignment vertical="center"/>
    </xf>
    <xf numFmtId="0" fontId="62" fillId="7" borderId="28" xfId="0" applyFont="1" applyFill="1" applyBorder="1" applyAlignment="1">
      <alignment/>
    </xf>
    <xf numFmtId="0" fontId="62" fillId="7" borderId="47" xfId="0" applyFont="1" applyFill="1" applyBorder="1" applyAlignment="1">
      <alignment/>
    </xf>
    <xf numFmtId="0" fontId="51" fillId="0" borderId="48" xfId="0" applyFont="1" applyFill="1" applyBorder="1" applyAlignment="1">
      <alignment/>
    </xf>
    <xf numFmtId="174" fontId="49" fillId="0" borderId="25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0" fontId="51" fillId="0" borderId="51" xfId="0" applyFont="1" applyFill="1" applyBorder="1" applyAlignment="1">
      <alignment/>
    </xf>
    <xf numFmtId="174" fontId="49" fillId="0" borderId="14" xfId="0" applyNumberFormat="1" applyFont="1" applyFill="1" applyBorder="1" applyAlignment="1">
      <alignment/>
    </xf>
    <xf numFmtId="3" fontId="43" fillId="0" borderId="15" xfId="0" applyNumberFormat="1" applyFont="1" applyFill="1" applyBorder="1" applyAlignment="1">
      <alignment/>
    </xf>
    <xf numFmtId="174" fontId="47" fillId="0" borderId="25" xfId="0" applyNumberFormat="1" applyFont="1" applyFill="1" applyBorder="1" applyAlignment="1">
      <alignment/>
    </xf>
    <xf numFmtId="174" fontId="47" fillId="0" borderId="14" xfId="0" applyNumberFormat="1" applyFont="1" applyFill="1" applyBorder="1" applyAlignment="1">
      <alignment/>
    </xf>
    <xf numFmtId="3" fontId="49" fillId="15" borderId="15" xfId="0" applyNumberFormat="1" applyFont="1" applyFill="1" applyBorder="1" applyAlignment="1">
      <alignment horizontal="right"/>
    </xf>
    <xf numFmtId="3" fontId="49" fillId="3" borderId="0" xfId="0" applyNumberFormat="1" applyFont="1" applyFill="1" applyBorder="1" applyAlignment="1">
      <alignment horizontal="right"/>
    </xf>
    <xf numFmtId="0" fontId="0" fillId="0" borderId="40" xfId="0" applyFont="1" applyBorder="1" applyAlignment="1">
      <alignment horizontal="center"/>
    </xf>
    <xf numFmtId="49" fontId="49" fillId="3" borderId="0" xfId="0" applyNumberFormat="1" applyFont="1" applyFill="1" applyBorder="1" applyAlignment="1">
      <alignment horizontal="right"/>
    </xf>
    <xf numFmtId="0" fontId="43" fillId="3" borderId="48" xfId="0" applyFont="1" applyFill="1" applyBorder="1" applyAlignment="1">
      <alignment/>
    </xf>
    <xf numFmtId="174" fontId="43" fillId="3" borderId="25" xfId="0" applyNumberFormat="1" applyFont="1" applyFill="1" applyBorder="1" applyAlignment="1">
      <alignment horizontal="right"/>
    </xf>
    <xf numFmtId="3" fontId="43" fillId="7" borderId="39" xfId="0" applyNumberFormat="1" applyFont="1" applyFill="1" applyBorder="1" applyAlignment="1">
      <alignment horizontal="right"/>
    </xf>
    <xf numFmtId="3" fontId="43" fillId="7" borderId="0" xfId="0" applyNumberFormat="1" applyFont="1" applyFill="1" applyBorder="1" applyAlignment="1">
      <alignment horizontal="right"/>
    </xf>
    <xf numFmtId="0" fontId="49" fillId="0" borderId="40" xfId="0" applyFont="1" applyBorder="1" applyAlignment="1">
      <alignment horizontal="center"/>
    </xf>
    <xf numFmtId="49" fontId="43" fillId="0" borderId="50" xfId="0" applyNumberFormat="1" applyFont="1" applyFill="1" applyBorder="1" applyAlignment="1">
      <alignment horizontal="center"/>
    </xf>
    <xf numFmtId="0" fontId="35" fillId="8" borderId="0" xfId="0" applyFont="1" applyFill="1" applyBorder="1" applyAlignment="1">
      <alignment/>
    </xf>
    <xf numFmtId="4" fontId="43" fillId="0" borderId="0" xfId="0" applyNumberFormat="1" applyFont="1" applyAlignment="1">
      <alignment/>
    </xf>
    <xf numFmtId="0" fontId="0" fillId="0" borderId="0" xfId="0" applyFont="1" applyAlignment="1">
      <alignment/>
    </xf>
    <xf numFmtId="174" fontId="0" fillId="9" borderId="74" xfId="0" applyNumberFormat="1" applyFont="1" applyFill="1" applyBorder="1" applyAlignment="1">
      <alignment horizontal="center"/>
    </xf>
    <xf numFmtId="0" fontId="60" fillId="8" borderId="50" xfId="0" applyFont="1" applyFill="1" applyBorder="1" applyAlignment="1">
      <alignment/>
    </xf>
    <xf numFmtId="3" fontId="60" fillId="0" borderId="52" xfId="0" applyNumberFormat="1" applyFont="1" applyFill="1" applyBorder="1" applyAlignment="1">
      <alignment horizontal="right"/>
    </xf>
    <xf numFmtId="3" fontId="60" fillId="0" borderId="15" xfId="0" applyNumberFormat="1" applyFont="1" applyFill="1" applyBorder="1" applyAlignment="1">
      <alignment horizontal="right"/>
    </xf>
    <xf numFmtId="0" fontId="60" fillId="8" borderId="15" xfId="0" applyFont="1" applyFill="1" applyBorder="1" applyAlignment="1">
      <alignment/>
    </xf>
    <xf numFmtId="174" fontId="61" fillId="8" borderId="75" xfId="0" applyNumberFormat="1" applyFont="1" applyFill="1" applyBorder="1" applyAlignment="1">
      <alignment/>
    </xf>
    <xf numFmtId="0" fontId="64" fillId="8" borderId="15" xfId="0" applyFont="1" applyFill="1" applyBorder="1" applyAlignment="1">
      <alignment/>
    </xf>
    <xf numFmtId="174" fontId="61" fillId="8" borderId="15" xfId="0" applyNumberFormat="1" applyFont="1" applyFill="1" applyBorder="1" applyAlignment="1">
      <alignment/>
    </xf>
    <xf numFmtId="0" fontId="0" fillId="8" borderId="15" xfId="0" applyFont="1" applyFill="1" applyBorder="1" applyAlignment="1">
      <alignment/>
    </xf>
    <xf numFmtId="174" fontId="49" fillId="8" borderId="15" xfId="0" applyNumberFormat="1" applyFont="1" applyFill="1" applyBorder="1" applyAlignment="1">
      <alignment/>
    </xf>
    <xf numFmtId="174" fontId="63" fillId="0" borderId="0" xfId="0" applyNumberFormat="1" applyFont="1" applyFill="1" applyBorder="1" applyAlignment="1">
      <alignment horizontal="right"/>
    </xf>
    <xf numFmtId="174" fontId="25" fillId="0" borderId="0" xfId="0" applyNumberFormat="1" applyFont="1" applyAlignment="1">
      <alignment/>
    </xf>
    <xf numFmtId="0" fontId="48" fillId="7" borderId="74" xfId="0" applyFont="1" applyFill="1" applyBorder="1" applyAlignment="1">
      <alignment horizontal="left" vertical="center"/>
    </xf>
    <xf numFmtId="174" fontId="48" fillId="7" borderId="62" xfId="0" applyNumberFormat="1" applyFont="1" applyFill="1" applyBorder="1" applyAlignment="1">
      <alignment/>
    </xf>
    <xf numFmtId="3" fontId="54" fillId="7" borderId="42" xfId="0" applyNumberFormat="1" applyFont="1" applyFill="1" applyBorder="1" applyAlignment="1">
      <alignment/>
    </xf>
    <xf numFmtId="175" fontId="51" fillId="10" borderId="25" xfId="0" applyNumberFormat="1" applyFont="1" applyFill="1" applyBorder="1" applyAlignment="1">
      <alignment/>
    </xf>
    <xf numFmtId="3" fontId="51" fillId="10" borderId="25" xfId="0" applyNumberFormat="1" applyFont="1" applyFill="1" applyBorder="1" applyAlignment="1">
      <alignment/>
    </xf>
    <xf numFmtId="175" fontId="49" fillId="7" borderId="25" xfId="0" applyNumberFormat="1" applyFont="1" applyFill="1" applyBorder="1" applyAlignment="1">
      <alignment/>
    </xf>
    <xf numFmtId="3" fontId="49" fillId="7" borderId="25" xfId="0" applyNumberFormat="1" applyFont="1" applyFill="1" applyBorder="1" applyAlignment="1">
      <alignment/>
    </xf>
    <xf numFmtId="175" fontId="49" fillId="15" borderId="14" xfId="0" applyNumberFormat="1" applyFont="1" applyFill="1" applyBorder="1" applyAlignment="1">
      <alignment horizontal="right"/>
    </xf>
    <xf numFmtId="3" fontId="51" fillId="10" borderId="39" xfId="0" applyNumberFormat="1" applyFont="1" applyFill="1" applyBorder="1" applyAlignment="1">
      <alignment/>
    </xf>
    <xf numFmtId="3" fontId="51" fillId="10" borderId="25" xfId="0" applyNumberFormat="1" applyFont="1" applyFill="1" applyBorder="1" applyAlignment="1">
      <alignment/>
    </xf>
    <xf numFmtId="3" fontId="49" fillId="15" borderId="14" xfId="0" applyNumberFormat="1" applyFont="1" applyFill="1" applyBorder="1" applyAlignment="1">
      <alignment/>
    </xf>
    <xf numFmtId="3" fontId="43" fillId="0" borderId="14" xfId="0" applyNumberFormat="1" applyFont="1" applyFill="1" applyBorder="1" applyAlignment="1">
      <alignment horizontal="right"/>
    </xf>
    <xf numFmtId="0" fontId="0" fillId="10" borderId="76" xfId="0" applyFont="1" applyFill="1" applyBorder="1" applyAlignment="1">
      <alignment/>
    </xf>
    <xf numFmtId="174" fontId="0" fillId="10" borderId="25" xfId="0" applyNumberFormat="1" applyFont="1" applyFill="1" applyBorder="1" applyAlignment="1">
      <alignment horizontal="right"/>
    </xf>
    <xf numFmtId="3" fontId="51" fillId="10" borderId="25" xfId="0" applyNumberFormat="1" applyFont="1" applyFill="1" applyBorder="1" applyAlignment="1">
      <alignment horizontal="right"/>
    </xf>
    <xf numFmtId="3" fontId="43" fillId="7" borderId="25" xfId="0" applyNumberFormat="1" applyFont="1" applyFill="1" applyBorder="1" applyAlignment="1">
      <alignment horizontal="right"/>
    </xf>
    <xf numFmtId="0" fontId="60" fillId="8" borderId="51" xfId="0" applyFont="1" applyFill="1" applyBorder="1" applyAlignment="1">
      <alignment/>
    </xf>
    <xf numFmtId="174" fontId="60" fillId="0" borderId="14" xfId="0" applyNumberFormat="1" applyFont="1" applyFill="1" applyBorder="1" applyAlignment="1">
      <alignment horizontal="right"/>
    </xf>
    <xf numFmtId="3" fontId="60" fillId="0" borderId="14" xfId="0" applyNumberFormat="1" applyFont="1" applyFill="1" applyBorder="1" applyAlignment="1">
      <alignment horizontal="right"/>
    </xf>
    <xf numFmtId="174" fontId="43" fillId="0" borderId="56" xfId="0" applyNumberFormat="1" applyFont="1" applyFill="1" applyBorder="1" applyAlignment="1">
      <alignment horizontal="right"/>
    </xf>
    <xf numFmtId="3" fontId="43" fillId="0" borderId="56" xfId="0" applyNumberFormat="1" applyFont="1" applyBorder="1" applyAlignment="1">
      <alignment/>
    </xf>
    <xf numFmtId="3" fontId="43" fillId="0" borderId="36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0" fontId="30" fillId="0" borderId="0" xfId="0" applyFont="1" applyFill="1" applyBorder="1" applyAlignment="1">
      <alignment/>
    </xf>
    <xf numFmtId="3" fontId="30" fillId="0" borderId="0" xfId="0" applyNumberFormat="1" applyFont="1" applyFill="1" applyBorder="1" applyAlignment="1">
      <alignment horizontal="right"/>
    </xf>
    <xf numFmtId="0" fontId="54" fillId="10" borderId="73" xfId="0" applyFont="1" applyFill="1" applyBorder="1" applyAlignment="1">
      <alignment vertical="center"/>
    </xf>
    <xf numFmtId="0" fontId="54" fillId="10" borderId="69" xfId="0" applyFont="1" applyFill="1" applyBorder="1" applyAlignment="1">
      <alignment vertical="center"/>
    </xf>
    <xf numFmtId="0" fontId="54" fillId="10" borderId="25" xfId="0" applyFont="1" applyFill="1" applyBorder="1" applyAlignment="1">
      <alignment horizontal="left" vertical="center"/>
    </xf>
    <xf numFmtId="0" fontId="54" fillId="10" borderId="0" xfId="0" applyFont="1" applyFill="1" applyBorder="1" applyAlignment="1">
      <alignment horizontal="left" vertical="center"/>
    </xf>
    <xf numFmtId="0" fontId="0" fillId="10" borderId="33" xfId="0" applyFont="1" applyFill="1" applyBorder="1" applyAlignment="1">
      <alignment horizontal="center"/>
    </xf>
    <xf numFmtId="0" fontId="0" fillId="10" borderId="41" xfId="0" applyFont="1" applyFill="1" applyBorder="1" applyAlignment="1">
      <alignment horizontal="center"/>
    </xf>
    <xf numFmtId="0" fontId="0" fillId="10" borderId="42" xfId="0" applyFont="1" applyFill="1" applyBorder="1" applyAlignment="1">
      <alignment horizontal="center"/>
    </xf>
    <xf numFmtId="0" fontId="54" fillId="10" borderId="36" xfId="0" applyFont="1" applyFill="1" applyBorder="1" applyAlignment="1">
      <alignment horizontal="left" vertical="center"/>
    </xf>
    <xf numFmtId="0" fontId="54" fillId="10" borderId="58" xfId="0" applyFont="1" applyFill="1" applyBorder="1" applyAlignment="1">
      <alignment horizontal="left" vertical="center"/>
    </xf>
    <xf numFmtId="0" fontId="5" fillId="10" borderId="39" xfId="0" applyFont="1" applyFill="1" applyBorder="1" applyAlignment="1">
      <alignment horizontal="center" vertical="center"/>
    </xf>
    <xf numFmtId="0" fontId="5" fillId="10" borderId="61" xfId="0" applyFont="1" applyFill="1" applyBorder="1" applyAlignment="1">
      <alignment horizontal="center" vertical="center"/>
    </xf>
    <xf numFmtId="0" fontId="52" fillId="0" borderId="73" xfId="0" applyFont="1" applyFill="1" applyBorder="1" applyAlignment="1">
      <alignment horizontal="left" vertical="center"/>
    </xf>
    <xf numFmtId="0" fontId="0" fillId="0" borderId="72" xfId="0" applyFont="1" applyFill="1" applyBorder="1" applyAlignment="1">
      <alignment horizontal="left" vertical="center"/>
    </xf>
    <xf numFmtId="3" fontId="65" fillId="0" borderId="46" xfId="0" applyNumberFormat="1" applyFont="1" applyBorder="1" applyAlignment="1">
      <alignment/>
    </xf>
    <xf numFmtId="0" fontId="65" fillId="0" borderId="4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52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/>
    </xf>
    <xf numFmtId="0" fontId="54" fillId="15" borderId="26" xfId="0" applyFont="1" applyFill="1" applyBorder="1" applyAlignment="1">
      <alignment/>
    </xf>
    <xf numFmtId="3" fontId="54" fillId="0" borderId="0" xfId="0" applyNumberFormat="1" applyFont="1" applyAlignment="1">
      <alignment/>
    </xf>
    <xf numFmtId="0" fontId="54" fillId="0" borderId="25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52" fillId="0" borderId="14" xfId="0" applyFont="1" applyFill="1" applyBorder="1" applyAlignment="1">
      <alignment/>
    </xf>
    <xf numFmtId="0" fontId="52" fillId="0" borderId="15" xfId="0" applyFont="1" applyFill="1" applyBorder="1" applyAlignment="1">
      <alignment/>
    </xf>
    <xf numFmtId="0" fontId="0" fillId="0" borderId="64" xfId="0" applyFont="1" applyBorder="1" applyAlignment="1">
      <alignment/>
    </xf>
    <xf numFmtId="0" fontId="0" fillId="0" borderId="53" xfId="0" applyFont="1" applyBorder="1" applyAlignment="1">
      <alignment/>
    </xf>
    <xf numFmtId="0" fontId="54" fillId="15" borderId="77" xfId="0" applyFont="1" applyFill="1" applyBorder="1" applyAlignment="1">
      <alignment/>
    </xf>
    <xf numFmtId="0" fontId="0" fillId="0" borderId="26" xfId="0" applyFont="1" applyBorder="1" applyAlignment="1">
      <alignment/>
    </xf>
    <xf numFmtId="0" fontId="5" fillId="10" borderId="56" xfId="0" applyFont="1" applyFill="1" applyBorder="1" applyAlignment="1">
      <alignment horizontal="center" vertical="center"/>
    </xf>
    <xf numFmtId="4" fontId="5" fillId="0" borderId="0" xfId="587" applyNumberFormat="1" applyFont="1" applyBorder="1">
      <alignment/>
      <protection/>
    </xf>
    <xf numFmtId="4" fontId="5" fillId="0" borderId="0" xfId="587" applyNumberFormat="1" applyFont="1" applyBorder="1" applyAlignment="1">
      <alignment horizontal="center"/>
      <protection/>
    </xf>
    <xf numFmtId="173" fontId="25" fillId="0" borderId="0" xfId="566" applyFont="1" applyFill="1" applyBorder="1" applyAlignment="1" applyProtection="1">
      <alignment/>
      <protection/>
    </xf>
    <xf numFmtId="0" fontId="30" fillId="3" borderId="0" xfId="587" applyFont="1" applyFill="1" applyBorder="1">
      <alignment/>
      <protection/>
    </xf>
    <xf numFmtId="4" fontId="30" fillId="0" borderId="0" xfId="587" applyNumberFormat="1" applyFont="1" applyBorder="1">
      <alignment/>
      <protection/>
    </xf>
    <xf numFmtId="0" fontId="42" fillId="7" borderId="13" xfId="587" applyFont="1" applyFill="1" applyBorder="1">
      <alignment/>
      <protection/>
    </xf>
    <xf numFmtId="0" fontId="42" fillId="7" borderId="28" xfId="587" applyFont="1" applyFill="1" applyBorder="1" applyAlignment="1">
      <alignment vertical="top"/>
      <protection/>
    </xf>
    <xf numFmtId="0" fontId="42" fillId="7" borderId="29" xfId="587" applyFont="1" applyFill="1" applyBorder="1" applyAlignment="1">
      <alignment horizontal="center"/>
      <protection/>
    </xf>
    <xf numFmtId="1" fontId="42" fillId="0" borderId="0" xfId="587" applyNumberFormat="1" applyFont="1" applyFill="1" applyBorder="1" applyAlignment="1">
      <alignment horizontal="justify" vertical="top"/>
      <protection/>
    </xf>
    <xf numFmtId="1" fontId="42" fillId="0" borderId="0" xfId="587" applyNumberFormat="1" applyFont="1" applyFill="1" applyBorder="1" applyAlignment="1">
      <alignment horizontal="center" vertical="center"/>
      <protection/>
    </xf>
    <xf numFmtId="0" fontId="66" fillId="0" borderId="0" xfId="587" applyFont="1" applyFill="1" applyBorder="1" applyAlignment="1">
      <alignment horizontal="left"/>
      <protection/>
    </xf>
    <xf numFmtId="0" fontId="34" fillId="15" borderId="14" xfId="587" applyFont="1" applyFill="1" applyBorder="1">
      <alignment/>
      <protection/>
    </xf>
    <xf numFmtId="0" fontId="33" fillId="15" borderId="15" xfId="587" applyFont="1" applyFill="1" applyBorder="1" applyAlignment="1">
      <alignment vertical="top"/>
      <protection/>
    </xf>
    <xf numFmtId="0" fontId="33" fillId="15" borderId="35" xfId="587" applyFont="1" applyFill="1" applyBorder="1" applyAlignment="1">
      <alignment horizontal="left"/>
      <protection/>
    </xf>
    <xf numFmtId="3" fontId="34" fillId="0" borderId="0" xfId="587" applyNumberFormat="1" applyFont="1" applyFill="1" applyBorder="1">
      <alignment/>
      <protection/>
    </xf>
    <xf numFmtId="0" fontId="66" fillId="0" borderId="0" xfId="587" applyFont="1" applyBorder="1" applyAlignment="1">
      <alignment horizontal="left"/>
      <protection/>
    </xf>
    <xf numFmtId="0" fontId="35" fillId="0" borderId="15" xfId="587" applyFont="1" applyFill="1" applyBorder="1" applyAlignment="1">
      <alignment vertical="top"/>
      <protection/>
    </xf>
    <xf numFmtId="0" fontId="68" fillId="0" borderId="14" xfId="587" applyFont="1" applyBorder="1">
      <alignment/>
      <protection/>
    </xf>
    <xf numFmtId="4" fontId="68" fillId="0" borderId="0" xfId="587" applyNumberFormat="1" applyFont="1" applyFill="1" applyBorder="1">
      <alignment/>
      <protection/>
    </xf>
    <xf numFmtId="0" fontId="69" fillId="0" borderId="14" xfId="587" applyFont="1" applyBorder="1">
      <alignment/>
      <protection/>
    </xf>
    <xf numFmtId="0" fontId="69" fillId="0" borderId="15" xfId="587" applyFont="1" applyFill="1" applyBorder="1" applyAlignment="1">
      <alignment vertical="top"/>
      <protection/>
    </xf>
    <xf numFmtId="0" fontId="36" fillId="8" borderId="14" xfId="587" applyFont="1" applyFill="1" applyBorder="1" applyAlignment="1">
      <alignment horizontal="right"/>
      <protection/>
    </xf>
    <xf numFmtId="0" fontId="36" fillId="8" borderId="15" xfId="587" applyFont="1" applyFill="1" applyBorder="1">
      <alignment/>
      <protection/>
    </xf>
    <xf numFmtId="0" fontId="70" fillId="0" borderId="14" xfId="587" applyFont="1" applyFill="1" applyBorder="1">
      <alignment/>
      <protection/>
    </xf>
    <xf numFmtId="0" fontId="70" fillId="0" borderId="15" xfId="587" applyFont="1" applyFill="1" applyBorder="1">
      <alignment/>
      <protection/>
    </xf>
    <xf numFmtId="4" fontId="70" fillId="0" borderId="0" xfId="587" applyNumberFormat="1" applyFont="1" applyFill="1" applyBorder="1">
      <alignment/>
      <protection/>
    </xf>
    <xf numFmtId="0" fontId="70" fillId="0" borderId="0" xfId="587" applyFont="1" applyFill="1" applyBorder="1">
      <alignment/>
      <protection/>
    </xf>
    <xf numFmtId="3" fontId="70" fillId="0" borderId="0" xfId="587" applyNumberFormat="1" applyFont="1" applyFill="1" applyBorder="1">
      <alignment/>
      <protection/>
    </xf>
    <xf numFmtId="0" fontId="70" fillId="0" borderId="21" xfId="587" applyFont="1" applyFill="1" applyBorder="1">
      <alignment/>
      <protection/>
    </xf>
    <xf numFmtId="0" fontId="70" fillId="0" borderId="22" xfId="587" applyFont="1" applyFill="1" applyBorder="1">
      <alignment/>
      <protection/>
    </xf>
    <xf numFmtId="0" fontId="68" fillId="0" borderId="14" xfId="587" applyFont="1" applyFill="1" applyBorder="1">
      <alignment/>
      <protection/>
    </xf>
    <xf numFmtId="0" fontId="68" fillId="0" borderId="15" xfId="587" applyFont="1" applyFill="1" applyBorder="1">
      <alignment/>
      <protection/>
    </xf>
    <xf numFmtId="0" fontId="71" fillId="0" borderId="0" xfId="587" applyFont="1" applyFill="1" applyBorder="1">
      <alignment/>
      <protection/>
    </xf>
    <xf numFmtId="3" fontId="71" fillId="0" borderId="0" xfId="587" applyNumberFormat="1" applyFont="1" applyFill="1" applyBorder="1">
      <alignment/>
      <protection/>
    </xf>
    <xf numFmtId="0" fontId="72" fillId="0" borderId="0" xfId="587" applyFont="1" applyFill="1" applyBorder="1">
      <alignment/>
      <protection/>
    </xf>
    <xf numFmtId="0" fontId="73" fillId="0" borderId="62" xfId="587" applyFont="1" applyFill="1" applyBorder="1">
      <alignment/>
      <protection/>
    </xf>
    <xf numFmtId="0" fontId="73" fillId="0" borderId="63" xfId="587" applyFont="1" applyFill="1" applyBorder="1">
      <alignment/>
      <protection/>
    </xf>
    <xf numFmtId="4" fontId="73" fillId="0" borderId="0" xfId="587" applyNumberFormat="1" applyFont="1" applyFill="1" applyBorder="1" applyAlignment="1">
      <alignment horizontal="right"/>
      <protection/>
    </xf>
    <xf numFmtId="3" fontId="73" fillId="0" borderId="0" xfId="587" applyNumberFormat="1" applyFont="1" applyFill="1" applyBorder="1" applyAlignment="1">
      <alignment horizontal="right"/>
      <protection/>
    </xf>
    <xf numFmtId="0" fontId="35" fillId="0" borderId="62" xfId="587" applyFont="1" applyFill="1" applyBorder="1">
      <alignment/>
      <protection/>
    </xf>
    <xf numFmtId="0" fontId="35" fillId="0" borderId="63" xfId="587" applyFont="1" applyFill="1" applyBorder="1">
      <alignment/>
      <protection/>
    </xf>
    <xf numFmtId="172" fontId="35" fillId="0" borderId="15" xfId="425" applyFont="1" applyFill="1" applyBorder="1" applyAlignment="1" applyProtection="1">
      <alignment horizontal="left"/>
      <protection/>
    </xf>
    <xf numFmtId="0" fontId="68" fillId="0" borderId="15" xfId="587" applyFont="1" applyBorder="1">
      <alignment/>
      <protection/>
    </xf>
    <xf numFmtId="0" fontId="72" fillId="0" borderId="0" xfId="587" applyFont="1" applyBorder="1">
      <alignment/>
      <protection/>
    </xf>
    <xf numFmtId="0" fontId="66" fillId="0" borderId="0" xfId="587" applyFont="1" applyBorder="1">
      <alignment/>
      <protection/>
    </xf>
    <xf numFmtId="0" fontId="68" fillId="0" borderId="0" xfId="587" applyFont="1" applyFill="1" applyBorder="1">
      <alignment/>
      <protection/>
    </xf>
    <xf numFmtId="3" fontId="68" fillId="0" borderId="0" xfId="587" applyNumberFormat="1" applyFont="1" applyFill="1" applyBorder="1">
      <alignment/>
      <protection/>
    </xf>
    <xf numFmtId="4" fontId="73" fillId="0" borderId="0" xfId="587" applyNumberFormat="1" applyFont="1" applyFill="1" applyBorder="1">
      <alignment/>
      <protection/>
    </xf>
    <xf numFmtId="3" fontId="73" fillId="0" borderId="0" xfId="587" applyNumberFormat="1" applyFont="1" applyFill="1" applyBorder="1">
      <alignment/>
      <protection/>
    </xf>
    <xf numFmtId="0" fontId="35" fillId="0" borderId="62" xfId="587" applyFont="1" applyBorder="1">
      <alignment/>
      <protection/>
    </xf>
    <xf numFmtId="0" fontId="35" fillId="0" borderId="63" xfId="587" applyFont="1" applyBorder="1">
      <alignment/>
      <protection/>
    </xf>
    <xf numFmtId="0" fontId="68" fillId="0" borderId="62" xfId="587" applyFont="1" applyBorder="1">
      <alignment/>
      <protection/>
    </xf>
    <xf numFmtId="0" fontId="68" fillId="0" borderId="63" xfId="587" applyFont="1" applyBorder="1">
      <alignment/>
      <protection/>
    </xf>
    <xf numFmtId="0" fontId="73" fillId="0" borderId="14" xfId="587" applyFont="1" applyFill="1" applyBorder="1">
      <alignment/>
      <protection/>
    </xf>
    <xf numFmtId="0" fontId="73" fillId="0" borderId="15" xfId="587" applyFont="1" applyFill="1" applyBorder="1">
      <alignment/>
      <protection/>
    </xf>
    <xf numFmtId="0" fontId="35" fillId="0" borderId="25" xfId="587" applyFont="1" applyBorder="1">
      <alignment/>
      <protection/>
    </xf>
    <xf numFmtId="0" fontId="37" fillId="0" borderId="0" xfId="587" applyFont="1" applyFill="1" applyBorder="1" applyAlignment="1">
      <alignment horizontal="left"/>
      <protection/>
    </xf>
    <xf numFmtId="3" fontId="68" fillId="0" borderId="0" xfId="587" applyNumberFormat="1" applyFont="1" applyFill="1" applyBorder="1" applyAlignment="1">
      <alignment horizontal="right"/>
      <protection/>
    </xf>
    <xf numFmtId="3" fontId="39" fillId="0" borderId="0" xfId="587" applyNumberFormat="1" applyFont="1" applyFill="1" applyBorder="1" applyAlignment="1">
      <alignment horizontal="right"/>
      <protection/>
    </xf>
    <xf numFmtId="0" fontId="0" fillId="0" borderId="25" xfId="0" applyBorder="1" applyAlignment="1">
      <alignment/>
    </xf>
    <xf numFmtId="0" fontId="68" fillId="0" borderId="21" xfId="587" applyFont="1" applyBorder="1">
      <alignment/>
      <protection/>
    </xf>
    <xf numFmtId="0" fontId="68" fillId="0" borderId="22" xfId="587" applyFont="1" applyBorder="1">
      <alignment/>
      <protection/>
    </xf>
    <xf numFmtId="0" fontId="73" fillId="0" borderId="14" xfId="587" applyFont="1" applyFill="1" applyBorder="1" applyAlignment="1">
      <alignment horizontal="right"/>
      <protection/>
    </xf>
    <xf numFmtId="0" fontId="74" fillId="0" borderId="0" xfId="587" applyFont="1" applyFill="1" applyBorder="1">
      <alignment/>
      <protection/>
    </xf>
    <xf numFmtId="0" fontId="35" fillId="0" borderId="62" xfId="587" applyFont="1" applyFill="1" applyBorder="1" applyAlignment="1">
      <alignment horizontal="right"/>
      <protection/>
    </xf>
    <xf numFmtId="3" fontId="35" fillId="0" borderId="0" xfId="587" applyNumberFormat="1" applyFont="1" applyFill="1" applyBorder="1" applyAlignment="1">
      <alignment horizontal="left"/>
      <protection/>
    </xf>
    <xf numFmtId="0" fontId="35" fillId="0" borderId="25" xfId="587" applyFont="1" applyFill="1" applyBorder="1" applyAlignment="1">
      <alignment horizontal="right"/>
      <protection/>
    </xf>
    <xf numFmtId="14" fontId="34" fillId="15" borderId="14" xfId="587" applyNumberFormat="1" applyFont="1" applyFill="1" applyBorder="1" applyAlignment="1">
      <alignment horizontal="left"/>
      <protection/>
    </xf>
    <xf numFmtId="0" fontId="33" fillId="15" borderId="15" xfId="587" applyFont="1" applyFill="1" applyBorder="1">
      <alignment/>
      <protection/>
    </xf>
    <xf numFmtId="0" fontId="34" fillId="0" borderId="0" xfId="587" applyFont="1" applyFill="1" applyBorder="1">
      <alignment/>
      <protection/>
    </xf>
    <xf numFmtId="0" fontId="33" fillId="15" borderId="22" xfId="587" applyFont="1" applyFill="1" applyBorder="1">
      <alignment/>
      <protection/>
    </xf>
    <xf numFmtId="3" fontId="68" fillId="0" borderId="0" xfId="587" applyNumberFormat="1" applyFont="1" applyFill="1" applyBorder="1" applyAlignment="1">
      <alignment horizontal="left"/>
      <protection/>
    </xf>
    <xf numFmtId="49" fontId="30" fillId="4" borderId="18" xfId="587" applyNumberFormat="1" applyFont="1" applyFill="1" applyBorder="1" applyAlignment="1">
      <alignment horizontal="right"/>
      <protection/>
    </xf>
    <xf numFmtId="0" fontId="35" fillId="4" borderId="34" xfId="587" applyFont="1" applyFill="1" applyBorder="1">
      <alignment/>
      <protection/>
    </xf>
    <xf numFmtId="0" fontId="30" fillId="4" borderId="20" xfId="587" applyFont="1" applyFill="1" applyBorder="1">
      <alignment/>
      <protection/>
    </xf>
    <xf numFmtId="2" fontId="75" fillId="0" borderId="0" xfId="587" applyNumberFormat="1" applyFont="1" applyBorder="1" applyAlignment="1">
      <alignment horizontal="left"/>
      <protection/>
    </xf>
    <xf numFmtId="4" fontId="35" fillId="0" borderId="0" xfId="587" applyNumberFormat="1" applyFont="1" applyFill="1" applyBorder="1" applyAlignment="1">
      <alignment horizontal="left"/>
      <protection/>
    </xf>
    <xf numFmtId="0" fontId="42" fillId="0" borderId="0" xfId="587" applyFont="1" applyFill="1" applyBorder="1" applyAlignment="1">
      <alignment horizontal="justify" vertical="center"/>
      <protection/>
    </xf>
    <xf numFmtId="0" fontId="42" fillId="0" borderId="0" xfId="587" applyFont="1" applyFill="1" applyBorder="1" applyAlignment="1">
      <alignment horizontal="center" vertical="center"/>
      <protection/>
    </xf>
    <xf numFmtId="2" fontId="42" fillId="0" borderId="0" xfId="587" applyNumberFormat="1" applyFont="1" applyFill="1" applyBorder="1" applyAlignment="1">
      <alignment horizontal="justify" vertical="center"/>
      <protection/>
    </xf>
    <xf numFmtId="0" fontId="67" fillId="0" borderId="0" xfId="587" applyFont="1" applyBorder="1">
      <alignment/>
      <protection/>
    </xf>
    <xf numFmtId="1" fontId="34" fillId="0" borderId="0" xfId="587" applyNumberFormat="1" applyFont="1" applyFill="1" applyBorder="1">
      <alignment/>
      <protection/>
    </xf>
    <xf numFmtId="2" fontId="34" fillId="0" borderId="0" xfId="587" applyNumberFormat="1" applyFont="1" applyFill="1" applyBorder="1">
      <alignment/>
      <protection/>
    </xf>
    <xf numFmtId="0" fontId="36" fillId="0" borderId="0" xfId="587" applyFont="1" applyFill="1" applyBorder="1">
      <alignment/>
      <protection/>
    </xf>
    <xf numFmtId="0" fontId="33" fillId="0" borderId="0" xfId="587" applyFont="1" applyBorder="1">
      <alignment/>
      <protection/>
    </xf>
    <xf numFmtId="0" fontId="35" fillId="0" borderId="0" xfId="587" applyFont="1" applyFill="1" applyBorder="1" applyAlignment="1">
      <alignment horizontal="right"/>
      <protection/>
    </xf>
    <xf numFmtId="49" fontId="30" fillId="0" borderId="0" xfId="587" applyNumberFormat="1" applyFont="1" applyFill="1" applyBorder="1" applyAlignment="1">
      <alignment horizontal="right"/>
      <protection/>
    </xf>
    <xf numFmtId="4" fontId="30" fillId="0" borderId="0" xfId="587" applyNumberFormat="1" applyFont="1" applyFill="1" applyBorder="1" applyAlignment="1">
      <alignment horizontal="right"/>
      <protection/>
    </xf>
    <xf numFmtId="4" fontId="30" fillId="0" borderId="0" xfId="587" applyNumberFormat="1" applyFont="1" applyFill="1" applyBorder="1" applyAlignment="1">
      <alignment horizontal="center"/>
      <protection/>
    </xf>
    <xf numFmtId="0" fontId="30" fillId="0" borderId="0" xfId="587" applyFont="1" applyFill="1" applyBorder="1" applyAlignment="1">
      <alignment horizontal="center"/>
      <protection/>
    </xf>
    <xf numFmtId="3" fontId="34" fillId="0" borderId="0" xfId="587" applyNumberFormat="1" applyFont="1" applyFill="1" applyBorder="1" applyAlignment="1">
      <alignment horizontal="right"/>
      <protection/>
    </xf>
    <xf numFmtId="0" fontId="35" fillId="0" borderId="0" xfId="587" applyFont="1" applyFill="1" applyBorder="1" applyAlignment="1">
      <alignment horizontal="left"/>
      <protection/>
    </xf>
    <xf numFmtId="4" fontId="75" fillId="0" borderId="0" xfId="587" applyNumberFormat="1" applyFont="1" applyBorder="1" applyAlignment="1">
      <alignment horizontal="left"/>
      <protection/>
    </xf>
    <xf numFmtId="0" fontId="5" fillId="0" borderId="53" xfId="587" applyFont="1" applyFill="1" applyBorder="1">
      <alignment/>
      <protection/>
    </xf>
    <xf numFmtId="0" fontId="34" fillId="15" borderId="13" xfId="587" applyFont="1" applyFill="1" applyBorder="1">
      <alignment/>
      <protection/>
    </xf>
    <xf numFmtId="3" fontId="69" fillId="0" borderId="0" xfId="587" applyNumberFormat="1" applyFont="1" applyFill="1" applyBorder="1">
      <alignment/>
      <protection/>
    </xf>
    <xf numFmtId="4" fontId="75" fillId="0" borderId="0" xfId="587" applyNumberFormat="1" applyFont="1" applyFill="1" applyBorder="1" applyAlignment="1">
      <alignment horizontal="left"/>
      <protection/>
    </xf>
    <xf numFmtId="49" fontId="30" fillId="8" borderId="0" xfId="587" applyNumberFormat="1" applyFont="1" applyFill="1" applyBorder="1" applyAlignment="1">
      <alignment horizontal="right"/>
      <protection/>
    </xf>
    <xf numFmtId="0" fontId="35" fillId="8" borderId="0" xfId="587" applyFont="1" applyFill="1" applyBorder="1">
      <alignment/>
      <protection/>
    </xf>
    <xf numFmtId="0" fontId="30" fillId="8" borderId="0" xfId="587" applyFont="1" applyFill="1" applyBorder="1">
      <alignment/>
      <protection/>
    </xf>
    <xf numFmtId="4" fontId="30" fillId="8" borderId="0" xfId="587" applyNumberFormat="1" applyFont="1" applyFill="1" applyBorder="1" applyAlignment="1">
      <alignment horizontal="right"/>
      <protection/>
    </xf>
    <xf numFmtId="4" fontId="30" fillId="8" borderId="0" xfId="587" applyNumberFormat="1" applyFont="1" applyFill="1" applyBorder="1" applyAlignment="1">
      <alignment horizontal="center"/>
      <protection/>
    </xf>
    <xf numFmtId="2" fontId="33" fillId="0" borderId="0" xfId="587" applyNumberFormat="1" applyFont="1" applyFill="1" applyBorder="1">
      <alignment/>
      <protection/>
    </xf>
    <xf numFmtId="3" fontId="30" fillId="0" borderId="0" xfId="587" applyNumberFormat="1" applyFont="1" applyFill="1" applyBorder="1" applyAlignment="1">
      <alignment/>
      <protection/>
    </xf>
    <xf numFmtId="0" fontId="34" fillId="15" borderId="78" xfId="587" applyFont="1" applyFill="1" applyBorder="1">
      <alignment/>
      <protection/>
    </xf>
    <xf numFmtId="0" fontId="33" fillId="15" borderId="79" xfId="587" applyFont="1" applyFill="1" applyBorder="1">
      <alignment/>
      <protection/>
    </xf>
    <xf numFmtId="0" fontId="69" fillId="0" borderId="0" xfId="587" applyFont="1" applyFill="1" applyBorder="1" applyAlignment="1">
      <alignment horizontal="left"/>
      <protection/>
    </xf>
    <xf numFmtId="0" fontId="69" fillId="0" borderId="0" xfId="587" applyFont="1" applyFill="1" applyBorder="1">
      <alignment/>
      <protection/>
    </xf>
    <xf numFmtId="0" fontId="36" fillId="0" borderId="53" xfId="587" applyFont="1" applyBorder="1">
      <alignment/>
      <protection/>
    </xf>
    <xf numFmtId="0" fontId="34" fillId="15" borderId="28" xfId="587" applyFont="1" applyFill="1" applyBorder="1">
      <alignment/>
      <protection/>
    </xf>
    <xf numFmtId="0" fontId="34" fillId="15" borderId="29" xfId="587" applyFont="1" applyFill="1" applyBorder="1">
      <alignment/>
      <protection/>
    </xf>
    <xf numFmtId="0" fontId="36" fillId="0" borderId="53" xfId="587" applyFont="1" applyFill="1" applyBorder="1">
      <alignment/>
      <protection/>
    </xf>
    <xf numFmtId="0" fontId="34" fillId="15" borderId="15" xfId="587" applyFont="1" applyFill="1" applyBorder="1">
      <alignment/>
      <protection/>
    </xf>
    <xf numFmtId="3" fontId="5" fillId="0" borderId="0" xfId="587" applyNumberFormat="1" applyFont="1" applyFill="1" applyBorder="1" applyAlignment="1">
      <alignment horizontal="center"/>
      <protection/>
    </xf>
    <xf numFmtId="0" fontId="37" fillId="0" borderId="22" xfId="587" applyFont="1" applyFill="1" applyBorder="1">
      <alignment/>
      <protection/>
    </xf>
    <xf numFmtId="0" fontId="37" fillId="0" borderId="15" xfId="587" applyFont="1" applyFill="1" applyBorder="1">
      <alignment/>
      <protection/>
    </xf>
    <xf numFmtId="0" fontId="35" fillId="0" borderId="58" xfId="587" applyFont="1" applyBorder="1">
      <alignment/>
      <protection/>
    </xf>
    <xf numFmtId="0" fontId="37" fillId="0" borderId="0" xfId="587" applyFont="1" applyFill="1" applyBorder="1">
      <alignment/>
      <protection/>
    </xf>
    <xf numFmtId="0" fontId="30" fillId="4" borderId="70" xfId="587" applyFont="1" applyFill="1" applyBorder="1">
      <alignment/>
      <protection/>
    </xf>
    <xf numFmtId="2" fontId="36" fillId="0" borderId="0" xfId="587" applyNumberFormat="1" applyFont="1" applyFill="1" applyBorder="1">
      <alignment/>
      <protection/>
    </xf>
    <xf numFmtId="0" fontId="68" fillId="0" borderId="0" xfId="587" applyFont="1" applyBorder="1" applyAlignment="1">
      <alignment horizontal="left"/>
      <protection/>
    </xf>
    <xf numFmtId="0" fontId="75" fillId="0" borderId="0" xfId="587" applyFont="1" applyFill="1" applyBorder="1">
      <alignment/>
      <protection/>
    </xf>
    <xf numFmtId="3" fontId="66" fillId="0" borderId="0" xfId="587" applyNumberFormat="1" applyFont="1" applyFill="1" applyBorder="1" applyAlignment="1">
      <alignment horizontal="left"/>
      <protection/>
    </xf>
    <xf numFmtId="0" fontId="76" fillId="0" borderId="0" xfId="587" applyFont="1" applyFill="1" applyBorder="1" applyAlignment="1">
      <alignment horizontal="left"/>
      <protection/>
    </xf>
    <xf numFmtId="4" fontId="36" fillId="0" borderId="0" xfId="587" applyNumberFormat="1" applyFont="1" applyBorder="1">
      <alignment/>
      <protection/>
    </xf>
    <xf numFmtId="4" fontId="36" fillId="0" borderId="0" xfId="587" applyNumberFormat="1" applyFont="1" applyBorder="1" applyAlignment="1">
      <alignment horizontal="center"/>
      <protection/>
    </xf>
    <xf numFmtId="49" fontId="30" fillId="8" borderId="0" xfId="587" applyNumberFormat="1" applyFont="1" applyFill="1" applyBorder="1" applyAlignment="1">
      <alignment/>
      <protection/>
    </xf>
    <xf numFmtId="4" fontId="30" fillId="8" borderId="0" xfId="587" applyNumberFormat="1" applyFont="1" applyFill="1" applyBorder="1" applyAlignment="1">
      <alignment/>
      <protection/>
    </xf>
    <xf numFmtId="4" fontId="5" fillId="0" borderId="0" xfId="587" applyNumberFormat="1" applyFont="1" applyFill="1" applyBorder="1" applyAlignment="1">
      <alignment horizontal="left"/>
      <protection/>
    </xf>
    <xf numFmtId="4" fontId="5" fillId="0" borderId="0" xfId="587" applyNumberFormat="1" applyFont="1" applyFill="1" applyBorder="1" applyAlignment="1">
      <alignment horizontal="center"/>
      <protection/>
    </xf>
    <xf numFmtId="0" fontId="36" fillId="0" borderId="14" xfId="587" applyFont="1" applyFill="1" applyBorder="1">
      <alignment/>
      <protection/>
    </xf>
    <xf numFmtId="0" fontId="36" fillId="0" borderId="15" xfId="587" applyFont="1" applyBorder="1">
      <alignment/>
      <protection/>
    </xf>
    <xf numFmtId="0" fontId="36" fillId="0" borderId="15" xfId="587" applyFont="1" applyFill="1" applyBorder="1">
      <alignment/>
      <protection/>
    </xf>
    <xf numFmtId="0" fontId="36" fillId="0" borderId="18" xfId="587" applyFont="1" applyFill="1" applyBorder="1">
      <alignment/>
      <protection/>
    </xf>
    <xf numFmtId="0" fontId="36" fillId="0" borderId="19" xfId="587" applyFont="1" applyBorder="1">
      <alignment/>
      <protection/>
    </xf>
    <xf numFmtId="0" fontId="36" fillId="0" borderId="15" xfId="587" applyFont="1" applyFill="1" applyBorder="1" applyAlignment="1">
      <alignment vertical="top"/>
      <protection/>
    </xf>
    <xf numFmtId="0" fontId="36" fillId="0" borderId="14" xfId="587" applyFont="1" applyFill="1" applyBorder="1" applyAlignment="1">
      <alignment horizontal="right"/>
      <protection/>
    </xf>
    <xf numFmtId="0" fontId="37" fillId="0" borderId="15" xfId="587" applyFont="1" applyFill="1" applyBorder="1" applyAlignment="1">
      <alignment vertical="top"/>
      <protection/>
    </xf>
    <xf numFmtId="0" fontId="35" fillId="0" borderId="36" xfId="587" applyFont="1" applyBorder="1">
      <alignment/>
      <protection/>
    </xf>
    <xf numFmtId="0" fontId="35" fillId="0" borderId="53" xfId="587" applyFont="1" applyBorder="1">
      <alignment/>
      <protection/>
    </xf>
    <xf numFmtId="4" fontId="35" fillId="0" borderId="0" xfId="587" applyNumberFormat="1" applyFont="1" applyBorder="1">
      <alignment/>
      <protection/>
    </xf>
    <xf numFmtId="0" fontId="35" fillId="0" borderId="15" xfId="587" applyFont="1" applyFill="1" applyBorder="1" applyAlignment="1">
      <alignment horizontal="right"/>
      <protection/>
    </xf>
    <xf numFmtId="0" fontId="35" fillId="0" borderId="19" xfId="587" applyFont="1" applyFill="1" applyBorder="1" applyAlignment="1">
      <alignment horizontal="right"/>
      <protection/>
    </xf>
    <xf numFmtId="0" fontId="36" fillId="0" borderId="0" xfId="587" applyFont="1" applyFill="1" applyBorder="1" applyAlignment="1">
      <alignment horizontal="left"/>
      <protection/>
    </xf>
    <xf numFmtId="0" fontId="76" fillId="0" borderId="0" xfId="587" applyFont="1" applyBorder="1">
      <alignment/>
      <protection/>
    </xf>
    <xf numFmtId="0" fontId="68" fillId="0" borderId="0" xfId="587" applyFont="1" applyFill="1" applyBorder="1" applyAlignment="1">
      <alignment horizontal="right"/>
      <protection/>
    </xf>
    <xf numFmtId="4" fontId="32" fillId="0" borderId="0" xfId="587" applyNumberFormat="1" applyFont="1" applyFill="1" applyBorder="1">
      <alignment/>
      <protection/>
    </xf>
    <xf numFmtId="3" fontId="35" fillId="0" borderId="0" xfId="587" applyNumberFormat="1" applyFont="1" applyFill="1" applyBorder="1" applyAlignment="1">
      <alignment horizontal="right" vertical="center"/>
      <protection/>
    </xf>
    <xf numFmtId="3" fontId="35" fillId="0" borderId="0" xfId="587" applyNumberFormat="1" applyFont="1" applyFill="1" applyBorder="1" applyAlignment="1">
      <alignment horizontal="left" vertical="center"/>
      <protection/>
    </xf>
    <xf numFmtId="3" fontId="37" fillId="0" borderId="0" xfId="587" applyNumberFormat="1" applyFont="1" applyFill="1" applyBorder="1" applyAlignment="1">
      <alignment horizontal="left"/>
      <protection/>
    </xf>
    <xf numFmtId="3" fontId="37" fillId="0" borderId="0" xfId="587" applyNumberFormat="1" applyFont="1" applyFill="1" applyBorder="1" applyAlignment="1">
      <alignment horizontal="right"/>
      <protection/>
    </xf>
    <xf numFmtId="0" fontId="68" fillId="8" borderId="15" xfId="587" applyFont="1" applyFill="1" applyBorder="1">
      <alignment/>
      <protection/>
    </xf>
    <xf numFmtId="4" fontId="78" fillId="0" borderId="0" xfId="587" applyNumberFormat="1" applyFont="1" applyFill="1" applyBorder="1" applyAlignment="1">
      <alignment horizontal="right"/>
      <protection/>
    </xf>
    <xf numFmtId="3" fontId="77" fillId="0" borderId="0" xfId="587" applyNumberFormat="1" applyFont="1" applyFill="1" applyBorder="1" applyAlignment="1">
      <alignment horizontal="left"/>
      <protection/>
    </xf>
    <xf numFmtId="3" fontId="66" fillId="0" borderId="0" xfId="587" applyNumberFormat="1" applyFont="1" applyFill="1" applyBorder="1" applyAlignment="1">
      <alignment horizontal="right"/>
      <protection/>
    </xf>
    <xf numFmtId="0" fontId="77" fillId="0" borderId="0" xfId="587" applyFont="1" applyFill="1" applyBorder="1" applyAlignment="1">
      <alignment horizontal="left"/>
      <protection/>
    </xf>
    <xf numFmtId="0" fontId="66" fillId="0" borderId="0" xfId="587" applyFont="1" applyFill="1" applyBorder="1">
      <alignment/>
      <protection/>
    </xf>
    <xf numFmtId="0" fontId="5" fillId="8" borderId="0" xfId="587" applyFont="1" applyFill="1" applyBorder="1">
      <alignment/>
      <protection/>
    </xf>
    <xf numFmtId="0" fontId="34" fillId="0" borderId="0" xfId="587" applyFont="1" applyBorder="1">
      <alignment/>
      <protection/>
    </xf>
    <xf numFmtId="3" fontId="66" fillId="0" borderId="0" xfId="587" applyNumberFormat="1" applyFont="1" applyFill="1" applyBorder="1">
      <alignment/>
      <protection/>
    </xf>
    <xf numFmtId="176" fontId="36" fillId="0" borderId="0" xfId="587" applyNumberFormat="1" applyFont="1" applyFill="1" applyBorder="1">
      <alignment/>
      <protection/>
    </xf>
    <xf numFmtId="177" fontId="36" fillId="0" borderId="0" xfId="587" applyNumberFormat="1" applyFont="1" applyFill="1" applyBorder="1">
      <alignment/>
      <protection/>
    </xf>
    <xf numFmtId="176" fontId="35" fillId="0" borderId="0" xfId="587" applyNumberFormat="1" applyFont="1" applyFill="1" applyBorder="1" applyAlignment="1">
      <alignment horizontal="left"/>
      <protection/>
    </xf>
    <xf numFmtId="176" fontId="35" fillId="0" borderId="0" xfId="587" applyNumberFormat="1" applyFont="1" applyFill="1" applyBorder="1">
      <alignment/>
      <protection/>
    </xf>
    <xf numFmtId="176" fontId="34" fillId="0" borderId="0" xfId="587" applyNumberFormat="1" applyFont="1" applyFill="1" applyBorder="1">
      <alignment/>
      <protection/>
    </xf>
    <xf numFmtId="0" fontId="33" fillId="0" borderId="0" xfId="587" applyFont="1" applyFill="1" applyBorder="1">
      <alignment/>
      <protection/>
    </xf>
    <xf numFmtId="176" fontId="36" fillId="0" borderId="0" xfId="587" applyNumberFormat="1" applyFont="1" applyFill="1" applyBorder="1" applyAlignment="1">
      <alignment horizontal="right"/>
      <protection/>
    </xf>
    <xf numFmtId="0" fontId="42" fillId="4" borderId="13" xfId="587" applyFont="1" applyFill="1" applyBorder="1">
      <alignment/>
      <protection/>
    </xf>
    <xf numFmtId="0" fontId="67" fillId="4" borderId="67" xfId="587" applyFont="1" applyFill="1" applyBorder="1">
      <alignment/>
      <protection/>
    </xf>
    <xf numFmtId="0" fontId="67" fillId="4" borderId="28" xfId="587" applyFont="1" applyFill="1" applyBorder="1">
      <alignment/>
      <protection/>
    </xf>
    <xf numFmtId="2" fontId="42" fillId="0" borderId="0" xfId="587" applyNumberFormat="1" applyFont="1" applyFill="1" applyBorder="1" applyAlignment="1">
      <alignment horizontal="center" vertical="center"/>
      <protection/>
    </xf>
    <xf numFmtId="1" fontId="42" fillId="0" borderId="0" xfId="587" applyNumberFormat="1" applyFont="1" applyFill="1" applyBorder="1" applyAlignment="1">
      <alignment horizontal="center" vertical="top"/>
      <protection/>
    </xf>
    <xf numFmtId="0" fontId="35" fillId="0" borderId="0" xfId="587" applyFont="1" applyFill="1" applyBorder="1" applyAlignment="1">
      <alignment horizontal="center"/>
      <protection/>
    </xf>
    <xf numFmtId="3" fontId="38" fillId="0" borderId="0" xfId="587" applyNumberFormat="1" applyFont="1" applyBorder="1">
      <alignment/>
      <protection/>
    </xf>
    <xf numFmtId="3" fontId="40" fillId="0" borderId="0" xfId="587" applyNumberFormat="1" applyFont="1" applyBorder="1">
      <alignment/>
      <protection/>
    </xf>
    <xf numFmtId="0" fontId="81" fillId="0" borderId="0" xfId="587" applyFont="1" applyBorder="1">
      <alignment/>
      <protection/>
    </xf>
    <xf numFmtId="0" fontId="80" fillId="0" borderId="0" xfId="587" applyFont="1" applyBorder="1">
      <alignment/>
      <protection/>
    </xf>
    <xf numFmtId="0" fontId="5" fillId="0" borderId="0" xfId="587" applyFont="1" applyFill="1" applyBorder="1" applyAlignment="1">
      <alignment horizontal="center"/>
      <protection/>
    </xf>
    <xf numFmtId="0" fontId="47" fillId="0" borderId="17" xfId="0" applyFont="1" applyFill="1" applyBorder="1" applyAlignment="1">
      <alignment horizontal="center"/>
    </xf>
    <xf numFmtId="0" fontId="43" fillId="0" borderId="54" xfId="0" applyFont="1" applyFill="1" applyBorder="1" applyAlignment="1">
      <alignment/>
    </xf>
    <xf numFmtId="174" fontId="43" fillId="0" borderId="21" xfId="0" applyNumberFormat="1" applyFont="1" applyFill="1" applyBorder="1" applyAlignment="1">
      <alignment horizontal="right"/>
    </xf>
    <xf numFmtId="3" fontId="43" fillId="0" borderId="22" xfId="0" applyNumberFormat="1" applyFont="1" applyFill="1" applyBorder="1" applyAlignment="1">
      <alignment horizontal="right"/>
    </xf>
    <xf numFmtId="0" fontId="47" fillId="0" borderId="80" xfId="0" applyFont="1" applyFill="1" applyBorder="1" applyAlignment="1">
      <alignment horizontal="center"/>
    </xf>
    <xf numFmtId="0" fontId="43" fillId="0" borderId="81" xfId="0" applyFont="1" applyFill="1" applyBorder="1" applyAlignment="1">
      <alignment/>
    </xf>
    <xf numFmtId="0" fontId="43" fillId="0" borderId="82" xfId="0" applyFont="1" applyFill="1" applyBorder="1" applyAlignment="1">
      <alignment/>
    </xf>
    <xf numFmtId="174" fontId="43" fillId="0" borderId="83" xfId="0" applyNumberFormat="1" applyFont="1" applyFill="1" applyBorder="1" applyAlignment="1">
      <alignment horizontal="right"/>
    </xf>
    <xf numFmtId="3" fontId="43" fillId="0" borderId="84" xfId="0" applyNumberFormat="1" applyFont="1" applyFill="1" applyBorder="1" applyAlignment="1">
      <alignment horizontal="right"/>
    </xf>
    <xf numFmtId="3" fontId="43" fillId="0" borderId="85" xfId="0" applyNumberFormat="1" applyFont="1" applyFill="1" applyBorder="1" applyAlignment="1">
      <alignment horizontal="right"/>
    </xf>
    <xf numFmtId="3" fontId="43" fillId="0" borderId="25" xfId="0" applyNumberFormat="1" applyFont="1" applyFill="1" applyBorder="1" applyAlignment="1">
      <alignment horizontal="right"/>
    </xf>
    <xf numFmtId="3" fontId="49" fillId="15" borderId="14" xfId="0" applyNumberFormat="1" applyFont="1" applyFill="1" applyBorder="1" applyAlignment="1">
      <alignment/>
    </xf>
    <xf numFmtId="3" fontId="43" fillId="0" borderId="21" xfId="0" applyNumberFormat="1" applyFont="1" applyFill="1" applyBorder="1" applyAlignment="1">
      <alignment horizontal="right"/>
    </xf>
    <xf numFmtId="3" fontId="43" fillId="0" borderId="83" xfId="0" applyNumberFormat="1" applyFont="1" applyFill="1" applyBorder="1" applyAlignment="1">
      <alignment horizontal="right"/>
    </xf>
    <xf numFmtId="3" fontId="35" fillId="0" borderId="36" xfId="0" applyNumberFormat="1" applyFont="1" applyFill="1" applyBorder="1" applyAlignment="1">
      <alignment horizontal="right"/>
    </xf>
    <xf numFmtId="3" fontId="48" fillId="7" borderId="86" xfId="0" applyNumberFormat="1" applyFont="1" applyFill="1" applyBorder="1" applyAlignment="1">
      <alignment/>
    </xf>
    <xf numFmtId="3" fontId="51" fillId="10" borderId="87" xfId="0" applyNumberFormat="1" applyFont="1" applyFill="1" applyBorder="1" applyAlignment="1">
      <alignment/>
    </xf>
    <xf numFmtId="3" fontId="49" fillId="7" borderId="87" xfId="0" applyNumberFormat="1" applyFont="1" applyFill="1" applyBorder="1" applyAlignment="1">
      <alignment/>
    </xf>
    <xf numFmtId="3" fontId="49" fillId="15" borderId="88" xfId="0" applyNumberFormat="1" applyFont="1" applyFill="1" applyBorder="1" applyAlignment="1">
      <alignment horizontal="right"/>
    </xf>
    <xf numFmtId="3" fontId="43" fillId="0" borderId="87" xfId="0" applyNumberFormat="1" applyFont="1" applyFill="1" applyBorder="1" applyAlignment="1">
      <alignment horizontal="right"/>
    </xf>
    <xf numFmtId="3" fontId="43" fillId="0" borderId="88" xfId="0" applyNumberFormat="1" applyFont="1" applyFill="1" applyBorder="1" applyAlignment="1">
      <alignment horizontal="right"/>
    </xf>
    <xf numFmtId="3" fontId="51" fillId="10" borderId="87" xfId="0" applyNumberFormat="1" applyFont="1" applyFill="1" applyBorder="1" applyAlignment="1">
      <alignment horizontal="right"/>
    </xf>
    <xf numFmtId="3" fontId="49" fillId="15" borderId="88" xfId="0" applyNumberFormat="1" applyFont="1" applyFill="1" applyBorder="1" applyAlignment="1">
      <alignment/>
    </xf>
    <xf numFmtId="3" fontId="43" fillId="0" borderId="89" xfId="0" applyNumberFormat="1" applyFont="1" applyFill="1" applyBorder="1" applyAlignment="1">
      <alignment horizontal="right"/>
    </xf>
    <xf numFmtId="3" fontId="43" fillId="0" borderId="90" xfId="0" applyNumberFormat="1" applyFont="1" applyFill="1" applyBorder="1" applyAlignment="1">
      <alignment horizontal="right"/>
    </xf>
    <xf numFmtId="3" fontId="35" fillId="0" borderId="91" xfId="0" applyNumberFormat="1" applyFont="1" applyFill="1" applyBorder="1" applyAlignment="1">
      <alignment horizontal="right"/>
    </xf>
    <xf numFmtId="49" fontId="28" fillId="0" borderId="0" xfId="0" applyNumberFormat="1" applyFont="1" applyBorder="1" applyAlignment="1">
      <alignment horizontal="center"/>
    </xf>
    <xf numFmtId="3" fontId="28" fillId="0" borderId="0" xfId="0" applyNumberFormat="1" applyFont="1" applyBorder="1" applyAlignment="1">
      <alignment horizontal="right"/>
    </xf>
    <xf numFmtId="0" fontId="28" fillId="0" borderId="0" xfId="0" applyFont="1" applyFill="1" applyBorder="1" applyAlignment="1">
      <alignment horizontal="justify" vertical="top"/>
    </xf>
    <xf numFmtId="3" fontId="26" fillId="0" borderId="0" xfId="0" applyNumberFormat="1" applyFont="1" applyBorder="1" applyAlignment="1">
      <alignment horizontal="right"/>
    </xf>
    <xf numFmtId="0" fontId="82" fillId="0" borderId="14" xfId="587" applyFont="1" applyBorder="1">
      <alignment/>
      <protection/>
    </xf>
    <xf numFmtId="0" fontId="82" fillId="0" borderId="15" xfId="587" applyFont="1" applyFill="1" applyBorder="1" applyAlignment="1">
      <alignment vertical="top"/>
      <protection/>
    </xf>
    <xf numFmtId="0" fontId="35" fillId="0" borderId="14" xfId="587" applyFont="1" applyBorder="1" applyAlignment="1">
      <alignment horizontal="right"/>
      <protection/>
    </xf>
    <xf numFmtId="0" fontId="35" fillId="0" borderId="15" xfId="587" applyFont="1" applyBorder="1" applyAlignment="1">
      <alignment horizontal="right"/>
      <protection/>
    </xf>
    <xf numFmtId="0" fontId="82" fillId="0" borderId="15" xfId="587" applyFont="1" applyBorder="1">
      <alignment/>
      <protection/>
    </xf>
    <xf numFmtId="0" fontId="35" fillId="0" borderId="15" xfId="587" applyFont="1" applyFill="1" applyBorder="1">
      <alignment/>
      <protection/>
    </xf>
    <xf numFmtId="0" fontId="83" fillId="0" borderId="15" xfId="587" applyFont="1" applyFill="1" applyBorder="1">
      <alignment/>
      <protection/>
    </xf>
    <xf numFmtId="0" fontId="35" fillId="0" borderId="92" xfId="587" applyFont="1" applyFill="1" applyBorder="1">
      <alignment/>
      <protection/>
    </xf>
    <xf numFmtId="0" fontId="35" fillId="0" borderId="85" xfId="587" applyFont="1" applyBorder="1">
      <alignment/>
      <protection/>
    </xf>
    <xf numFmtId="0" fontId="34" fillId="15" borderId="93" xfId="587" applyFont="1" applyFill="1" applyBorder="1">
      <alignment/>
      <protection/>
    </xf>
    <xf numFmtId="0" fontId="35" fillId="0" borderId="93" xfId="587" applyFont="1" applyFill="1" applyBorder="1">
      <alignment/>
      <protection/>
    </xf>
    <xf numFmtId="0" fontId="83" fillId="0" borderId="93" xfId="587" applyFont="1" applyFill="1" applyBorder="1">
      <alignment/>
      <protection/>
    </xf>
    <xf numFmtId="0" fontId="35" fillId="0" borderId="93" xfId="587" applyFont="1" applyBorder="1">
      <alignment/>
      <protection/>
    </xf>
    <xf numFmtId="0" fontId="35" fillId="0" borderId="94" xfId="587" applyFont="1" applyBorder="1">
      <alignment/>
      <protection/>
    </xf>
    <xf numFmtId="0" fontId="35" fillId="0" borderId="95" xfId="587" applyFont="1" applyBorder="1">
      <alignment/>
      <protection/>
    </xf>
    <xf numFmtId="0" fontId="5" fillId="0" borderId="96" xfId="587" applyFont="1" applyFill="1" applyBorder="1">
      <alignment/>
      <protection/>
    </xf>
    <xf numFmtId="0" fontId="84" fillId="0" borderId="97" xfId="587" applyFont="1" applyFill="1" applyBorder="1">
      <alignment/>
      <protection/>
    </xf>
    <xf numFmtId="0" fontId="84" fillId="0" borderId="98" xfId="587" applyFont="1" applyFill="1" applyBorder="1">
      <alignment/>
      <protection/>
    </xf>
    <xf numFmtId="0" fontId="34" fillId="15" borderId="99" xfId="587" applyFont="1" applyFill="1" applyBorder="1">
      <alignment/>
      <protection/>
    </xf>
    <xf numFmtId="0" fontId="34" fillId="15" borderId="100" xfId="587" applyFont="1" applyFill="1" applyBorder="1">
      <alignment/>
      <protection/>
    </xf>
    <xf numFmtId="0" fontId="35" fillId="0" borderId="93" xfId="587" applyFont="1" applyFill="1" applyBorder="1">
      <alignment/>
      <protection/>
    </xf>
    <xf numFmtId="0" fontId="35" fillId="0" borderId="94" xfId="587" applyFont="1" applyFill="1" applyBorder="1">
      <alignment/>
      <protection/>
    </xf>
    <xf numFmtId="0" fontId="35" fillId="0" borderId="101" xfId="587" applyFont="1" applyBorder="1">
      <alignment/>
      <protection/>
    </xf>
    <xf numFmtId="0" fontId="35" fillId="0" borderId="96" xfId="587" applyFont="1" applyFill="1" applyBorder="1">
      <alignment/>
      <protection/>
    </xf>
    <xf numFmtId="0" fontId="37" fillId="0" borderId="85" xfId="587" applyFont="1" applyFill="1" applyBorder="1">
      <alignment/>
      <protection/>
    </xf>
    <xf numFmtId="49" fontId="30" fillId="4" borderId="102" xfId="587" applyNumberFormat="1" applyFont="1" applyFill="1" applyBorder="1" applyAlignment="1">
      <alignment horizontal="right"/>
      <protection/>
    </xf>
    <xf numFmtId="0" fontId="35" fillId="4" borderId="103" xfId="587" applyFont="1" applyFill="1" applyBorder="1">
      <alignment/>
      <protection/>
    </xf>
    <xf numFmtId="0" fontId="30" fillId="4" borderId="104" xfId="587" applyFont="1" applyFill="1" applyBorder="1">
      <alignment/>
      <protection/>
    </xf>
    <xf numFmtId="0" fontId="82" fillId="0" borderId="92" xfId="587" applyFont="1" applyFill="1" applyBorder="1">
      <alignment/>
      <protection/>
    </xf>
    <xf numFmtId="0" fontId="82" fillId="0" borderId="85" xfId="587" applyFont="1" applyBorder="1">
      <alignment/>
      <protection/>
    </xf>
    <xf numFmtId="0" fontId="35" fillId="0" borderId="102" xfId="587" applyFont="1" applyBorder="1">
      <alignment/>
      <protection/>
    </xf>
    <xf numFmtId="0" fontId="35" fillId="0" borderId="105" xfId="587" applyFont="1" applyBorder="1">
      <alignment/>
      <protection/>
    </xf>
    <xf numFmtId="0" fontId="84" fillId="0" borderId="14" xfId="587" applyFont="1" applyBorder="1">
      <alignment/>
      <protection/>
    </xf>
    <xf numFmtId="0" fontId="84" fillId="0" borderId="15" xfId="587" applyFont="1" applyBorder="1">
      <alignment/>
      <protection/>
    </xf>
    <xf numFmtId="0" fontId="30" fillId="3" borderId="58" xfId="587" applyFont="1" applyFill="1" applyBorder="1">
      <alignment/>
      <protection/>
    </xf>
    <xf numFmtId="49" fontId="43" fillId="0" borderId="53" xfId="0" applyNumberFormat="1" applyFont="1" applyFill="1" applyBorder="1" applyAlignment="1">
      <alignment horizontal="center"/>
    </xf>
    <xf numFmtId="49" fontId="43" fillId="0" borderId="17" xfId="0" applyNumberFormat="1" applyFont="1" applyFill="1" applyBorder="1" applyAlignment="1">
      <alignment horizontal="center"/>
    </xf>
    <xf numFmtId="0" fontId="43" fillId="8" borderId="45" xfId="0" applyFont="1" applyFill="1" applyBorder="1" applyAlignment="1">
      <alignment/>
    </xf>
    <xf numFmtId="0" fontId="43" fillId="8" borderId="81" xfId="0" applyFont="1" applyFill="1" applyBorder="1" applyAlignment="1">
      <alignment/>
    </xf>
    <xf numFmtId="49" fontId="43" fillId="0" borderId="23" xfId="0" applyNumberFormat="1" applyFont="1" applyFill="1" applyBorder="1" applyAlignment="1">
      <alignment horizontal="center"/>
    </xf>
    <xf numFmtId="0" fontId="43" fillId="8" borderId="106" xfId="0" applyFont="1" applyFill="1" applyBorder="1" applyAlignment="1">
      <alignment/>
    </xf>
    <xf numFmtId="0" fontId="43" fillId="8" borderId="43" xfId="0" applyFont="1" applyFill="1" applyBorder="1" applyAlignment="1">
      <alignment/>
    </xf>
    <xf numFmtId="174" fontId="43" fillId="26" borderId="83" xfId="0" applyNumberFormat="1" applyFont="1" applyFill="1" applyBorder="1" applyAlignment="1">
      <alignment horizontal="right"/>
    </xf>
    <xf numFmtId="3" fontId="43" fillId="26" borderId="84" xfId="0" applyNumberFormat="1" applyFont="1" applyFill="1" applyBorder="1" applyAlignment="1">
      <alignment horizontal="right"/>
    </xf>
    <xf numFmtId="3" fontId="43" fillId="26" borderId="83" xfId="0" applyNumberFormat="1" applyFont="1" applyFill="1" applyBorder="1" applyAlignment="1">
      <alignment horizontal="right"/>
    </xf>
    <xf numFmtId="0" fontId="52" fillId="10" borderId="40" xfId="0" applyFont="1" applyFill="1" applyBorder="1" applyAlignment="1">
      <alignment horizontal="center"/>
    </xf>
    <xf numFmtId="0" fontId="49" fillId="27" borderId="107" xfId="0" applyFont="1" applyFill="1" applyBorder="1" applyAlignment="1">
      <alignment/>
    </xf>
    <xf numFmtId="0" fontId="43" fillId="27" borderId="0" xfId="0" applyFont="1" applyFill="1" applyBorder="1" applyAlignment="1">
      <alignment/>
    </xf>
    <xf numFmtId="0" fontId="49" fillId="27" borderId="0" xfId="0" applyFont="1" applyFill="1" applyBorder="1" applyAlignment="1">
      <alignment/>
    </xf>
    <xf numFmtId="0" fontId="49" fillId="27" borderId="48" xfId="0" applyFont="1" applyFill="1" applyBorder="1" applyAlignment="1">
      <alignment/>
    </xf>
    <xf numFmtId="174" fontId="51" fillId="27" borderId="25" xfId="0" applyNumberFormat="1" applyFont="1" applyFill="1" applyBorder="1" applyAlignment="1">
      <alignment/>
    </xf>
    <xf numFmtId="3" fontId="51" fillId="27" borderId="39" xfId="0" applyNumberFormat="1" applyFont="1" applyFill="1" applyBorder="1" applyAlignment="1">
      <alignment/>
    </xf>
    <xf numFmtId="0" fontId="43" fillId="27" borderId="0" xfId="0" applyFont="1" applyFill="1" applyBorder="1" applyAlignment="1">
      <alignment/>
    </xf>
    <xf numFmtId="174" fontId="43" fillId="27" borderId="0" xfId="0" applyNumberFormat="1" applyFont="1" applyFill="1" applyBorder="1" applyAlignment="1">
      <alignment horizontal="right"/>
    </xf>
    <xf numFmtId="3" fontId="43" fillId="27" borderId="39" xfId="0" applyNumberFormat="1" applyFont="1" applyFill="1" applyBorder="1" applyAlignment="1">
      <alignment horizontal="right"/>
    </xf>
    <xf numFmtId="3" fontId="43" fillId="27" borderId="0" xfId="0" applyNumberFormat="1" applyFont="1" applyFill="1" applyBorder="1" applyAlignment="1">
      <alignment horizontal="right"/>
    </xf>
    <xf numFmtId="3" fontId="60" fillId="0" borderId="15" xfId="0" applyNumberFormat="1" applyFont="1" applyFill="1" applyBorder="1" applyAlignment="1">
      <alignment horizontal="right"/>
    </xf>
    <xf numFmtId="0" fontId="0" fillId="27" borderId="48" xfId="0" applyFont="1" applyFill="1" applyBorder="1" applyAlignment="1">
      <alignment/>
    </xf>
    <xf numFmtId="174" fontId="49" fillId="27" borderId="25" xfId="0" applyNumberFormat="1" applyFont="1" applyFill="1" applyBorder="1" applyAlignment="1">
      <alignment/>
    </xf>
    <xf numFmtId="3" fontId="49" fillId="27" borderId="39" xfId="0" applyNumberFormat="1" applyFont="1" applyFill="1" applyBorder="1" applyAlignment="1">
      <alignment/>
    </xf>
    <xf numFmtId="3" fontId="49" fillId="27" borderId="48" xfId="0" applyNumberFormat="1" applyFont="1" applyFill="1" applyBorder="1" applyAlignment="1">
      <alignment/>
    </xf>
    <xf numFmtId="3" fontId="51" fillId="10" borderId="108" xfId="0" applyNumberFormat="1" applyFont="1" applyFill="1" applyBorder="1" applyAlignment="1">
      <alignment/>
    </xf>
    <xf numFmtId="3" fontId="60" fillId="0" borderId="88" xfId="0" applyNumberFormat="1" applyFont="1" applyFill="1" applyBorder="1" applyAlignment="1">
      <alignment horizontal="right"/>
    </xf>
    <xf numFmtId="3" fontId="60" fillId="0" borderId="88" xfId="0" applyNumberFormat="1" applyFont="1" applyFill="1" applyBorder="1" applyAlignment="1">
      <alignment horizontal="right"/>
    </xf>
    <xf numFmtId="3" fontId="49" fillId="27" borderId="87" xfId="0" applyNumberFormat="1" applyFont="1" applyFill="1" applyBorder="1" applyAlignment="1">
      <alignment/>
    </xf>
    <xf numFmtId="3" fontId="43" fillId="0" borderId="88" xfId="0" applyNumberFormat="1" applyFont="1" applyFill="1" applyBorder="1" applyAlignment="1">
      <alignment/>
    </xf>
    <xf numFmtId="3" fontId="60" fillId="8" borderId="88" xfId="0" applyNumberFormat="1" applyFont="1" applyFill="1" applyBorder="1" applyAlignment="1">
      <alignment/>
    </xf>
    <xf numFmtId="3" fontId="43" fillId="8" borderId="88" xfId="0" applyNumberFormat="1" applyFont="1" applyFill="1" applyBorder="1" applyAlignment="1">
      <alignment/>
    </xf>
    <xf numFmtId="3" fontId="49" fillId="27" borderId="25" xfId="0" applyNumberFormat="1" applyFont="1" applyFill="1" applyBorder="1" applyAlignment="1">
      <alignment/>
    </xf>
    <xf numFmtId="3" fontId="49" fillId="15" borderId="15" xfId="0" applyNumberFormat="1" applyFont="1" applyFill="1" applyBorder="1" applyAlignment="1">
      <alignment/>
    </xf>
    <xf numFmtId="3" fontId="49" fillId="27" borderId="0" xfId="0" applyNumberFormat="1" applyFont="1" applyFill="1" applyBorder="1" applyAlignment="1">
      <alignment/>
    </xf>
    <xf numFmtId="3" fontId="60" fillId="8" borderId="15" xfId="0" applyNumberFormat="1" applyFont="1" applyFill="1" applyBorder="1" applyAlignment="1">
      <alignment/>
    </xf>
    <xf numFmtId="3" fontId="43" fillId="8" borderId="15" xfId="0" applyNumberFormat="1" applyFont="1" applyFill="1" applyBorder="1" applyAlignment="1">
      <alignment/>
    </xf>
    <xf numFmtId="49" fontId="43" fillId="0" borderId="80" xfId="0" applyNumberFormat="1" applyFont="1" applyFill="1" applyBorder="1" applyAlignment="1">
      <alignment horizontal="center"/>
    </xf>
    <xf numFmtId="49" fontId="43" fillId="0" borderId="109" xfId="0" applyNumberFormat="1" applyFont="1" applyFill="1" applyBorder="1" applyAlignment="1">
      <alignment horizontal="center"/>
    </xf>
    <xf numFmtId="3" fontId="43" fillId="0" borderId="110" xfId="0" applyNumberFormat="1" applyFont="1" applyFill="1" applyBorder="1" applyAlignment="1">
      <alignment horizontal="right"/>
    </xf>
    <xf numFmtId="3" fontId="43" fillId="0" borderId="111" xfId="0" applyNumberFormat="1" applyFont="1" applyFill="1" applyBorder="1" applyAlignment="1">
      <alignment horizontal="right"/>
    </xf>
    <xf numFmtId="49" fontId="43" fillId="0" borderId="112" xfId="0" applyNumberFormat="1" applyFont="1" applyFill="1" applyBorder="1" applyAlignment="1">
      <alignment horizontal="center"/>
    </xf>
    <xf numFmtId="174" fontId="43" fillId="0" borderId="110" xfId="0" applyNumberFormat="1" applyFont="1" applyFill="1" applyBorder="1" applyAlignment="1">
      <alignment horizontal="right"/>
    </xf>
    <xf numFmtId="0" fontId="43" fillId="8" borderId="92" xfId="0" applyFont="1" applyFill="1" applyBorder="1" applyAlignment="1">
      <alignment/>
    </xf>
    <xf numFmtId="0" fontId="43" fillId="8" borderId="113" xfId="0" applyFont="1" applyFill="1" applyBorder="1" applyAlignment="1">
      <alignment/>
    </xf>
    <xf numFmtId="49" fontId="43" fillId="0" borderId="54" xfId="0" applyNumberFormat="1" applyFont="1" applyFill="1" applyBorder="1" applyAlignment="1">
      <alignment horizontal="center"/>
    </xf>
    <xf numFmtId="49" fontId="43" fillId="0" borderId="0" xfId="0" applyNumberFormat="1" applyFont="1" applyFill="1" applyBorder="1" applyAlignment="1">
      <alignment horizontal="right"/>
    </xf>
    <xf numFmtId="174" fontId="49" fillId="15" borderId="15" xfId="0" applyNumberFormat="1" applyFont="1" applyFill="1" applyBorder="1" applyAlignment="1">
      <alignment/>
    </xf>
    <xf numFmtId="174" fontId="51" fillId="10" borderId="0" xfId="0" applyNumberFormat="1" applyFont="1" applyFill="1" applyBorder="1" applyAlignment="1">
      <alignment/>
    </xf>
    <xf numFmtId="174" fontId="45" fillId="0" borderId="0" xfId="0" applyNumberFormat="1" applyFont="1" applyFill="1" applyBorder="1" applyAlignment="1">
      <alignment horizontal="right"/>
    </xf>
    <xf numFmtId="174" fontId="63" fillId="0" borderId="15" xfId="0" applyNumberFormat="1" applyFont="1" applyFill="1" applyBorder="1" applyAlignment="1">
      <alignment horizontal="right"/>
    </xf>
    <xf numFmtId="174" fontId="49" fillId="0" borderId="15" xfId="0" applyNumberFormat="1" applyFont="1" applyFill="1" applyBorder="1" applyAlignment="1">
      <alignment/>
    </xf>
    <xf numFmtId="174" fontId="60" fillId="0" borderId="15" xfId="0" applyNumberFormat="1" applyFont="1" applyFill="1" applyBorder="1" applyAlignment="1">
      <alignment horizontal="right"/>
    </xf>
    <xf numFmtId="0" fontId="43" fillId="8" borderId="22" xfId="0" applyFont="1" applyFill="1" applyBorder="1" applyAlignment="1">
      <alignment/>
    </xf>
    <xf numFmtId="0" fontId="0" fillId="8" borderId="22" xfId="0" applyFont="1" applyFill="1" applyBorder="1" applyAlignment="1">
      <alignment/>
    </xf>
    <xf numFmtId="0" fontId="43" fillId="8" borderId="114" xfId="0" applyFont="1" applyFill="1" applyBorder="1" applyAlignment="1">
      <alignment/>
    </xf>
    <xf numFmtId="0" fontId="43" fillId="8" borderId="115" xfId="0" applyFont="1" applyFill="1" applyBorder="1" applyAlignment="1">
      <alignment/>
    </xf>
    <xf numFmtId="49" fontId="43" fillId="0" borderId="106" xfId="0" applyNumberFormat="1" applyFont="1" applyFill="1" applyBorder="1" applyAlignment="1">
      <alignment horizontal="center"/>
    </xf>
    <xf numFmtId="0" fontId="60" fillId="8" borderId="63" xfId="0" applyFont="1" applyFill="1" applyBorder="1" applyAlignment="1">
      <alignment/>
    </xf>
    <xf numFmtId="0" fontId="43" fillId="8" borderId="23" xfId="0" applyFont="1" applyFill="1" applyBorder="1" applyAlignment="1">
      <alignment horizontal="center"/>
    </xf>
    <xf numFmtId="0" fontId="64" fillId="8" borderId="116" xfId="0" applyFont="1" applyFill="1" applyBorder="1" applyAlignment="1">
      <alignment/>
    </xf>
    <xf numFmtId="49" fontId="51" fillId="15" borderId="92" xfId="0" applyNumberFormat="1" applyFont="1" applyFill="1" applyBorder="1" applyAlignment="1">
      <alignment horizontal="left"/>
    </xf>
    <xf numFmtId="0" fontId="51" fillId="15" borderId="85" xfId="0" applyFont="1" applyFill="1" applyBorder="1" applyAlignment="1">
      <alignment/>
    </xf>
    <xf numFmtId="0" fontId="51" fillId="15" borderId="113" xfId="0" applyFont="1" applyFill="1" applyBorder="1" applyAlignment="1">
      <alignment/>
    </xf>
    <xf numFmtId="0" fontId="52" fillId="10" borderId="92" xfId="0" applyFont="1" applyFill="1" applyBorder="1" applyAlignment="1">
      <alignment/>
    </xf>
    <xf numFmtId="0" fontId="43" fillId="10" borderId="85" xfId="0" applyFont="1" applyFill="1" applyBorder="1" applyAlignment="1">
      <alignment/>
    </xf>
    <xf numFmtId="0" fontId="43" fillId="10" borderId="113" xfId="0" applyFont="1" applyFill="1" applyBorder="1" applyAlignment="1">
      <alignment/>
    </xf>
    <xf numFmtId="0" fontId="43" fillId="0" borderId="92" xfId="0" applyFont="1" applyFill="1" applyBorder="1" applyAlignment="1">
      <alignment/>
    </xf>
    <xf numFmtId="0" fontId="45" fillId="0" borderId="113" xfId="0" applyFont="1" applyFill="1" applyBorder="1" applyAlignment="1">
      <alignment/>
    </xf>
    <xf numFmtId="0" fontId="60" fillId="8" borderId="92" xfId="0" applyFont="1" applyFill="1" applyBorder="1" applyAlignment="1">
      <alignment/>
    </xf>
    <xf numFmtId="0" fontId="63" fillId="8" borderId="113" xfId="0" applyFont="1" applyFill="1" applyBorder="1" applyAlignment="1">
      <alignment/>
    </xf>
    <xf numFmtId="0" fontId="60" fillId="8" borderId="81" xfId="0" applyFont="1" applyFill="1" applyBorder="1" applyAlignment="1">
      <alignment/>
    </xf>
    <xf numFmtId="0" fontId="60" fillId="8" borderId="113" xfId="0" applyFont="1" applyFill="1" applyBorder="1" applyAlignment="1">
      <alignment/>
    </xf>
    <xf numFmtId="174" fontId="49" fillId="7" borderId="0" xfId="0" applyNumberFormat="1" applyFont="1" applyFill="1" applyBorder="1" applyAlignment="1">
      <alignment/>
    </xf>
    <xf numFmtId="174" fontId="49" fillId="27" borderId="0" xfId="0" applyNumberFormat="1" applyFont="1" applyFill="1" applyBorder="1" applyAlignment="1">
      <alignment/>
    </xf>
    <xf numFmtId="0" fontId="63" fillId="8" borderId="117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52" fillId="10" borderId="118" xfId="0" applyFont="1" applyFill="1" applyBorder="1" applyAlignment="1">
      <alignment/>
    </xf>
    <xf numFmtId="174" fontId="51" fillId="10" borderId="119" xfId="0" applyNumberFormat="1" applyFont="1" applyFill="1" applyBorder="1" applyAlignment="1">
      <alignment/>
    </xf>
    <xf numFmtId="3" fontId="51" fillId="10" borderId="119" xfId="0" applyNumberFormat="1" applyFont="1" applyFill="1" applyBorder="1" applyAlignment="1">
      <alignment/>
    </xf>
    <xf numFmtId="0" fontId="55" fillId="0" borderId="101" xfId="0" applyFont="1" applyBorder="1" applyAlignment="1">
      <alignment/>
    </xf>
    <xf numFmtId="3" fontId="51" fillId="10" borderId="120" xfId="0" applyNumberFormat="1" applyFont="1" applyFill="1" applyBorder="1" applyAlignment="1">
      <alignment/>
    </xf>
    <xf numFmtId="3" fontId="51" fillId="10" borderId="121" xfId="0" applyNumberFormat="1" applyFont="1" applyFill="1" applyBorder="1" applyAlignment="1">
      <alignment/>
    </xf>
    <xf numFmtId="0" fontId="60" fillId="8" borderId="112" xfId="0" applyFont="1" applyFill="1" applyBorder="1" applyAlignment="1">
      <alignment/>
    </xf>
    <xf numFmtId="0" fontId="43" fillId="0" borderId="112" xfId="0" applyFont="1" applyFill="1" applyBorder="1" applyAlignment="1">
      <alignment/>
    </xf>
    <xf numFmtId="0" fontId="43" fillId="0" borderId="117" xfId="0" applyFont="1" applyFill="1" applyBorder="1" applyAlignment="1">
      <alignment/>
    </xf>
    <xf numFmtId="0" fontId="43" fillId="10" borderId="122" xfId="0" applyFont="1" applyFill="1" applyBorder="1" applyAlignment="1">
      <alignment/>
    </xf>
    <xf numFmtId="0" fontId="43" fillId="10" borderId="123" xfId="0" applyFont="1" applyFill="1" applyBorder="1" applyAlignment="1">
      <alignment/>
    </xf>
    <xf numFmtId="0" fontId="43" fillId="0" borderId="110" xfId="0" applyFont="1" applyFill="1" applyBorder="1" applyAlignment="1">
      <alignment/>
    </xf>
    <xf numFmtId="0" fontId="51" fillId="0" borderId="117" xfId="0" applyFont="1" applyFill="1" applyBorder="1" applyAlignment="1">
      <alignment/>
    </xf>
    <xf numFmtId="0" fontId="52" fillId="8" borderId="124" xfId="0" applyFont="1" applyFill="1" applyBorder="1" applyAlignment="1">
      <alignment/>
    </xf>
    <xf numFmtId="0" fontId="49" fillId="7" borderId="125" xfId="0" applyFont="1" applyFill="1" applyBorder="1" applyAlignment="1">
      <alignment/>
    </xf>
    <xf numFmtId="0" fontId="43" fillId="7" borderId="120" xfId="0" applyFont="1" applyFill="1" applyBorder="1" applyAlignment="1">
      <alignment/>
    </xf>
    <xf numFmtId="0" fontId="49" fillId="7" borderId="120" xfId="0" applyFont="1" applyFill="1" applyBorder="1" applyAlignment="1">
      <alignment/>
    </xf>
    <xf numFmtId="0" fontId="49" fillId="7" borderId="126" xfId="0" applyFont="1" applyFill="1" applyBorder="1" applyAlignment="1">
      <alignment/>
    </xf>
    <xf numFmtId="174" fontId="51" fillId="7" borderId="127" xfId="0" applyNumberFormat="1" applyFont="1" applyFill="1" applyBorder="1" applyAlignment="1">
      <alignment/>
    </xf>
    <xf numFmtId="3" fontId="51" fillId="7" borderId="128" xfId="0" applyNumberFormat="1" applyFont="1" applyFill="1" applyBorder="1" applyAlignment="1">
      <alignment/>
    </xf>
    <xf numFmtId="0" fontId="50" fillId="10" borderId="129" xfId="0" applyFont="1" applyFill="1" applyBorder="1" applyAlignment="1">
      <alignment horizontal="center"/>
    </xf>
    <xf numFmtId="0" fontId="50" fillId="10" borderId="130" xfId="0" applyFont="1" applyFill="1" applyBorder="1" applyAlignment="1">
      <alignment horizontal="center"/>
    </xf>
    <xf numFmtId="3" fontId="49" fillId="7" borderId="131" xfId="0" applyNumberFormat="1" applyFont="1" applyFill="1" applyBorder="1" applyAlignment="1">
      <alignment/>
    </xf>
    <xf numFmtId="3" fontId="49" fillId="7" borderId="132" xfId="0" applyNumberFormat="1" applyFont="1" applyFill="1" applyBorder="1" applyAlignment="1">
      <alignment/>
    </xf>
    <xf numFmtId="174" fontId="49" fillId="27" borderId="25" xfId="0" applyNumberFormat="1" applyFont="1" applyFill="1" applyBorder="1" applyAlignment="1">
      <alignment horizontal="right"/>
    </xf>
    <xf numFmtId="3" fontId="49" fillId="27" borderId="39" xfId="0" applyNumberFormat="1" applyFont="1" applyFill="1" applyBorder="1" applyAlignment="1">
      <alignment horizontal="right"/>
    </xf>
    <xf numFmtId="3" fontId="49" fillId="27" borderId="0" xfId="0" applyNumberFormat="1" applyFont="1" applyFill="1" applyBorder="1" applyAlignment="1">
      <alignment horizontal="right"/>
    </xf>
    <xf numFmtId="0" fontId="43" fillId="27" borderId="48" xfId="0" applyFont="1" applyFill="1" applyBorder="1" applyAlignment="1">
      <alignment/>
    </xf>
    <xf numFmtId="3" fontId="49" fillId="27" borderId="48" xfId="0" applyNumberFormat="1" applyFont="1" applyFill="1" applyBorder="1" applyAlignment="1">
      <alignment horizontal="right"/>
    </xf>
    <xf numFmtId="49" fontId="53" fillId="0" borderId="0" xfId="0" applyNumberFormat="1" applyFont="1" applyFill="1" applyBorder="1" applyAlignment="1">
      <alignment horizontal="center"/>
    </xf>
    <xf numFmtId="0" fontId="43" fillId="0" borderId="133" xfId="0" applyFont="1" applyFill="1" applyBorder="1" applyAlignment="1">
      <alignment horizontal="center"/>
    </xf>
    <xf numFmtId="0" fontId="43" fillId="0" borderId="134" xfId="0" applyFont="1" applyFill="1" applyBorder="1" applyAlignment="1">
      <alignment horizontal="center"/>
    </xf>
    <xf numFmtId="0" fontId="43" fillId="0" borderId="120" xfId="0" applyFont="1" applyFill="1" applyBorder="1" applyAlignment="1">
      <alignment/>
    </xf>
    <xf numFmtId="0" fontId="43" fillId="0" borderId="126" xfId="0" applyFont="1" applyFill="1" applyBorder="1" applyAlignment="1">
      <alignment/>
    </xf>
    <xf numFmtId="174" fontId="43" fillId="0" borderId="127" xfId="0" applyNumberFormat="1" applyFont="1" applyFill="1" applyBorder="1" applyAlignment="1">
      <alignment horizontal="right"/>
    </xf>
    <xf numFmtId="3" fontId="43" fillId="0" borderId="128" xfId="0" applyNumberFormat="1" applyFont="1" applyFill="1" applyBorder="1" applyAlignment="1">
      <alignment horizontal="right"/>
    </xf>
    <xf numFmtId="3" fontId="43" fillId="0" borderId="126" xfId="0" applyNumberFormat="1" applyFont="1" applyFill="1" applyBorder="1" applyAlignment="1">
      <alignment horizontal="right"/>
    </xf>
    <xf numFmtId="0" fontId="49" fillId="28" borderId="0" xfId="0" applyFont="1" applyFill="1" applyBorder="1" applyAlignment="1">
      <alignment/>
    </xf>
    <xf numFmtId="0" fontId="43" fillId="28" borderId="0" xfId="0" applyFont="1" applyFill="1" applyBorder="1" applyAlignment="1">
      <alignment/>
    </xf>
    <xf numFmtId="0" fontId="0" fillId="28" borderId="48" xfId="0" applyFont="1" applyFill="1" applyBorder="1" applyAlignment="1">
      <alignment/>
    </xf>
    <xf numFmtId="174" fontId="49" fillId="28" borderId="25" xfId="0" applyNumberFormat="1" applyFont="1" applyFill="1" applyBorder="1" applyAlignment="1">
      <alignment/>
    </xf>
    <xf numFmtId="3" fontId="49" fillId="28" borderId="39" xfId="0" applyNumberFormat="1" applyFont="1" applyFill="1" applyBorder="1" applyAlignment="1">
      <alignment/>
    </xf>
    <xf numFmtId="0" fontId="49" fillId="29" borderId="135" xfId="0" applyFont="1" applyFill="1" applyBorder="1" applyAlignment="1">
      <alignment/>
    </xf>
    <xf numFmtId="0" fontId="43" fillId="29" borderId="136" xfId="0" applyFont="1" applyFill="1" applyBorder="1" applyAlignment="1">
      <alignment/>
    </xf>
    <xf numFmtId="0" fontId="49" fillId="29" borderId="136" xfId="0" applyFont="1" applyFill="1" applyBorder="1" applyAlignment="1">
      <alignment/>
    </xf>
    <xf numFmtId="0" fontId="49" fillId="29" borderId="137" xfId="0" applyFont="1" applyFill="1" applyBorder="1" applyAlignment="1">
      <alignment/>
    </xf>
    <xf numFmtId="174" fontId="50" fillId="29" borderId="138" xfId="0" applyNumberFormat="1" applyFont="1" applyFill="1" applyBorder="1" applyAlignment="1">
      <alignment/>
    </xf>
    <xf numFmtId="3" fontId="51" fillId="29" borderId="39" xfId="0" applyNumberFormat="1" applyFont="1" applyFill="1" applyBorder="1" applyAlignment="1">
      <alignment/>
    </xf>
    <xf numFmtId="3" fontId="51" fillId="29" borderId="139" xfId="0" applyNumberFormat="1" applyFont="1" applyFill="1" applyBorder="1" applyAlignment="1">
      <alignment/>
    </xf>
    <xf numFmtId="0" fontId="49" fillId="29" borderId="48" xfId="0" applyFont="1" applyFill="1" applyBorder="1" applyAlignment="1">
      <alignment/>
    </xf>
    <xf numFmtId="0" fontId="43" fillId="29" borderId="0" xfId="0" applyFont="1" applyFill="1" applyBorder="1" applyAlignment="1">
      <alignment/>
    </xf>
    <xf numFmtId="0" fontId="0" fillId="29" borderId="48" xfId="0" applyFont="1" applyFill="1" applyBorder="1" applyAlignment="1">
      <alignment/>
    </xf>
    <xf numFmtId="174" fontId="49" fillId="29" borderId="25" xfId="0" applyNumberFormat="1" applyFont="1" applyFill="1" applyBorder="1" applyAlignment="1">
      <alignment/>
    </xf>
    <xf numFmtId="3" fontId="49" fillId="29" borderId="39" xfId="0" applyNumberFormat="1" applyFont="1" applyFill="1" applyBorder="1" applyAlignment="1">
      <alignment/>
    </xf>
    <xf numFmtId="0" fontId="30" fillId="26" borderId="15" xfId="587" applyFont="1" applyFill="1" applyBorder="1" applyAlignment="1">
      <alignment vertical="top"/>
      <protection/>
    </xf>
    <xf numFmtId="0" fontId="35" fillId="26" borderId="15" xfId="587" applyFont="1" applyFill="1" applyBorder="1" applyAlignment="1">
      <alignment horizontal="left"/>
      <protection/>
    </xf>
    <xf numFmtId="0" fontId="35" fillId="26" borderId="15" xfId="587" applyFont="1" applyFill="1" applyBorder="1" applyAlignment="1">
      <alignment vertical="top"/>
      <protection/>
    </xf>
    <xf numFmtId="0" fontId="35" fillId="26" borderId="15" xfId="587" applyFont="1" applyFill="1" applyBorder="1" applyAlignment="1">
      <alignment horizontal="left"/>
      <protection/>
    </xf>
    <xf numFmtId="0" fontId="35" fillId="26" borderId="15" xfId="587" applyFont="1" applyFill="1" applyBorder="1" applyAlignment="1">
      <alignment vertical="top"/>
      <protection/>
    </xf>
    <xf numFmtId="3" fontId="35" fillId="30" borderId="52" xfId="587" applyNumberFormat="1" applyFont="1" applyFill="1" applyBorder="1" applyAlignment="1">
      <alignment horizontal="right"/>
      <protection/>
    </xf>
    <xf numFmtId="3" fontId="43" fillId="0" borderId="130" xfId="0" applyNumberFormat="1" applyFont="1" applyFill="1" applyBorder="1" applyAlignment="1">
      <alignment horizontal="right"/>
    </xf>
    <xf numFmtId="0" fontId="43" fillId="8" borderId="82" xfId="0" applyFont="1" applyFill="1" applyBorder="1" applyAlignment="1">
      <alignment/>
    </xf>
    <xf numFmtId="49" fontId="43" fillId="0" borderId="140" xfId="0" applyNumberFormat="1" applyFont="1" applyFill="1" applyBorder="1" applyAlignment="1">
      <alignment horizontal="center"/>
    </xf>
    <xf numFmtId="1" fontId="51" fillId="10" borderId="39" xfId="0" applyNumberFormat="1" applyFont="1" applyFill="1" applyBorder="1" applyAlignment="1">
      <alignment/>
    </xf>
    <xf numFmtId="1" fontId="43" fillId="0" borderId="52" xfId="0" applyNumberFormat="1" applyFont="1" applyBorder="1" applyAlignment="1">
      <alignment/>
    </xf>
    <xf numFmtId="1" fontId="43" fillId="0" borderId="61" xfId="0" applyNumberFormat="1" applyFont="1" applyBorder="1" applyAlignment="1">
      <alignment/>
    </xf>
    <xf numFmtId="3" fontId="43" fillId="0" borderId="52" xfId="0" applyNumberFormat="1" applyFont="1" applyBorder="1" applyAlignment="1">
      <alignment/>
    </xf>
    <xf numFmtId="3" fontId="35" fillId="0" borderId="54" xfId="587" applyNumberFormat="1" applyFont="1" applyBorder="1" applyAlignment="1">
      <alignment horizontal="right"/>
      <protection/>
    </xf>
    <xf numFmtId="3" fontId="35" fillId="0" borderId="50" xfId="587" applyNumberFormat="1" applyFont="1" applyBorder="1" applyAlignment="1">
      <alignment horizontal="right"/>
      <protection/>
    </xf>
    <xf numFmtId="3" fontId="35" fillId="0" borderId="50" xfId="587" applyNumberFormat="1" applyFont="1" applyFill="1" applyBorder="1" applyAlignment="1">
      <alignment horizontal="right"/>
      <protection/>
    </xf>
    <xf numFmtId="0" fontId="35" fillId="3" borderId="0" xfId="587" applyFont="1" applyFill="1" applyBorder="1">
      <alignment/>
      <protection/>
    </xf>
    <xf numFmtId="0" fontId="35" fillId="31" borderId="0" xfId="587" applyFont="1" applyFill="1" applyBorder="1">
      <alignment/>
      <protection/>
    </xf>
    <xf numFmtId="0" fontId="36" fillId="31" borderId="0" xfId="587" applyFont="1" applyFill="1" applyBorder="1">
      <alignment/>
      <protection/>
    </xf>
    <xf numFmtId="0" fontId="35" fillId="0" borderId="120" xfId="587" applyFont="1" applyFill="1" applyBorder="1">
      <alignment/>
      <protection/>
    </xf>
    <xf numFmtId="3" fontId="35" fillId="0" borderId="141" xfId="587" applyNumberFormat="1" applyFont="1" applyFill="1" applyBorder="1">
      <alignment/>
      <protection/>
    </xf>
    <xf numFmtId="3" fontId="35" fillId="0" borderId="141" xfId="587" applyNumberFormat="1" applyFont="1" applyFill="1" applyBorder="1" applyAlignment="1">
      <alignment horizontal="right"/>
      <protection/>
    </xf>
    <xf numFmtId="3" fontId="36" fillId="0" borderId="141" xfId="587" applyNumberFormat="1" applyFont="1" applyFill="1" applyBorder="1">
      <alignment/>
      <protection/>
    </xf>
    <xf numFmtId="0" fontId="35" fillId="0" borderId="131" xfId="587" applyFont="1" applyFill="1" applyBorder="1">
      <alignment/>
      <protection/>
    </xf>
    <xf numFmtId="3" fontId="35" fillId="0" borderId="110" xfId="587" applyNumberFormat="1" applyFont="1" applyFill="1" applyBorder="1">
      <alignment/>
      <protection/>
    </xf>
    <xf numFmtId="3" fontId="35" fillId="0" borderId="110" xfId="587" applyNumberFormat="1" applyFont="1" applyFill="1" applyBorder="1" applyAlignment="1">
      <alignment horizontal="right"/>
      <protection/>
    </xf>
    <xf numFmtId="3" fontId="36" fillId="0" borderId="110" xfId="587" applyNumberFormat="1" applyFont="1" applyFill="1" applyBorder="1">
      <alignment/>
      <protection/>
    </xf>
    <xf numFmtId="0" fontId="42" fillId="4" borderId="142" xfId="587" applyFont="1" applyFill="1" applyBorder="1" applyAlignment="1">
      <alignment horizontal="center"/>
      <protection/>
    </xf>
    <xf numFmtId="0" fontId="35" fillId="0" borderId="143" xfId="587" applyFont="1" applyFill="1" applyBorder="1">
      <alignment/>
      <protection/>
    </xf>
    <xf numFmtId="4" fontId="36" fillId="0" borderId="144" xfId="587" applyNumberFormat="1" applyFont="1" applyBorder="1">
      <alignment/>
      <protection/>
    </xf>
    <xf numFmtId="0" fontId="35" fillId="0" borderId="145" xfId="587" applyFont="1" applyBorder="1">
      <alignment/>
      <protection/>
    </xf>
    <xf numFmtId="0" fontId="42" fillId="0" borderId="13" xfId="587" applyFont="1" applyFill="1" applyBorder="1">
      <alignment/>
      <protection/>
    </xf>
    <xf numFmtId="0" fontId="42" fillId="0" borderId="28" xfId="587" applyFont="1" applyFill="1" applyBorder="1" applyAlignment="1">
      <alignment vertical="top"/>
      <protection/>
    </xf>
    <xf numFmtId="0" fontId="42" fillId="0" borderId="99" xfId="587" applyFont="1" applyFill="1" applyBorder="1">
      <alignment/>
      <protection/>
    </xf>
    <xf numFmtId="0" fontId="42" fillId="0" borderId="100" xfId="587" applyFont="1" applyFill="1" applyBorder="1" applyAlignment="1">
      <alignment vertical="top"/>
      <protection/>
    </xf>
    <xf numFmtId="0" fontId="34" fillId="15" borderId="146" xfId="587" applyFont="1" applyFill="1" applyBorder="1">
      <alignment/>
      <protection/>
    </xf>
    <xf numFmtId="0" fontId="34" fillId="15" borderId="131" xfId="587" applyFont="1" applyFill="1" applyBorder="1">
      <alignment/>
      <protection/>
    </xf>
    <xf numFmtId="4" fontId="36" fillId="0" borderId="144" xfId="587" applyNumberFormat="1" applyFont="1" applyFill="1" applyBorder="1">
      <alignment/>
      <protection/>
    </xf>
    <xf numFmtId="0" fontId="47" fillId="9" borderId="13" xfId="0" applyFont="1" applyFill="1" applyBorder="1" applyAlignment="1">
      <alignment horizontal="center"/>
    </xf>
    <xf numFmtId="3" fontId="48" fillId="7" borderId="47" xfId="0" applyNumberFormat="1" applyFont="1" applyFill="1" applyBorder="1" applyAlignment="1">
      <alignment/>
    </xf>
    <xf numFmtId="3" fontId="51" fillId="29" borderId="48" xfId="0" applyNumberFormat="1" applyFont="1" applyFill="1" applyBorder="1" applyAlignment="1">
      <alignment/>
    </xf>
    <xf numFmtId="3" fontId="49" fillId="3" borderId="48" xfId="0" applyNumberFormat="1" applyFont="1" applyFill="1" applyBorder="1" applyAlignment="1">
      <alignment horizontal="right"/>
    </xf>
    <xf numFmtId="3" fontId="49" fillId="28" borderId="48" xfId="0" applyNumberFormat="1" applyFont="1" applyFill="1" applyBorder="1" applyAlignment="1">
      <alignment/>
    </xf>
    <xf numFmtId="3" fontId="51" fillId="3" borderId="48" xfId="0" applyNumberFormat="1" applyFont="1" applyFill="1" applyBorder="1" applyAlignment="1">
      <alignment horizontal="right"/>
    </xf>
    <xf numFmtId="3" fontId="43" fillId="0" borderId="51" xfId="0" applyNumberFormat="1" applyFont="1" applyFill="1" applyBorder="1" applyAlignment="1">
      <alignment/>
    </xf>
    <xf numFmtId="3" fontId="49" fillId="15" borderId="51" xfId="0" applyNumberFormat="1" applyFont="1" applyFill="1" applyBorder="1" applyAlignment="1">
      <alignment/>
    </xf>
    <xf numFmtId="3" fontId="43" fillId="0" borderId="48" xfId="0" applyNumberFormat="1" applyFont="1" applyFill="1" applyBorder="1" applyAlignment="1">
      <alignment/>
    </xf>
    <xf numFmtId="3" fontId="49" fillId="29" borderId="48" xfId="0" applyNumberFormat="1" applyFont="1" applyFill="1" applyBorder="1" applyAlignment="1">
      <alignment/>
    </xf>
    <xf numFmtId="3" fontId="49" fillId="15" borderId="51" xfId="0" applyNumberFormat="1" applyFont="1" applyFill="1" applyBorder="1" applyAlignment="1">
      <alignment/>
    </xf>
    <xf numFmtId="3" fontId="43" fillId="0" borderId="48" xfId="0" applyNumberFormat="1" applyFont="1" applyFill="1" applyBorder="1" applyAlignment="1">
      <alignment/>
    </xf>
    <xf numFmtId="3" fontId="43" fillId="0" borderId="51" xfId="0" applyNumberFormat="1" applyFont="1" applyFill="1" applyBorder="1" applyAlignment="1">
      <alignment/>
    </xf>
    <xf numFmtId="3" fontId="47" fillId="0" borderId="59" xfId="0" applyNumberFormat="1" applyFont="1" applyFill="1" applyBorder="1" applyAlignment="1">
      <alignment/>
    </xf>
    <xf numFmtId="0" fontId="43" fillId="0" borderId="87" xfId="0" applyFont="1" applyBorder="1" applyAlignment="1">
      <alignment/>
    </xf>
    <xf numFmtId="0" fontId="43" fillId="0" borderId="88" xfId="0" applyFont="1" applyBorder="1" applyAlignment="1">
      <alignment/>
    </xf>
    <xf numFmtId="3" fontId="51" fillId="27" borderId="48" xfId="0" applyNumberFormat="1" applyFont="1" applyFill="1" applyBorder="1" applyAlignment="1">
      <alignment/>
    </xf>
    <xf numFmtId="3" fontId="43" fillId="0" borderId="91" xfId="0" applyNumberFormat="1" applyFont="1" applyFill="1" applyBorder="1" applyAlignment="1">
      <alignment horizontal="right"/>
    </xf>
    <xf numFmtId="3" fontId="49" fillId="7" borderId="48" xfId="0" applyNumberFormat="1" applyFont="1" applyFill="1" applyBorder="1" applyAlignment="1">
      <alignment horizontal="right"/>
    </xf>
    <xf numFmtId="1" fontId="51" fillId="10" borderId="48" xfId="0" applyNumberFormat="1" applyFont="1" applyFill="1" applyBorder="1" applyAlignment="1">
      <alignment/>
    </xf>
    <xf numFmtId="1" fontId="43" fillId="0" borderId="51" xfId="0" applyNumberFormat="1" applyFont="1" applyBorder="1" applyAlignment="1">
      <alignment/>
    </xf>
    <xf numFmtId="1" fontId="43" fillId="0" borderId="68" xfId="0" applyNumberFormat="1" applyFont="1" applyBorder="1" applyAlignment="1">
      <alignment/>
    </xf>
    <xf numFmtId="174" fontId="0" fillId="9" borderId="0" xfId="0" applyNumberFormat="1" applyFont="1" applyFill="1" applyBorder="1" applyAlignment="1">
      <alignment horizontal="center"/>
    </xf>
    <xf numFmtId="1" fontId="0" fillId="9" borderId="22" xfId="0" applyNumberFormat="1" applyFont="1" applyFill="1" applyBorder="1" applyAlignment="1">
      <alignment horizontal="center" vertical="center"/>
    </xf>
    <xf numFmtId="3" fontId="43" fillId="0" borderId="22" xfId="0" applyNumberFormat="1" applyFont="1" applyFill="1" applyBorder="1" applyAlignment="1">
      <alignment/>
    </xf>
    <xf numFmtId="3" fontId="51" fillId="7" borderId="126" xfId="0" applyNumberFormat="1" applyFont="1" applyFill="1" applyBorder="1" applyAlignment="1">
      <alignment/>
    </xf>
    <xf numFmtId="174" fontId="0" fillId="9" borderId="87" xfId="0" applyNumberFormat="1" applyFont="1" applyFill="1" applyBorder="1" applyAlignment="1">
      <alignment horizontal="center"/>
    </xf>
    <xf numFmtId="1" fontId="0" fillId="9" borderId="89" xfId="0" applyNumberFormat="1" applyFont="1" applyFill="1" applyBorder="1" applyAlignment="1">
      <alignment horizontal="center" vertical="center"/>
    </xf>
    <xf numFmtId="3" fontId="51" fillId="10" borderId="85" xfId="0" applyNumberFormat="1" applyFont="1" applyFill="1" applyBorder="1" applyAlignment="1">
      <alignment/>
    </xf>
    <xf numFmtId="3" fontId="43" fillId="0" borderId="89" xfId="0" applyNumberFormat="1" applyFont="1" applyFill="1" applyBorder="1" applyAlignment="1">
      <alignment/>
    </xf>
    <xf numFmtId="3" fontId="51" fillId="10" borderId="90" xfId="0" applyNumberFormat="1" applyFont="1" applyFill="1" applyBorder="1" applyAlignment="1">
      <alignment/>
    </xf>
    <xf numFmtId="3" fontId="51" fillId="10" borderId="147" xfId="0" applyNumberFormat="1" applyFont="1" applyFill="1" applyBorder="1" applyAlignment="1">
      <alignment/>
    </xf>
    <xf numFmtId="3" fontId="49" fillId="7" borderId="148" xfId="0" applyNumberFormat="1" applyFont="1" applyFill="1" applyBorder="1" applyAlignment="1">
      <alignment/>
    </xf>
    <xf numFmtId="3" fontId="49" fillId="15" borderId="149" xfId="0" applyNumberFormat="1" applyFont="1" applyFill="1" applyBorder="1" applyAlignment="1">
      <alignment/>
    </xf>
    <xf numFmtId="3" fontId="43" fillId="0" borderId="149" xfId="0" applyNumberFormat="1" applyFont="1" applyFill="1" applyBorder="1" applyAlignment="1">
      <alignment horizontal="right"/>
    </xf>
    <xf numFmtId="3" fontId="60" fillId="0" borderId="149" xfId="0" applyNumberFormat="1" applyFont="1" applyFill="1" applyBorder="1" applyAlignment="1">
      <alignment horizontal="right"/>
    </xf>
    <xf numFmtId="3" fontId="60" fillId="0" borderId="149" xfId="0" applyNumberFormat="1" applyFont="1" applyFill="1" applyBorder="1" applyAlignment="1">
      <alignment horizontal="right"/>
    </xf>
    <xf numFmtId="3" fontId="49" fillId="27" borderId="150" xfId="0" applyNumberFormat="1" applyFont="1" applyFill="1" applyBorder="1" applyAlignment="1">
      <alignment/>
    </xf>
    <xf numFmtId="3" fontId="43" fillId="0" borderId="149" xfId="0" applyNumberFormat="1" applyFont="1" applyFill="1" applyBorder="1" applyAlignment="1">
      <alignment/>
    </xf>
    <xf numFmtId="3" fontId="51" fillId="10" borderId="150" xfId="0" applyNumberFormat="1" applyFont="1" applyFill="1" applyBorder="1" applyAlignment="1">
      <alignment/>
    </xf>
    <xf numFmtId="3" fontId="49" fillId="7" borderId="150" xfId="0" applyNumberFormat="1" applyFont="1" applyFill="1" applyBorder="1" applyAlignment="1">
      <alignment/>
    </xf>
    <xf numFmtId="3" fontId="43" fillId="0" borderId="150" xfId="0" applyNumberFormat="1" applyFont="1" applyFill="1" applyBorder="1" applyAlignment="1">
      <alignment horizontal="right"/>
    </xf>
    <xf numFmtId="3" fontId="51" fillId="10" borderId="151" xfId="0" applyNumberFormat="1" applyFont="1" applyFill="1" applyBorder="1" applyAlignment="1">
      <alignment/>
    </xf>
    <xf numFmtId="3" fontId="43" fillId="0" borderId="152" xfId="0" applyNumberFormat="1" applyFont="1" applyFill="1" applyBorder="1" applyAlignment="1">
      <alignment horizontal="right"/>
    </xf>
    <xf numFmtId="3" fontId="43" fillId="0" borderId="153" xfId="0" applyNumberFormat="1" applyFont="1" applyFill="1" applyBorder="1" applyAlignment="1">
      <alignment horizontal="right"/>
    </xf>
    <xf numFmtId="3" fontId="54" fillId="7" borderId="43" xfId="0" applyNumberFormat="1" applyFont="1" applyFill="1" applyBorder="1" applyAlignment="1">
      <alignment/>
    </xf>
    <xf numFmtId="0" fontId="49" fillId="32" borderId="48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48" xfId="0" applyFont="1" applyFill="1" applyBorder="1" applyAlignment="1">
      <alignment/>
    </xf>
    <xf numFmtId="174" fontId="43" fillId="33" borderId="25" xfId="0" applyNumberFormat="1" applyFont="1" applyFill="1" applyBorder="1" applyAlignment="1">
      <alignment horizontal="right"/>
    </xf>
    <xf numFmtId="3" fontId="43" fillId="33" borderId="39" xfId="0" applyNumberFormat="1" applyFont="1" applyFill="1" applyBorder="1" applyAlignment="1">
      <alignment horizontal="right"/>
    </xf>
    <xf numFmtId="3" fontId="43" fillId="33" borderId="25" xfId="0" applyNumberFormat="1" applyFont="1" applyFill="1" applyBorder="1" applyAlignment="1">
      <alignment horizontal="right"/>
    </xf>
    <xf numFmtId="49" fontId="53" fillId="34" borderId="24" xfId="0" applyNumberFormat="1" applyFont="1" applyFill="1" applyBorder="1" applyAlignment="1">
      <alignment horizontal="center"/>
    </xf>
    <xf numFmtId="49" fontId="51" fillId="34" borderId="50" xfId="0" applyNumberFormat="1" applyFont="1" applyFill="1" applyBorder="1" applyAlignment="1">
      <alignment horizontal="left"/>
    </xf>
    <xf numFmtId="0" fontId="51" fillId="34" borderId="15" xfId="0" applyFont="1" applyFill="1" applyBorder="1" applyAlignment="1">
      <alignment/>
    </xf>
    <xf numFmtId="0" fontId="51" fillId="34" borderId="51" xfId="0" applyFont="1" applyFill="1" applyBorder="1" applyAlignment="1">
      <alignment/>
    </xf>
    <xf numFmtId="174" fontId="43" fillId="35" borderId="14" xfId="0" applyNumberFormat="1" applyFont="1" applyFill="1" applyBorder="1" applyAlignment="1">
      <alignment horizontal="right"/>
    </xf>
    <xf numFmtId="3" fontId="43" fillId="34" borderId="52" xfId="0" applyNumberFormat="1" applyFont="1" applyFill="1" applyBorder="1" applyAlignment="1">
      <alignment horizontal="right"/>
    </xf>
    <xf numFmtId="3" fontId="43" fillId="34" borderId="14" xfId="0" applyNumberFormat="1" applyFont="1" applyFill="1" applyBorder="1" applyAlignment="1">
      <alignment horizontal="right"/>
    </xf>
    <xf numFmtId="0" fontId="49" fillId="27" borderId="154" xfId="0" applyFont="1" applyFill="1" applyBorder="1" applyAlignment="1">
      <alignment/>
    </xf>
    <xf numFmtId="0" fontId="43" fillId="27" borderId="85" xfId="0" applyFont="1" applyFill="1" applyBorder="1" applyAlignment="1">
      <alignment/>
    </xf>
    <xf numFmtId="0" fontId="49" fillId="27" borderId="85" xfId="0" applyFont="1" applyFill="1" applyBorder="1" applyAlignment="1">
      <alignment/>
    </xf>
    <xf numFmtId="0" fontId="49" fillId="27" borderId="82" xfId="0" applyFont="1" applyFill="1" applyBorder="1" applyAlignment="1">
      <alignment/>
    </xf>
    <xf numFmtId="174" fontId="51" fillId="27" borderId="83" xfId="0" applyNumberFormat="1" applyFont="1" applyFill="1" applyBorder="1" applyAlignment="1">
      <alignment/>
    </xf>
    <xf numFmtId="3" fontId="51" fillId="27" borderId="82" xfId="0" applyNumberFormat="1" applyFont="1" applyFill="1" applyBorder="1" applyAlignment="1">
      <alignment/>
    </xf>
    <xf numFmtId="3" fontId="51" fillId="27" borderId="84" xfId="0" applyNumberFormat="1" applyFont="1" applyFill="1" applyBorder="1" applyAlignment="1">
      <alignment/>
    </xf>
    <xf numFmtId="3" fontId="51" fillId="27" borderId="85" xfId="0" applyNumberFormat="1" applyFont="1" applyFill="1" applyBorder="1" applyAlignment="1">
      <alignment/>
    </xf>
    <xf numFmtId="3" fontId="51" fillId="7" borderId="120" xfId="0" applyNumberFormat="1" applyFont="1" applyFill="1" applyBorder="1" applyAlignment="1">
      <alignment/>
    </xf>
    <xf numFmtId="3" fontId="51" fillId="7" borderId="127" xfId="0" applyNumberFormat="1" applyFont="1" applyFill="1" applyBorder="1" applyAlignment="1">
      <alignment/>
    </xf>
    <xf numFmtId="3" fontId="51" fillId="7" borderId="121" xfId="0" applyNumberFormat="1" applyFont="1" applyFill="1" applyBorder="1" applyAlignment="1">
      <alignment/>
    </xf>
    <xf numFmtId="49" fontId="53" fillId="34" borderId="24" xfId="0" applyNumberFormat="1" applyFont="1" applyFill="1" applyBorder="1" applyAlignment="1">
      <alignment horizontal="right"/>
    </xf>
    <xf numFmtId="0" fontId="51" fillId="34" borderId="54" xfId="0" applyFont="1" applyFill="1" applyBorder="1" applyAlignment="1">
      <alignment/>
    </xf>
    <xf numFmtId="0" fontId="51" fillId="34" borderId="22" xfId="0" applyFont="1" applyFill="1" applyBorder="1" applyAlignment="1">
      <alignment/>
    </xf>
    <xf numFmtId="0" fontId="51" fillId="34" borderId="45" xfId="0" applyFont="1" applyFill="1" applyBorder="1" applyAlignment="1">
      <alignment/>
    </xf>
    <xf numFmtId="0" fontId="49" fillId="35" borderId="110" xfId="0" applyFont="1" applyFill="1" applyBorder="1" applyAlignment="1">
      <alignment/>
    </xf>
    <xf numFmtId="3" fontId="43" fillId="35" borderId="155" xfId="0" applyNumberFormat="1" applyFont="1" applyFill="1" applyBorder="1" applyAlignment="1">
      <alignment horizontal="right"/>
    </xf>
    <xf numFmtId="3" fontId="43" fillId="35" borderId="110" xfId="0" applyNumberFormat="1" applyFont="1" applyFill="1" applyBorder="1" applyAlignment="1">
      <alignment horizontal="right"/>
    </xf>
    <xf numFmtId="3" fontId="43" fillId="35" borderId="156" xfId="0" applyNumberFormat="1" applyFont="1" applyFill="1" applyBorder="1" applyAlignment="1">
      <alignment horizontal="right"/>
    </xf>
    <xf numFmtId="3" fontId="43" fillId="35" borderId="157" xfId="0" applyNumberFormat="1" applyFont="1" applyFill="1" applyBorder="1" applyAlignment="1">
      <alignment horizontal="right"/>
    </xf>
    <xf numFmtId="3" fontId="51" fillId="27" borderId="90" xfId="0" applyNumberFormat="1" applyFont="1" applyFill="1" applyBorder="1" applyAlignment="1">
      <alignment/>
    </xf>
    <xf numFmtId="174" fontId="50" fillId="7" borderId="127" xfId="0" applyNumberFormat="1" applyFont="1" applyFill="1" applyBorder="1" applyAlignment="1">
      <alignment/>
    </xf>
    <xf numFmtId="3" fontId="51" fillId="7" borderId="126" xfId="0" applyNumberFormat="1" applyFont="1" applyFill="1" applyBorder="1" applyAlignment="1">
      <alignment/>
    </xf>
    <xf numFmtId="3" fontId="51" fillId="7" borderId="128" xfId="0" applyNumberFormat="1" applyFont="1" applyFill="1" applyBorder="1" applyAlignment="1">
      <alignment/>
    </xf>
    <xf numFmtId="0" fontId="49" fillId="28" borderId="154" xfId="0" applyFont="1" applyFill="1" applyBorder="1" applyAlignment="1">
      <alignment/>
    </xf>
    <xf numFmtId="0" fontId="43" fillId="28" borderId="85" xfId="0" applyFont="1" applyFill="1" applyBorder="1" applyAlignment="1">
      <alignment/>
    </xf>
    <xf numFmtId="0" fontId="49" fillId="28" borderId="85" xfId="0" applyFont="1" applyFill="1" applyBorder="1" applyAlignment="1">
      <alignment/>
    </xf>
    <xf numFmtId="0" fontId="49" fillId="28" borderId="82" xfId="0" applyFont="1" applyFill="1" applyBorder="1" applyAlignment="1">
      <alignment/>
    </xf>
    <xf numFmtId="174" fontId="50" fillId="28" borderId="83" xfId="0" applyNumberFormat="1" applyFont="1" applyFill="1" applyBorder="1" applyAlignment="1">
      <alignment/>
    </xf>
    <xf numFmtId="3" fontId="51" fillId="28" borderId="82" xfId="0" applyNumberFormat="1" applyFont="1" applyFill="1" applyBorder="1" applyAlignment="1">
      <alignment/>
    </xf>
    <xf numFmtId="3" fontId="51" fillId="28" borderId="84" xfId="0" applyNumberFormat="1" applyFont="1" applyFill="1" applyBorder="1" applyAlignment="1">
      <alignment/>
    </xf>
    <xf numFmtId="0" fontId="49" fillId="36" borderId="135" xfId="0" applyFont="1" applyFill="1" applyBorder="1" applyAlignment="1">
      <alignment/>
    </xf>
    <xf numFmtId="0" fontId="43" fillId="36" borderId="136" xfId="0" applyFont="1" applyFill="1" applyBorder="1" applyAlignment="1">
      <alignment/>
    </xf>
    <xf numFmtId="0" fontId="49" fillId="36" borderId="136" xfId="0" applyFont="1" applyFill="1" applyBorder="1" applyAlignment="1">
      <alignment/>
    </xf>
    <xf numFmtId="0" fontId="49" fillId="36" borderId="137" xfId="0" applyFont="1" applyFill="1" applyBorder="1" applyAlignment="1">
      <alignment/>
    </xf>
    <xf numFmtId="174" fontId="51" fillId="36" borderId="138" xfId="0" applyNumberFormat="1" applyFont="1" applyFill="1" applyBorder="1" applyAlignment="1">
      <alignment/>
    </xf>
    <xf numFmtId="3" fontId="51" fillId="36" borderId="136" xfId="0" applyNumberFormat="1" applyFont="1" applyFill="1" applyBorder="1" applyAlignment="1">
      <alignment/>
    </xf>
    <xf numFmtId="3" fontId="51" fillId="36" borderId="158" xfId="0" applyNumberFormat="1" applyFont="1" applyFill="1" applyBorder="1" applyAlignment="1">
      <alignment/>
    </xf>
    <xf numFmtId="3" fontId="51" fillId="36" borderId="137" xfId="0" applyNumberFormat="1" applyFont="1" applyFill="1" applyBorder="1" applyAlignment="1">
      <alignment/>
    </xf>
    <xf numFmtId="3" fontId="51" fillId="36" borderId="139" xfId="0" applyNumberFormat="1" applyFont="1" applyFill="1" applyBorder="1" applyAlignment="1">
      <alignment/>
    </xf>
    <xf numFmtId="0" fontId="86" fillId="27" borderId="85" xfId="0" applyFont="1" applyFill="1" applyBorder="1" applyAlignment="1">
      <alignment/>
    </xf>
    <xf numFmtId="0" fontId="85" fillId="27" borderId="85" xfId="0" applyFont="1" applyFill="1" applyBorder="1" applyAlignment="1">
      <alignment/>
    </xf>
    <xf numFmtId="0" fontId="85" fillId="27" borderId="82" xfId="0" applyFont="1" applyFill="1" applyBorder="1" applyAlignment="1">
      <alignment/>
    </xf>
    <xf numFmtId="174" fontId="87" fillId="27" borderId="83" xfId="0" applyNumberFormat="1" applyFont="1" applyFill="1" applyBorder="1" applyAlignment="1">
      <alignment/>
    </xf>
    <xf numFmtId="3" fontId="51" fillId="27" borderId="83" xfId="0" applyNumberFormat="1" applyFont="1" applyFill="1" applyBorder="1" applyAlignment="1">
      <alignment/>
    </xf>
    <xf numFmtId="3" fontId="51" fillId="36" borderId="138" xfId="0" applyNumberFormat="1" applyFont="1" applyFill="1" applyBorder="1" applyAlignment="1">
      <alignment/>
    </xf>
    <xf numFmtId="0" fontId="49" fillId="36" borderId="107" xfId="0" applyFont="1" applyFill="1" applyBorder="1" applyAlignment="1">
      <alignment/>
    </xf>
    <xf numFmtId="0" fontId="43" fillId="36" borderId="0" xfId="0" applyFont="1" applyFill="1" applyBorder="1" applyAlignment="1">
      <alignment/>
    </xf>
    <xf numFmtId="0" fontId="49" fillId="36" borderId="0" xfId="0" applyFont="1" applyFill="1" applyBorder="1" applyAlignment="1">
      <alignment/>
    </xf>
    <xf numFmtId="0" fontId="49" fillId="36" borderId="48" xfId="0" applyFont="1" applyFill="1" applyBorder="1" applyAlignment="1">
      <alignment/>
    </xf>
    <xf numFmtId="3" fontId="43" fillId="37" borderId="39" xfId="0" applyNumberFormat="1" applyFont="1" applyFill="1" applyBorder="1" applyAlignment="1">
      <alignment horizontal="right"/>
    </xf>
    <xf numFmtId="3" fontId="43" fillId="37" borderId="0" xfId="0" applyNumberFormat="1" applyFont="1" applyFill="1" applyBorder="1" applyAlignment="1">
      <alignment horizontal="right"/>
    </xf>
    <xf numFmtId="3" fontId="43" fillId="37" borderId="25" xfId="0" applyNumberFormat="1" applyFont="1" applyFill="1" applyBorder="1" applyAlignment="1">
      <alignment horizontal="right"/>
    </xf>
    <xf numFmtId="3" fontId="43" fillId="37" borderId="87" xfId="0" applyNumberFormat="1" applyFont="1" applyFill="1" applyBorder="1" applyAlignment="1">
      <alignment horizontal="right"/>
    </xf>
    <xf numFmtId="3" fontId="51" fillId="36" borderId="48" xfId="0" applyNumberFormat="1" applyFont="1" applyFill="1" applyBorder="1" applyAlignment="1">
      <alignment/>
    </xf>
    <xf numFmtId="3" fontId="51" fillId="36" borderId="39" xfId="0" applyNumberFormat="1" applyFont="1" applyFill="1" applyBorder="1" applyAlignment="1">
      <alignment/>
    </xf>
    <xf numFmtId="3" fontId="51" fillId="36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" fontId="49" fillId="32" borderId="48" xfId="0" applyNumberFormat="1" applyFont="1" applyFill="1" applyBorder="1" applyAlignment="1">
      <alignment/>
    </xf>
    <xf numFmtId="1" fontId="49" fillId="32" borderId="39" xfId="0" applyNumberFormat="1" applyFont="1" applyFill="1" applyBorder="1" applyAlignment="1">
      <alignment/>
    </xf>
    <xf numFmtId="0" fontId="49" fillId="32" borderId="39" xfId="0" applyFont="1" applyFill="1" applyBorder="1" applyAlignment="1">
      <alignment/>
    </xf>
    <xf numFmtId="49" fontId="53" fillId="34" borderId="53" xfId="0" applyNumberFormat="1" applyFont="1" applyFill="1" applyBorder="1" applyAlignment="1">
      <alignment horizontal="right"/>
    </xf>
    <xf numFmtId="0" fontId="43" fillId="34" borderId="15" xfId="0" applyFont="1" applyFill="1" applyBorder="1" applyAlignment="1">
      <alignment/>
    </xf>
    <xf numFmtId="0" fontId="0" fillId="35" borderId="15" xfId="0" applyFill="1" applyBorder="1" applyAlignment="1">
      <alignment/>
    </xf>
    <xf numFmtId="1" fontId="43" fillId="34" borderId="52" xfId="0" applyNumberFormat="1" applyFont="1" applyFill="1" applyBorder="1" applyAlignment="1">
      <alignment/>
    </xf>
    <xf numFmtId="0" fontId="43" fillId="34" borderId="52" xfId="0" applyFont="1" applyFill="1" applyBorder="1" applyAlignment="1">
      <alignment/>
    </xf>
    <xf numFmtId="0" fontId="43" fillId="34" borderId="51" xfId="0" applyFont="1" applyFill="1" applyBorder="1" applyAlignment="1">
      <alignment/>
    </xf>
    <xf numFmtId="174" fontId="51" fillId="36" borderId="25" xfId="0" applyNumberFormat="1" applyFont="1" applyFill="1" applyBorder="1" applyAlignment="1">
      <alignment/>
    </xf>
    <xf numFmtId="0" fontId="49" fillId="38" borderId="48" xfId="0" applyFont="1" applyFill="1" applyBorder="1" applyAlignment="1">
      <alignment/>
    </xf>
    <xf numFmtId="0" fontId="43" fillId="38" borderId="0" xfId="0" applyFont="1" applyFill="1" applyBorder="1" applyAlignment="1">
      <alignment/>
    </xf>
    <xf numFmtId="0" fontId="0" fillId="38" borderId="48" xfId="0" applyFont="1" applyFill="1" applyBorder="1" applyAlignment="1">
      <alignment/>
    </xf>
    <xf numFmtId="174" fontId="49" fillId="38" borderId="25" xfId="0" applyNumberFormat="1" applyFont="1" applyFill="1" applyBorder="1" applyAlignment="1">
      <alignment horizontal="right"/>
    </xf>
    <xf numFmtId="3" fontId="49" fillId="38" borderId="39" xfId="0" applyNumberFormat="1" applyFont="1" applyFill="1" applyBorder="1" applyAlignment="1">
      <alignment horizontal="right"/>
    </xf>
    <xf numFmtId="3" fontId="49" fillId="38" borderId="0" xfId="0" applyNumberFormat="1" applyFont="1" applyFill="1" applyBorder="1" applyAlignment="1">
      <alignment horizontal="right"/>
    </xf>
    <xf numFmtId="0" fontId="49" fillId="36" borderId="159" xfId="0" applyFont="1" applyFill="1" applyBorder="1" applyAlignment="1">
      <alignment/>
    </xf>
    <xf numFmtId="0" fontId="43" fillId="36" borderId="98" xfId="0" applyFont="1" applyFill="1" applyBorder="1" applyAlignment="1">
      <alignment/>
    </xf>
    <xf numFmtId="0" fontId="49" fillId="36" borderId="98" xfId="0" applyFont="1" applyFill="1" applyBorder="1" applyAlignment="1">
      <alignment/>
    </xf>
    <xf numFmtId="0" fontId="49" fillId="36" borderId="160" xfId="0" applyFont="1" applyFill="1" applyBorder="1" applyAlignment="1">
      <alignment/>
    </xf>
    <xf numFmtId="174" fontId="51" fillId="36" borderId="161" xfId="0" applyNumberFormat="1" applyFont="1" applyFill="1" applyBorder="1" applyAlignment="1">
      <alignment/>
    </xf>
    <xf numFmtId="3" fontId="51" fillId="36" borderId="160" xfId="0" applyNumberFormat="1" applyFont="1" applyFill="1" applyBorder="1" applyAlignment="1">
      <alignment/>
    </xf>
    <xf numFmtId="3" fontId="51" fillId="36" borderId="162" xfId="0" applyNumberFormat="1" applyFont="1" applyFill="1" applyBorder="1" applyAlignment="1">
      <alignment/>
    </xf>
    <xf numFmtId="3" fontId="51" fillId="36" borderId="98" xfId="0" applyNumberFormat="1" applyFont="1" applyFill="1" applyBorder="1" applyAlignment="1">
      <alignment/>
    </xf>
    <xf numFmtId="0" fontId="49" fillId="32" borderId="40" xfId="0" applyFont="1" applyFill="1" applyBorder="1" applyAlignment="1">
      <alignment/>
    </xf>
    <xf numFmtId="0" fontId="54" fillId="10" borderId="72" xfId="0" applyFont="1" applyFill="1" applyBorder="1" applyAlignment="1">
      <alignment vertical="center"/>
    </xf>
    <xf numFmtId="0" fontId="0" fillId="10" borderId="27" xfId="0" applyFont="1" applyFill="1" applyBorder="1" applyAlignment="1">
      <alignment horizontal="center"/>
    </xf>
    <xf numFmtId="0" fontId="0" fillId="10" borderId="163" xfId="0" applyFont="1" applyFill="1" applyBorder="1" applyAlignment="1">
      <alignment horizontal="center" vertical="center"/>
    </xf>
    <xf numFmtId="0" fontId="0" fillId="10" borderId="43" xfId="0" applyFont="1" applyFill="1" applyBorder="1" applyAlignment="1">
      <alignment horizontal="center"/>
    </xf>
    <xf numFmtId="0" fontId="5" fillId="10" borderId="48" xfId="0" applyFont="1" applyFill="1" applyBorder="1" applyAlignment="1">
      <alignment horizontal="center" vertical="center"/>
    </xf>
    <xf numFmtId="0" fontId="0" fillId="10" borderId="91" xfId="0" applyFont="1" applyFill="1" applyBorder="1" applyAlignment="1">
      <alignment horizontal="center" vertical="center"/>
    </xf>
    <xf numFmtId="3" fontId="65" fillId="0" borderId="69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48" xfId="0" applyNumberFormat="1" applyFont="1" applyFill="1" applyBorder="1" applyAlignment="1">
      <alignment/>
    </xf>
    <xf numFmtId="0" fontId="0" fillId="0" borderId="108" xfId="0" applyFont="1" applyFill="1" applyBorder="1" applyAlignment="1">
      <alignment horizontal="left" vertical="center"/>
    </xf>
    <xf numFmtId="0" fontId="54" fillId="0" borderId="87" xfId="0" applyFont="1" applyFill="1" applyBorder="1" applyAlignment="1">
      <alignment/>
    </xf>
    <xf numFmtId="0" fontId="52" fillId="0" borderId="88" xfId="0" applyFont="1" applyFill="1" applyBorder="1" applyAlignment="1">
      <alignment/>
    </xf>
    <xf numFmtId="0" fontId="5" fillId="10" borderId="59" xfId="0" applyFont="1" applyFill="1" applyBorder="1" applyAlignment="1">
      <alignment horizontal="center" vertical="center"/>
    </xf>
    <xf numFmtId="0" fontId="0" fillId="10" borderId="164" xfId="0" applyFont="1" applyFill="1" applyBorder="1" applyAlignment="1">
      <alignment horizontal="center" vertical="center"/>
    </xf>
    <xf numFmtId="0" fontId="0" fillId="10" borderId="86" xfId="0" applyFont="1" applyFill="1" applyBorder="1" applyAlignment="1">
      <alignment horizontal="center"/>
    </xf>
    <xf numFmtId="0" fontId="5" fillId="10" borderId="91" xfId="0" applyFont="1" applyFill="1" applyBorder="1" applyAlignment="1">
      <alignment horizontal="center" vertical="center"/>
    </xf>
    <xf numFmtId="0" fontId="50" fillId="39" borderId="165" xfId="0" applyFont="1" applyFill="1" applyBorder="1" applyAlignment="1">
      <alignment horizontal="center"/>
    </xf>
    <xf numFmtId="174" fontId="43" fillId="39" borderId="83" xfId="0" applyNumberFormat="1" applyFont="1" applyFill="1" applyBorder="1" applyAlignment="1">
      <alignment horizontal="right"/>
    </xf>
    <xf numFmtId="3" fontId="51" fillId="39" borderId="84" xfId="0" applyNumberFormat="1" applyFont="1" applyFill="1" applyBorder="1" applyAlignment="1">
      <alignment horizontal="right"/>
    </xf>
    <xf numFmtId="3" fontId="51" fillId="39" borderId="83" xfId="0" applyNumberFormat="1" applyFont="1" applyFill="1" applyBorder="1" applyAlignment="1">
      <alignment horizontal="right"/>
    </xf>
    <xf numFmtId="3" fontId="54" fillId="7" borderId="86" xfId="0" applyNumberFormat="1" applyFont="1" applyFill="1" applyBorder="1" applyAlignment="1">
      <alignment/>
    </xf>
    <xf numFmtId="3" fontId="51" fillId="36" borderId="91" xfId="0" applyNumberFormat="1" applyFont="1" applyFill="1" applyBorder="1" applyAlignment="1">
      <alignment/>
    </xf>
    <xf numFmtId="3" fontId="51" fillId="15" borderId="14" xfId="0" applyNumberFormat="1" applyFont="1" applyFill="1" applyBorder="1" applyAlignment="1">
      <alignment/>
    </xf>
    <xf numFmtId="3" fontId="43" fillId="35" borderId="14" xfId="0" applyNumberFormat="1" applyFont="1" applyFill="1" applyBorder="1" applyAlignment="1">
      <alignment horizontal="right"/>
    </xf>
    <xf numFmtId="3" fontId="51" fillId="27" borderId="87" xfId="0" applyNumberFormat="1" applyFont="1" applyFill="1" applyBorder="1" applyAlignment="1">
      <alignment/>
    </xf>
    <xf numFmtId="3" fontId="51" fillId="36" borderId="166" xfId="0" applyNumberFormat="1" applyFont="1" applyFill="1" applyBorder="1" applyAlignment="1">
      <alignment/>
    </xf>
    <xf numFmtId="3" fontId="51" fillId="10" borderId="164" xfId="0" applyNumberFormat="1" applyFont="1" applyFill="1" applyBorder="1" applyAlignment="1">
      <alignment/>
    </xf>
    <xf numFmtId="3" fontId="63" fillId="0" borderId="88" xfId="0" applyNumberFormat="1" applyFont="1" applyFill="1" applyBorder="1" applyAlignment="1">
      <alignment horizontal="right"/>
    </xf>
    <xf numFmtId="3" fontId="49" fillId="0" borderId="89" xfId="0" applyNumberFormat="1" applyFont="1" applyFill="1" applyBorder="1" applyAlignment="1">
      <alignment/>
    </xf>
    <xf numFmtId="3" fontId="60" fillId="8" borderId="88" xfId="0" applyNumberFormat="1" applyFont="1" applyFill="1" applyBorder="1" applyAlignment="1">
      <alignment/>
    </xf>
    <xf numFmtId="3" fontId="43" fillId="8" borderId="88" xfId="0" applyNumberFormat="1" applyFont="1" applyFill="1" applyBorder="1" applyAlignment="1">
      <alignment/>
    </xf>
    <xf numFmtId="3" fontId="43" fillId="27" borderId="87" xfId="0" applyNumberFormat="1" applyFont="1" applyFill="1" applyBorder="1" applyAlignment="1">
      <alignment/>
    </xf>
    <xf numFmtId="3" fontId="43" fillId="15" borderId="88" xfId="0" applyNumberFormat="1" applyFont="1" applyFill="1" applyBorder="1" applyAlignment="1">
      <alignment/>
    </xf>
    <xf numFmtId="3" fontId="48" fillId="7" borderId="62" xfId="0" applyNumberFormat="1" applyFont="1" applyFill="1" applyBorder="1" applyAlignment="1">
      <alignment/>
    </xf>
    <xf numFmtId="3" fontId="51" fillId="36" borderId="25" xfId="0" applyNumberFormat="1" applyFont="1" applyFill="1" applyBorder="1" applyAlignment="1">
      <alignment/>
    </xf>
    <xf numFmtId="3" fontId="51" fillId="10" borderId="73" xfId="0" applyNumberFormat="1" applyFont="1" applyFill="1" applyBorder="1" applyAlignment="1">
      <alignment/>
    </xf>
    <xf numFmtId="3" fontId="49" fillId="0" borderId="14" xfId="0" applyNumberFormat="1" applyFont="1" applyFill="1" applyBorder="1" applyAlignment="1">
      <alignment horizontal="right"/>
    </xf>
    <xf numFmtId="3" fontId="51" fillId="15" borderId="14" xfId="0" applyNumberFormat="1" applyFont="1" applyFill="1" applyBorder="1" applyAlignment="1">
      <alignment horizontal="right"/>
    </xf>
    <xf numFmtId="3" fontId="43" fillId="0" borderId="18" xfId="0" applyNumberFormat="1" applyFont="1" applyFill="1" applyBorder="1" applyAlignment="1">
      <alignment horizontal="right"/>
    </xf>
    <xf numFmtId="3" fontId="49" fillId="0" borderId="88" xfId="0" applyNumberFormat="1" applyFont="1" applyFill="1" applyBorder="1" applyAlignment="1">
      <alignment horizontal="right"/>
    </xf>
    <xf numFmtId="3" fontId="51" fillId="15" borderId="88" xfId="0" applyNumberFormat="1" applyFont="1" applyFill="1" applyBorder="1" applyAlignment="1">
      <alignment horizontal="right"/>
    </xf>
    <xf numFmtId="3" fontId="49" fillId="27" borderId="87" xfId="0" applyNumberFormat="1" applyFont="1" applyFill="1" applyBorder="1" applyAlignment="1">
      <alignment horizontal="right"/>
    </xf>
    <xf numFmtId="3" fontId="51" fillId="15" borderId="51" xfId="0" applyNumberFormat="1" applyFont="1" applyFill="1" applyBorder="1" applyAlignment="1">
      <alignment horizontal="right"/>
    </xf>
    <xf numFmtId="3" fontId="51" fillId="15" borderId="52" xfId="0" applyNumberFormat="1" applyFont="1" applyFill="1" applyBorder="1" applyAlignment="1">
      <alignment horizontal="right"/>
    </xf>
    <xf numFmtId="3" fontId="49" fillId="0" borderId="89" xfId="0" applyNumberFormat="1" applyFont="1" applyFill="1" applyBorder="1" applyAlignment="1">
      <alignment horizontal="right"/>
    </xf>
    <xf numFmtId="3" fontId="43" fillId="0" borderId="88" xfId="0" applyNumberFormat="1" applyFont="1" applyBorder="1" applyAlignment="1">
      <alignment/>
    </xf>
    <xf numFmtId="4" fontId="43" fillId="0" borderId="167" xfId="0" applyNumberFormat="1" applyFont="1" applyBorder="1" applyAlignment="1">
      <alignment/>
    </xf>
    <xf numFmtId="3" fontId="49" fillId="10" borderId="87" xfId="0" applyNumberFormat="1" applyFont="1" applyFill="1" applyBorder="1" applyAlignment="1">
      <alignment/>
    </xf>
    <xf numFmtId="3" fontId="49" fillId="33" borderId="87" xfId="0" applyNumberFormat="1" applyFont="1" applyFill="1" applyBorder="1" applyAlignment="1">
      <alignment/>
    </xf>
    <xf numFmtId="3" fontId="49" fillId="35" borderId="88" xfId="0" applyNumberFormat="1" applyFont="1" applyFill="1" applyBorder="1" applyAlignment="1">
      <alignment/>
    </xf>
    <xf numFmtId="1" fontId="49" fillId="34" borderId="51" xfId="0" applyNumberFormat="1" applyFont="1" applyFill="1" applyBorder="1" applyAlignment="1">
      <alignment/>
    </xf>
    <xf numFmtId="3" fontId="43" fillId="0" borderId="121" xfId="0" applyNumberFormat="1" applyFont="1" applyFill="1" applyBorder="1" applyAlignment="1">
      <alignment horizontal="right"/>
    </xf>
    <xf numFmtId="3" fontId="43" fillId="7" borderId="87" xfId="0" applyNumberFormat="1" applyFont="1" applyFill="1" applyBorder="1" applyAlignment="1">
      <alignment horizontal="right"/>
    </xf>
    <xf numFmtId="3" fontId="43" fillId="0" borderId="87" xfId="0" applyNumberFormat="1" applyFont="1" applyFill="1" applyBorder="1" applyAlignment="1">
      <alignment/>
    </xf>
    <xf numFmtId="3" fontId="54" fillId="10" borderId="87" xfId="0" applyNumberFormat="1" applyFont="1" applyFill="1" applyBorder="1" applyAlignment="1">
      <alignment/>
    </xf>
    <xf numFmtId="3" fontId="43" fillId="37" borderId="48" xfId="0" applyNumberFormat="1" applyFont="1" applyFill="1" applyBorder="1" applyAlignment="1">
      <alignment horizontal="right"/>
    </xf>
    <xf numFmtId="3" fontId="43" fillId="35" borderId="168" xfId="0" applyNumberFormat="1" applyFont="1" applyFill="1" applyBorder="1" applyAlignment="1">
      <alignment horizontal="right"/>
    </xf>
    <xf numFmtId="3" fontId="43" fillId="0" borderId="82" xfId="0" applyNumberFormat="1" applyFont="1" applyFill="1" applyBorder="1" applyAlignment="1">
      <alignment horizontal="right"/>
    </xf>
    <xf numFmtId="3" fontId="51" fillId="10" borderId="48" xfId="0" applyNumberFormat="1" applyFont="1" applyFill="1" applyBorder="1" applyAlignment="1">
      <alignment horizontal="right"/>
    </xf>
    <xf numFmtId="3" fontId="35" fillId="0" borderId="59" xfId="0" applyNumberFormat="1" applyFont="1" applyFill="1" applyBorder="1" applyAlignment="1">
      <alignment horizontal="right"/>
    </xf>
    <xf numFmtId="3" fontId="49" fillId="36" borderId="87" xfId="0" applyNumberFormat="1" applyFont="1" applyFill="1" applyBorder="1" applyAlignment="1">
      <alignment/>
    </xf>
    <xf numFmtId="3" fontId="49" fillId="35" borderId="111" xfId="0" applyNumberFormat="1" applyFont="1" applyFill="1" applyBorder="1" applyAlignment="1">
      <alignment/>
    </xf>
    <xf numFmtId="3" fontId="43" fillId="10" borderId="87" xfId="0" applyNumberFormat="1" applyFont="1" applyFill="1" applyBorder="1" applyAlignment="1">
      <alignment horizontal="right"/>
    </xf>
    <xf numFmtId="3" fontId="49" fillId="0" borderId="91" xfId="0" applyNumberFormat="1" applyFont="1" applyFill="1" applyBorder="1" applyAlignment="1">
      <alignment horizontal="right"/>
    </xf>
    <xf numFmtId="3" fontId="49" fillId="3" borderId="87" xfId="0" applyNumberFormat="1" applyFont="1" applyFill="1" applyBorder="1" applyAlignment="1">
      <alignment horizontal="right"/>
    </xf>
    <xf numFmtId="3" fontId="49" fillId="28" borderId="87" xfId="0" applyNumberFormat="1" applyFont="1" applyFill="1" applyBorder="1" applyAlignment="1">
      <alignment/>
    </xf>
    <xf numFmtId="3" fontId="51" fillId="3" borderId="87" xfId="0" applyNumberFormat="1" applyFont="1" applyFill="1" applyBorder="1" applyAlignment="1">
      <alignment horizontal="right"/>
    </xf>
    <xf numFmtId="3" fontId="43" fillId="0" borderId="87" xfId="0" applyNumberFormat="1" applyFont="1" applyBorder="1" applyAlignment="1">
      <alignment/>
    </xf>
    <xf numFmtId="3" fontId="51" fillId="7" borderId="121" xfId="0" applyNumberFormat="1" applyFont="1" applyFill="1" applyBorder="1" applyAlignment="1">
      <alignment/>
    </xf>
    <xf numFmtId="3" fontId="51" fillId="28" borderId="90" xfId="0" applyNumberFormat="1" applyFont="1" applyFill="1" applyBorder="1" applyAlignment="1">
      <alignment/>
    </xf>
    <xf numFmtId="3" fontId="51" fillId="29" borderId="91" xfId="0" applyNumberFormat="1" applyFont="1" applyFill="1" applyBorder="1" applyAlignment="1">
      <alignment/>
    </xf>
    <xf numFmtId="3" fontId="43" fillId="0" borderId="87" xfId="0" applyNumberFormat="1" applyFont="1" applyFill="1" applyBorder="1" applyAlignment="1">
      <alignment/>
    </xf>
    <xf numFmtId="3" fontId="43" fillId="0" borderId="88" xfId="0" applyNumberFormat="1" applyFont="1" applyFill="1" applyBorder="1" applyAlignment="1">
      <alignment/>
    </xf>
    <xf numFmtId="3" fontId="49" fillId="15" borderId="88" xfId="0" applyNumberFormat="1" applyFont="1" applyFill="1" applyBorder="1" applyAlignment="1">
      <alignment/>
    </xf>
    <xf numFmtId="3" fontId="43" fillId="0" borderId="91" xfId="0" applyNumberFormat="1" applyFont="1" applyFill="1" applyBorder="1" applyAlignment="1">
      <alignment/>
    </xf>
    <xf numFmtId="0" fontId="35" fillId="0" borderId="127" xfId="587" applyFont="1" applyBorder="1">
      <alignment/>
      <protection/>
    </xf>
    <xf numFmtId="0" fontId="35" fillId="0" borderId="120" xfId="587" applyFont="1" applyBorder="1">
      <alignment/>
      <protection/>
    </xf>
    <xf numFmtId="0" fontId="35" fillId="0" borderId="169" xfId="587" applyFont="1" applyFill="1" applyBorder="1">
      <alignment/>
      <protection/>
    </xf>
    <xf numFmtId="3" fontId="51" fillId="7" borderId="127" xfId="0" applyNumberFormat="1" applyFont="1" applyFill="1" applyBorder="1" applyAlignment="1">
      <alignment/>
    </xf>
    <xf numFmtId="3" fontId="51" fillId="28" borderId="83" xfId="0" applyNumberFormat="1" applyFont="1" applyFill="1" applyBorder="1" applyAlignment="1">
      <alignment/>
    </xf>
    <xf numFmtId="3" fontId="51" fillId="29" borderId="25" xfId="0" applyNumberFormat="1" applyFont="1" applyFill="1" applyBorder="1" applyAlignment="1">
      <alignment/>
    </xf>
    <xf numFmtId="3" fontId="49" fillId="3" borderId="25" xfId="0" applyNumberFormat="1" applyFont="1" applyFill="1" applyBorder="1" applyAlignment="1">
      <alignment horizontal="right"/>
    </xf>
    <xf numFmtId="3" fontId="49" fillId="28" borderId="25" xfId="0" applyNumberFormat="1" applyFont="1" applyFill="1" applyBorder="1" applyAlignment="1">
      <alignment/>
    </xf>
    <xf numFmtId="3" fontId="51" fillId="3" borderId="25" xfId="0" applyNumberFormat="1" applyFont="1" applyFill="1" applyBorder="1" applyAlignment="1">
      <alignment horizontal="right"/>
    </xf>
    <xf numFmtId="3" fontId="43" fillId="0" borderId="14" xfId="0" applyNumberFormat="1" applyFont="1" applyFill="1" applyBorder="1" applyAlignment="1">
      <alignment/>
    </xf>
    <xf numFmtId="3" fontId="43" fillId="0" borderId="25" xfId="0" applyNumberFormat="1" applyFont="1" applyFill="1" applyBorder="1" applyAlignment="1">
      <alignment/>
    </xf>
    <xf numFmtId="0" fontId="43" fillId="0" borderId="25" xfId="0" applyFont="1" applyBorder="1" applyAlignment="1">
      <alignment/>
    </xf>
    <xf numFmtId="0" fontId="43" fillId="0" borderId="14" xfId="0" applyFont="1" applyBorder="1" applyAlignment="1">
      <alignment/>
    </xf>
    <xf numFmtId="3" fontId="49" fillId="29" borderId="25" xfId="0" applyNumberFormat="1" applyFont="1" applyFill="1" applyBorder="1" applyAlignment="1">
      <alignment/>
    </xf>
    <xf numFmtId="3" fontId="43" fillId="0" borderId="25" xfId="0" applyNumberFormat="1" applyFont="1" applyFill="1" applyBorder="1" applyAlignment="1">
      <alignment/>
    </xf>
    <xf numFmtId="3" fontId="43" fillId="0" borderId="14" xfId="0" applyNumberFormat="1" applyFont="1" applyFill="1" applyBorder="1" applyAlignment="1">
      <alignment/>
    </xf>
    <xf numFmtId="3" fontId="47" fillId="0" borderId="36" xfId="0" applyNumberFormat="1" applyFont="1" applyFill="1" applyBorder="1" applyAlignment="1">
      <alignment/>
    </xf>
    <xf numFmtId="174" fontId="0" fillId="9" borderId="170" xfId="0" applyNumberFormat="1" applyFont="1" applyFill="1" applyBorder="1" applyAlignment="1">
      <alignment horizontal="center"/>
    </xf>
    <xf numFmtId="3" fontId="51" fillId="10" borderId="171" xfId="0" applyNumberFormat="1" applyFont="1" applyFill="1" applyBorder="1" applyAlignment="1">
      <alignment/>
    </xf>
    <xf numFmtId="3" fontId="49" fillId="27" borderId="25" xfId="0" applyNumberFormat="1" applyFont="1" applyFill="1" applyBorder="1" applyAlignment="1">
      <alignment horizontal="right"/>
    </xf>
    <xf numFmtId="3" fontId="43" fillId="3" borderId="25" xfId="0" applyNumberFormat="1" applyFont="1" applyFill="1" applyBorder="1" applyAlignment="1">
      <alignment horizontal="right"/>
    </xf>
    <xf numFmtId="3" fontId="49" fillId="38" borderId="25" xfId="0" applyNumberFormat="1" applyFont="1" applyFill="1" applyBorder="1" applyAlignment="1">
      <alignment horizontal="right"/>
    </xf>
    <xf numFmtId="3" fontId="60" fillId="0" borderId="121" xfId="0" applyNumberFormat="1" applyFont="1" applyFill="1" applyBorder="1" applyAlignment="1">
      <alignment horizontal="right"/>
    </xf>
    <xf numFmtId="0" fontId="42" fillId="0" borderId="62" xfId="587" applyFont="1" applyFill="1" applyBorder="1">
      <alignment/>
      <protection/>
    </xf>
    <xf numFmtId="0" fontId="42" fillId="0" borderId="63" xfId="587" applyFont="1" applyFill="1" applyBorder="1" applyAlignment="1">
      <alignment vertical="top"/>
      <protection/>
    </xf>
    <xf numFmtId="0" fontId="35" fillId="0" borderId="145" xfId="587" applyFont="1" applyFill="1" applyBorder="1">
      <alignment/>
      <protection/>
    </xf>
    <xf numFmtId="0" fontId="33" fillId="15" borderId="131" xfId="587" applyFont="1" applyFill="1" applyBorder="1">
      <alignment/>
      <protection/>
    </xf>
    <xf numFmtId="0" fontId="79" fillId="15" borderId="0" xfId="587" applyFont="1" applyFill="1" applyBorder="1" applyAlignment="1">
      <alignment vertical="top"/>
      <protection/>
    </xf>
    <xf numFmtId="0" fontId="79" fillId="15" borderId="40" xfId="587" applyFont="1" applyFill="1" applyBorder="1" applyAlignment="1">
      <alignment horizontal="center"/>
      <protection/>
    </xf>
    <xf numFmtId="3" fontId="79" fillId="15" borderId="16" xfId="587" applyNumberFormat="1" applyFont="1" applyFill="1" applyBorder="1" applyAlignment="1">
      <alignment horizontal="right" vertical="top"/>
      <protection/>
    </xf>
    <xf numFmtId="4" fontId="79" fillId="15" borderId="16" xfId="587" applyNumberFormat="1" applyFont="1" applyFill="1" applyBorder="1" applyAlignment="1">
      <alignment horizontal="right" vertical="top"/>
      <protection/>
    </xf>
    <xf numFmtId="0" fontId="88" fillId="15" borderId="15" xfId="587" applyFont="1" applyFill="1" applyBorder="1">
      <alignment/>
      <protection/>
    </xf>
    <xf numFmtId="0" fontId="88" fillId="15" borderId="35" xfId="587" applyFont="1" applyFill="1" applyBorder="1">
      <alignment/>
      <protection/>
    </xf>
    <xf numFmtId="3" fontId="30" fillId="4" borderId="0" xfId="587" applyNumberFormat="1" applyFont="1" applyFill="1" applyBorder="1" applyAlignment="1">
      <alignment/>
      <protection/>
    </xf>
    <xf numFmtId="0" fontId="42" fillId="4" borderId="0" xfId="587" applyFont="1" applyFill="1" applyBorder="1" applyAlignment="1">
      <alignment/>
      <protection/>
    </xf>
    <xf numFmtId="0" fontId="42" fillId="0" borderId="0" xfId="587" applyFont="1" applyFill="1" applyBorder="1" applyAlignment="1">
      <alignment/>
      <protection/>
    </xf>
    <xf numFmtId="0" fontId="67" fillId="0" borderId="14" xfId="587" applyFont="1" applyBorder="1">
      <alignment/>
      <protection/>
    </xf>
    <xf numFmtId="0" fontId="67" fillId="0" borderId="15" xfId="587" applyFont="1" applyBorder="1">
      <alignment/>
      <protection/>
    </xf>
    <xf numFmtId="0" fontId="67" fillId="0" borderId="35" xfId="587" applyFont="1" applyBorder="1">
      <alignment/>
      <protection/>
    </xf>
    <xf numFmtId="0" fontId="35" fillId="0" borderId="143" xfId="587" applyFont="1" applyBorder="1">
      <alignment/>
      <protection/>
    </xf>
    <xf numFmtId="0" fontId="35" fillId="0" borderId="172" xfId="587" applyFont="1" applyBorder="1">
      <alignment/>
      <protection/>
    </xf>
    <xf numFmtId="0" fontId="35" fillId="0" borderId="173" xfId="587" applyFont="1" applyFill="1" applyBorder="1">
      <alignment/>
      <protection/>
    </xf>
    <xf numFmtId="0" fontId="35" fillId="0" borderId="143" xfId="587" applyFont="1" applyBorder="1" applyAlignment="1">
      <alignment horizontal="left"/>
      <protection/>
    </xf>
    <xf numFmtId="0" fontId="35" fillId="0" borderId="174" xfId="587" applyFont="1" applyBorder="1">
      <alignment/>
      <protection/>
    </xf>
    <xf numFmtId="0" fontId="35" fillId="0" borderId="175" xfId="587" applyFont="1" applyBorder="1">
      <alignment/>
      <protection/>
    </xf>
    <xf numFmtId="0" fontId="67" fillId="0" borderId="13" xfId="587" applyFont="1" applyBorder="1">
      <alignment/>
      <protection/>
    </xf>
    <xf numFmtId="0" fontId="67" fillId="0" borderId="28" xfId="587" applyFont="1" applyBorder="1">
      <alignment/>
      <protection/>
    </xf>
    <xf numFmtId="0" fontId="35" fillId="0" borderId="176" xfId="587" applyFont="1" applyBorder="1">
      <alignment/>
      <protection/>
    </xf>
    <xf numFmtId="0" fontId="37" fillId="0" borderId="177" xfId="587" applyFont="1" applyFill="1" applyBorder="1" applyAlignment="1">
      <alignment horizontal="left"/>
      <protection/>
    </xf>
    <xf numFmtId="0" fontId="35" fillId="0" borderId="177" xfId="587" applyFont="1" applyFill="1" applyBorder="1">
      <alignment/>
      <protection/>
    </xf>
    <xf numFmtId="0" fontId="68" fillId="8" borderId="177" xfId="587" applyFont="1" applyFill="1" applyBorder="1">
      <alignment/>
      <protection/>
    </xf>
    <xf numFmtId="0" fontId="68" fillId="0" borderId="177" xfId="587" applyFont="1" applyFill="1" applyBorder="1">
      <alignment/>
      <protection/>
    </xf>
    <xf numFmtId="0" fontId="35" fillId="0" borderId="177" xfId="587" applyFont="1" applyFill="1" applyBorder="1" applyAlignment="1">
      <alignment horizontal="left"/>
      <protection/>
    </xf>
    <xf numFmtId="0" fontId="68" fillId="0" borderId="177" xfId="587" applyFont="1" applyFill="1" applyBorder="1" applyAlignment="1">
      <alignment horizontal="left"/>
      <protection/>
    </xf>
    <xf numFmtId="0" fontId="68" fillId="0" borderId="177" xfId="587" applyFont="1" applyFill="1" applyBorder="1" applyAlignment="1">
      <alignment horizontal="left"/>
      <protection/>
    </xf>
    <xf numFmtId="0" fontId="36" fillId="0" borderId="177" xfId="587" applyFont="1" applyFill="1" applyBorder="1">
      <alignment/>
      <protection/>
    </xf>
    <xf numFmtId="0" fontId="35" fillId="0" borderId="178" xfId="587" applyFont="1" applyBorder="1">
      <alignment/>
      <protection/>
    </xf>
    <xf numFmtId="0" fontId="35" fillId="0" borderId="177" xfId="587" applyFont="1" applyBorder="1">
      <alignment/>
      <protection/>
    </xf>
    <xf numFmtId="0" fontId="35" fillId="0" borderId="179" xfId="587" applyFont="1" applyBorder="1">
      <alignment/>
      <protection/>
    </xf>
    <xf numFmtId="3" fontId="35" fillId="0" borderId="177" xfId="587" applyNumberFormat="1" applyFont="1" applyBorder="1">
      <alignment/>
      <protection/>
    </xf>
    <xf numFmtId="0" fontId="35" fillId="0" borderId="177" xfId="587" applyFont="1" applyFill="1" applyBorder="1" applyAlignment="1">
      <alignment horizontal="left"/>
      <protection/>
    </xf>
    <xf numFmtId="0" fontId="35" fillId="0" borderId="177" xfId="587" applyFont="1" applyBorder="1">
      <alignment/>
      <protection/>
    </xf>
    <xf numFmtId="0" fontId="35" fillId="0" borderId="177" xfId="587" applyFont="1" applyFill="1" applyBorder="1">
      <alignment/>
      <protection/>
    </xf>
    <xf numFmtId="0" fontId="36" fillId="0" borderId="93" xfId="587" applyFont="1" applyBorder="1">
      <alignment/>
      <protection/>
    </xf>
    <xf numFmtId="0" fontId="35" fillId="0" borderId="180" xfId="587" applyFont="1" applyFill="1" applyBorder="1">
      <alignment/>
      <protection/>
    </xf>
    <xf numFmtId="0" fontId="36" fillId="0" borderId="143" xfId="587" applyFont="1" applyFill="1" applyBorder="1">
      <alignment/>
      <protection/>
    </xf>
    <xf numFmtId="0" fontId="84" fillId="0" borderId="177" xfId="587" applyFont="1" applyBorder="1">
      <alignment/>
      <protection/>
    </xf>
    <xf numFmtId="0" fontId="42" fillId="0" borderId="181" xfId="587" applyFont="1" applyFill="1" applyBorder="1" applyAlignment="1">
      <alignment horizontal="center"/>
      <protection/>
    </xf>
    <xf numFmtId="0" fontId="68" fillId="0" borderId="177" xfId="587" applyFont="1" applyBorder="1">
      <alignment/>
      <protection/>
    </xf>
    <xf numFmtId="0" fontId="68" fillId="0" borderId="178" xfId="587" applyFont="1" applyBorder="1">
      <alignment/>
      <protection/>
    </xf>
    <xf numFmtId="0" fontId="35" fillId="0" borderId="182" xfId="587" applyFont="1" applyBorder="1">
      <alignment/>
      <protection/>
    </xf>
    <xf numFmtId="0" fontId="35" fillId="0" borderId="14" xfId="587" applyFont="1" applyBorder="1">
      <alignment/>
      <protection/>
    </xf>
    <xf numFmtId="0" fontId="35" fillId="0" borderId="15" xfId="587" applyFont="1" applyFill="1" applyBorder="1" applyAlignment="1">
      <alignment vertical="top"/>
      <protection/>
    </xf>
    <xf numFmtId="0" fontId="35" fillId="0" borderId="15" xfId="587" applyFont="1" applyBorder="1">
      <alignment/>
      <protection/>
    </xf>
    <xf numFmtId="0" fontId="35" fillId="0" borderId="14" xfId="587" applyFont="1" applyFill="1" applyBorder="1" applyAlignment="1">
      <alignment horizontal="right"/>
      <protection/>
    </xf>
    <xf numFmtId="0" fontId="35" fillId="0" borderId="183" xfId="587" applyFont="1" applyFill="1" applyBorder="1">
      <alignment/>
      <protection/>
    </xf>
    <xf numFmtId="0" fontId="35" fillId="0" borderId="14" xfId="587" applyFont="1" applyFill="1" applyBorder="1">
      <alignment/>
      <protection/>
    </xf>
    <xf numFmtId="0" fontId="35" fillId="0" borderId="178" xfId="587" applyFont="1" applyFill="1" applyBorder="1">
      <alignment/>
      <protection/>
    </xf>
    <xf numFmtId="0" fontId="35" fillId="0" borderId="140" xfId="587" applyFont="1" applyFill="1" applyBorder="1">
      <alignment/>
      <protection/>
    </xf>
    <xf numFmtId="0" fontId="42" fillId="0" borderId="184" xfId="587" applyFont="1" applyFill="1" applyBorder="1" applyAlignment="1">
      <alignment horizontal="center"/>
      <protection/>
    </xf>
    <xf numFmtId="0" fontId="35" fillId="0" borderId="185" xfId="587" applyFont="1" applyFill="1" applyBorder="1">
      <alignment/>
      <protection/>
    </xf>
    <xf numFmtId="0" fontId="83" fillId="0" borderId="177" xfId="587" applyFont="1" applyFill="1" applyBorder="1">
      <alignment/>
      <protection/>
    </xf>
    <xf numFmtId="0" fontId="35" fillId="0" borderId="178" xfId="587" applyFont="1" applyFill="1" applyBorder="1" applyAlignment="1">
      <alignment horizontal="left"/>
      <protection/>
    </xf>
    <xf numFmtId="0" fontId="5" fillId="0" borderId="185" xfId="587" applyFont="1" applyFill="1" applyBorder="1">
      <alignment/>
      <protection/>
    </xf>
    <xf numFmtId="0" fontId="84" fillId="0" borderId="186" xfId="587" applyFont="1" applyFill="1" applyBorder="1">
      <alignment/>
      <protection/>
    </xf>
    <xf numFmtId="0" fontId="35" fillId="0" borderId="187" xfId="587" applyFont="1" applyFill="1" applyBorder="1">
      <alignment/>
      <protection/>
    </xf>
    <xf numFmtId="0" fontId="35" fillId="0" borderId="188" xfId="587" applyFont="1" applyFill="1" applyBorder="1" applyAlignment="1">
      <alignment horizontal="left"/>
      <protection/>
    </xf>
    <xf numFmtId="0" fontId="82" fillId="0" borderId="188" xfId="587" applyFont="1" applyFill="1" applyBorder="1" applyAlignment="1">
      <alignment horizontal="left"/>
      <protection/>
    </xf>
    <xf numFmtId="0" fontId="35" fillId="0" borderId="188" xfId="587" applyFont="1" applyFill="1" applyBorder="1">
      <alignment/>
      <protection/>
    </xf>
    <xf numFmtId="0" fontId="35" fillId="0" borderId="189" xfId="587" applyFont="1" applyFill="1" applyBorder="1">
      <alignment/>
      <protection/>
    </xf>
    <xf numFmtId="0" fontId="35" fillId="0" borderId="190" xfId="587" applyFont="1" applyFill="1" applyBorder="1">
      <alignment/>
      <protection/>
    </xf>
    <xf numFmtId="0" fontId="35" fillId="0" borderId="144" xfId="587" applyFont="1" applyFill="1" applyBorder="1">
      <alignment/>
      <protection/>
    </xf>
    <xf numFmtId="0" fontId="35" fillId="0" borderId="191" xfId="587" applyFont="1" applyFill="1" applyBorder="1">
      <alignment/>
      <protection/>
    </xf>
    <xf numFmtId="0" fontId="35" fillId="0" borderId="192" xfId="587" applyFont="1" applyFill="1" applyBorder="1">
      <alignment/>
      <protection/>
    </xf>
    <xf numFmtId="0" fontId="35" fillId="0" borderId="143" xfId="587" applyFont="1" applyFill="1" applyBorder="1" applyAlignment="1">
      <alignment horizontal="left"/>
      <protection/>
    </xf>
    <xf numFmtId="0" fontId="82" fillId="0" borderId="143" xfId="587" applyFont="1" applyFill="1" applyBorder="1" applyAlignment="1">
      <alignment horizontal="left"/>
      <protection/>
    </xf>
    <xf numFmtId="0" fontId="68" fillId="0" borderId="143" xfId="587" applyFont="1" applyFill="1" applyBorder="1" applyAlignment="1">
      <alignment horizontal="left"/>
      <protection/>
    </xf>
    <xf numFmtId="0" fontId="68" fillId="0" borderId="188" xfId="587" applyFont="1" applyFill="1" applyBorder="1" applyAlignment="1">
      <alignment horizontal="left"/>
      <protection/>
    </xf>
    <xf numFmtId="0" fontId="35" fillId="0" borderId="188" xfId="587" applyFont="1" applyBorder="1">
      <alignment/>
      <protection/>
    </xf>
    <xf numFmtId="0" fontId="36" fillId="8" borderId="188" xfId="587" applyFont="1" applyFill="1" applyBorder="1">
      <alignment/>
      <protection/>
    </xf>
    <xf numFmtId="0" fontId="70" fillId="0" borderId="188" xfId="587" applyFont="1" applyFill="1" applyBorder="1">
      <alignment/>
      <protection/>
    </xf>
    <xf numFmtId="0" fontId="70" fillId="0" borderId="189" xfId="587" applyFont="1" applyFill="1" applyBorder="1">
      <alignment/>
      <protection/>
    </xf>
    <xf numFmtId="0" fontId="71" fillId="0" borderId="188" xfId="587" applyFont="1" applyFill="1" applyBorder="1">
      <alignment/>
      <protection/>
    </xf>
    <xf numFmtId="0" fontId="73" fillId="0" borderId="190" xfId="587" applyFont="1" applyFill="1" applyBorder="1">
      <alignment/>
      <protection/>
    </xf>
    <xf numFmtId="0" fontId="35" fillId="0" borderId="188" xfId="587" applyFont="1" applyBorder="1" applyAlignment="1">
      <alignment horizontal="left"/>
      <protection/>
    </xf>
    <xf numFmtId="0" fontId="35" fillId="0" borderId="189" xfId="587" applyFont="1" applyBorder="1">
      <alignment/>
      <protection/>
    </xf>
    <xf numFmtId="0" fontId="35" fillId="0" borderId="190" xfId="587" applyFont="1" applyBorder="1">
      <alignment/>
      <protection/>
    </xf>
    <xf numFmtId="0" fontId="68" fillId="0" borderId="190" xfId="587" applyFont="1" applyBorder="1">
      <alignment/>
      <protection/>
    </xf>
    <xf numFmtId="0" fontId="73" fillId="0" borderId="188" xfId="587" applyFont="1" applyFill="1" applyBorder="1">
      <alignment/>
      <protection/>
    </xf>
    <xf numFmtId="0" fontId="35" fillId="0" borderId="144" xfId="587" applyFont="1" applyBorder="1">
      <alignment/>
      <protection/>
    </xf>
    <xf numFmtId="0" fontId="35" fillId="0" borderId="193" xfId="587" applyFont="1" applyBorder="1">
      <alignment/>
      <protection/>
    </xf>
    <xf numFmtId="0" fontId="42" fillId="0" borderId="190" xfId="587" applyFont="1" applyFill="1" applyBorder="1" applyAlignment="1">
      <alignment horizontal="center"/>
      <protection/>
    </xf>
    <xf numFmtId="0" fontId="68" fillId="0" borderId="188" xfId="587" applyFont="1" applyBorder="1">
      <alignment/>
      <protection/>
    </xf>
    <xf numFmtId="0" fontId="0" fillId="0" borderId="144" xfId="0" applyBorder="1" applyAlignment="1">
      <alignment/>
    </xf>
    <xf numFmtId="0" fontId="68" fillId="0" borderId="189" xfId="587" applyFont="1" applyBorder="1">
      <alignment/>
      <protection/>
    </xf>
    <xf numFmtId="3" fontId="43" fillId="0" borderId="39" xfId="0" applyNumberFormat="1" applyFont="1" applyBorder="1" applyAlignment="1">
      <alignment/>
    </xf>
    <xf numFmtId="181" fontId="49" fillId="15" borderId="194" xfId="423" applyNumberFormat="1" applyFont="1" applyFill="1" applyBorder="1" applyAlignment="1">
      <alignment horizontal="right"/>
    </xf>
    <xf numFmtId="181" fontId="49" fillId="7" borderId="26" xfId="423" applyNumberFormat="1" applyFont="1" applyFill="1" applyBorder="1" applyAlignment="1">
      <alignment horizontal="center"/>
    </xf>
    <xf numFmtId="3" fontId="43" fillId="0" borderId="0" xfId="0" applyNumberFormat="1" applyFont="1" applyBorder="1" applyAlignment="1">
      <alignment/>
    </xf>
    <xf numFmtId="174" fontId="43" fillId="0" borderId="0" xfId="0" applyNumberFormat="1" applyFont="1" applyBorder="1" applyAlignment="1">
      <alignment/>
    </xf>
    <xf numFmtId="3" fontId="49" fillId="15" borderId="195" xfId="0" applyNumberFormat="1" applyFont="1" applyFill="1" applyBorder="1" applyAlignment="1">
      <alignment/>
    </xf>
    <xf numFmtId="3" fontId="49" fillId="15" borderId="196" xfId="0" applyNumberFormat="1" applyFont="1" applyFill="1" applyBorder="1" applyAlignment="1">
      <alignment/>
    </xf>
    <xf numFmtId="3" fontId="49" fillId="15" borderId="197" xfId="0" applyNumberFormat="1" applyFont="1" applyFill="1" applyBorder="1" applyAlignment="1">
      <alignment/>
    </xf>
    <xf numFmtId="3" fontId="49" fillId="7" borderId="195" xfId="0" applyNumberFormat="1" applyFont="1" applyFill="1" applyBorder="1" applyAlignment="1">
      <alignment/>
    </xf>
    <xf numFmtId="3" fontId="49" fillId="7" borderId="196" xfId="0" applyNumberFormat="1" applyFont="1" applyFill="1" applyBorder="1" applyAlignment="1">
      <alignment/>
    </xf>
    <xf numFmtId="3" fontId="49" fillId="7" borderId="197" xfId="0" applyNumberFormat="1" applyFont="1" applyFill="1" applyBorder="1" applyAlignment="1">
      <alignment/>
    </xf>
    <xf numFmtId="3" fontId="43" fillId="15" borderId="179" xfId="0" applyNumberFormat="1" applyFont="1" applyFill="1" applyBorder="1" applyAlignment="1">
      <alignment/>
    </xf>
    <xf numFmtId="3" fontId="43" fillId="15" borderId="63" xfId="0" applyNumberFormat="1" applyFont="1" applyFill="1" applyBorder="1" applyAlignment="1">
      <alignment/>
    </xf>
    <xf numFmtId="3" fontId="43" fillId="15" borderId="23" xfId="0" applyNumberFormat="1" applyFont="1" applyFill="1" applyBorder="1" applyAlignment="1">
      <alignment/>
    </xf>
    <xf numFmtId="3" fontId="43" fillId="15" borderId="198" xfId="0" applyNumberFormat="1" applyFont="1" applyFill="1" applyBorder="1" applyAlignment="1">
      <alignment/>
    </xf>
    <xf numFmtId="3" fontId="43" fillId="3" borderId="177" xfId="0" applyNumberFormat="1" applyFont="1" applyFill="1" applyBorder="1" applyAlignment="1">
      <alignment/>
    </xf>
    <xf numFmtId="3" fontId="43" fillId="3" borderId="15" xfId="0" applyNumberFormat="1" applyFont="1" applyFill="1" applyBorder="1" applyAlignment="1">
      <alignment/>
    </xf>
    <xf numFmtId="3" fontId="43" fillId="3" borderId="16" xfId="0" applyNumberFormat="1" applyFont="1" applyFill="1" applyBorder="1" applyAlignment="1">
      <alignment/>
    </xf>
    <xf numFmtId="3" fontId="43" fillId="3" borderId="199" xfId="0" applyNumberFormat="1" applyFont="1" applyFill="1" applyBorder="1" applyAlignment="1">
      <alignment/>
    </xf>
    <xf numFmtId="3" fontId="43" fillId="4" borderId="192" xfId="0" applyNumberFormat="1" applyFont="1" applyFill="1" applyBorder="1" applyAlignment="1">
      <alignment/>
    </xf>
    <xf numFmtId="3" fontId="43" fillId="4" borderId="15" xfId="0" applyNumberFormat="1" applyFont="1" applyFill="1" applyBorder="1" applyAlignment="1">
      <alignment/>
    </xf>
    <xf numFmtId="3" fontId="43" fillId="4" borderId="16" xfId="0" applyNumberFormat="1" applyFont="1" applyFill="1" applyBorder="1" applyAlignment="1">
      <alignment/>
    </xf>
    <xf numFmtId="3" fontId="43" fillId="4" borderId="199" xfId="0" applyNumberFormat="1" applyFont="1" applyFill="1" applyBorder="1" applyAlignment="1">
      <alignment/>
    </xf>
    <xf numFmtId="3" fontId="43" fillId="15" borderId="35" xfId="0" applyNumberFormat="1" applyFont="1" applyFill="1" applyBorder="1" applyAlignment="1">
      <alignment/>
    </xf>
    <xf numFmtId="3" fontId="43" fillId="15" borderId="16" xfId="0" applyNumberFormat="1" applyFont="1" applyFill="1" applyBorder="1" applyAlignment="1">
      <alignment/>
    </xf>
    <xf numFmtId="3" fontId="43" fillId="15" borderId="199" xfId="0" applyNumberFormat="1" applyFont="1" applyFill="1" applyBorder="1" applyAlignment="1">
      <alignment/>
    </xf>
    <xf numFmtId="3" fontId="43" fillId="3" borderId="35" xfId="0" applyNumberFormat="1" applyFont="1" applyFill="1" applyBorder="1" applyAlignment="1">
      <alignment/>
    </xf>
    <xf numFmtId="3" fontId="43" fillId="3" borderId="16" xfId="0" applyNumberFormat="1" applyFont="1" applyFill="1" applyBorder="1" applyAlignment="1">
      <alignment/>
    </xf>
    <xf numFmtId="3" fontId="43" fillId="3" borderId="199" xfId="0" applyNumberFormat="1" applyFont="1" applyFill="1" applyBorder="1" applyAlignment="1">
      <alignment/>
    </xf>
    <xf numFmtId="3" fontId="43" fillId="4" borderId="35" xfId="0" applyNumberFormat="1" applyFont="1" applyFill="1" applyBorder="1" applyAlignment="1">
      <alignment/>
    </xf>
    <xf numFmtId="3" fontId="43" fillId="4" borderId="16" xfId="0" applyNumberFormat="1" applyFont="1" applyFill="1" applyBorder="1" applyAlignment="1">
      <alignment/>
    </xf>
    <xf numFmtId="3" fontId="43" fillId="4" borderId="199" xfId="0" applyNumberFormat="1" applyFont="1" applyFill="1" applyBorder="1" applyAlignment="1">
      <alignment/>
    </xf>
    <xf numFmtId="3" fontId="43" fillId="4" borderId="34" xfId="0" applyNumberFormat="1" applyFont="1" applyFill="1" applyBorder="1" applyAlignment="1">
      <alignment/>
    </xf>
    <xf numFmtId="3" fontId="43" fillId="4" borderId="20" xfId="0" applyNumberFormat="1" applyFont="1" applyFill="1" applyBorder="1" applyAlignment="1">
      <alignment/>
    </xf>
    <xf numFmtId="3" fontId="43" fillId="4" borderId="200" xfId="0" applyNumberFormat="1" applyFont="1" applyFill="1" applyBorder="1" applyAlignment="1">
      <alignment/>
    </xf>
    <xf numFmtId="3" fontId="43" fillId="15" borderId="63" xfId="0" applyNumberFormat="1" applyFont="1" applyFill="1" applyBorder="1" applyAlignment="1">
      <alignment horizontal="center"/>
    </xf>
    <xf numFmtId="3" fontId="43" fillId="3" borderId="15" xfId="0" applyNumberFormat="1" applyFont="1" applyFill="1" applyBorder="1" applyAlignment="1">
      <alignment horizontal="center"/>
    </xf>
    <xf numFmtId="3" fontId="43" fillId="4" borderId="15" xfId="0" applyNumberFormat="1" applyFont="1" applyFill="1" applyBorder="1" applyAlignment="1">
      <alignment horizontal="center"/>
    </xf>
    <xf numFmtId="3" fontId="43" fillId="15" borderId="35" xfId="0" applyNumberFormat="1" applyFont="1" applyFill="1" applyBorder="1" applyAlignment="1">
      <alignment horizontal="center"/>
    </xf>
    <xf numFmtId="3" fontId="43" fillId="3" borderId="35" xfId="0" applyNumberFormat="1" applyFont="1" applyFill="1" applyBorder="1" applyAlignment="1">
      <alignment horizontal="center"/>
    </xf>
    <xf numFmtId="3" fontId="43" fillId="4" borderId="35" xfId="0" applyNumberFormat="1" applyFont="1" applyFill="1" applyBorder="1" applyAlignment="1">
      <alignment horizontal="center"/>
    </xf>
    <xf numFmtId="181" fontId="43" fillId="3" borderId="35" xfId="0" applyNumberFormat="1" applyFont="1" applyFill="1" applyBorder="1" applyAlignment="1">
      <alignment horizontal="center"/>
    </xf>
    <xf numFmtId="181" fontId="43" fillId="4" borderId="34" xfId="0" applyNumberFormat="1" applyFont="1" applyFill="1" applyBorder="1" applyAlignment="1">
      <alignment horizontal="center"/>
    </xf>
    <xf numFmtId="0" fontId="0" fillId="40" borderId="0" xfId="0" applyFill="1" applyBorder="1" applyAlignment="1">
      <alignment/>
    </xf>
    <xf numFmtId="49" fontId="28" fillId="41" borderId="85" xfId="0" applyNumberFormat="1" applyFont="1" applyFill="1" applyBorder="1" applyAlignment="1">
      <alignment/>
    </xf>
    <xf numFmtId="3" fontId="0" fillId="41" borderId="81" xfId="0" applyNumberFormat="1" applyFont="1" applyFill="1" applyBorder="1" applyAlignment="1">
      <alignment horizontal="right" vertical="center"/>
    </xf>
    <xf numFmtId="0" fontId="0" fillId="40" borderId="92" xfId="0" applyFill="1" applyBorder="1" applyAlignment="1">
      <alignment/>
    </xf>
    <xf numFmtId="0" fontId="0" fillId="40" borderId="85" xfId="0" applyFill="1" applyBorder="1" applyAlignment="1">
      <alignment/>
    </xf>
    <xf numFmtId="3" fontId="0" fillId="41" borderId="85" xfId="0" applyNumberFormat="1" applyFont="1" applyFill="1" applyBorder="1" applyAlignment="1">
      <alignment horizontal="right"/>
    </xf>
    <xf numFmtId="3" fontId="0" fillId="41" borderId="81" xfId="0" applyNumberFormat="1" applyFont="1" applyFill="1" applyBorder="1" applyAlignment="1">
      <alignment horizontal="right"/>
    </xf>
    <xf numFmtId="49" fontId="28" fillId="41" borderId="85" xfId="0" applyNumberFormat="1" applyFont="1" applyFill="1" applyBorder="1" applyAlignment="1">
      <alignment/>
    </xf>
    <xf numFmtId="49" fontId="28" fillId="41" borderId="92" xfId="0" applyNumberFormat="1" applyFont="1" applyFill="1" applyBorder="1" applyAlignment="1">
      <alignment/>
    </xf>
    <xf numFmtId="3" fontId="0" fillId="41" borderId="201" xfId="0" applyNumberFormat="1" applyFont="1" applyFill="1" applyBorder="1" applyAlignment="1">
      <alignment horizontal="right"/>
    </xf>
    <xf numFmtId="0" fontId="0" fillId="40" borderId="111" xfId="0" applyFill="1" applyBorder="1" applyAlignment="1">
      <alignment/>
    </xf>
    <xf numFmtId="0" fontId="0" fillId="40" borderId="90" xfId="0" applyFill="1" applyBorder="1" applyAlignment="1">
      <alignment/>
    </xf>
    <xf numFmtId="49" fontId="28" fillId="41" borderId="95" xfId="0" applyNumberFormat="1" applyFont="1" applyFill="1" applyBorder="1" applyAlignment="1">
      <alignment horizontal="center"/>
    </xf>
    <xf numFmtId="0" fontId="0" fillId="40" borderId="202" xfId="0" applyFill="1" applyBorder="1" applyAlignment="1">
      <alignment/>
    </xf>
    <xf numFmtId="0" fontId="0" fillId="40" borderId="150" xfId="0" applyFill="1" applyBorder="1" applyAlignment="1">
      <alignment/>
    </xf>
    <xf numFmtId="49" fontId="28" fillId="41" borderId="203" xfId="0" applyNumberFormat="1" applyFont="1" applyFill="1" applyBorder="1" applyAlignment="1">
      <alignment horizontal="center"/>
    </xf>
    <xf numFmtId="16" fontId="28" fillId="40" borderId="95" xfId="0" applyNumberFormat="1" applyFont="1" applyFill="1" applyBorder="1" applyAlignment="1">
      <alignment horizontal="center"/>
    </xf>
    <xf numFmtId="0" fontId="28" fillId="40" borderId="85" xfId="0" applyFont="1" applyFill="1" applyBorder="1" applyAlignment="1">
      <alignment horizontal="left"/>
    </xf>
    <xf numFmtId="0" fontId="28" fillId="0" borderId="85" xfId="0" applyFont="1" applyBorder="1" applyAlignment="1">
      <alignment horizontal="left"/>
    </xf>
    <xf numFmtId="3" fontId="28" fillId="41" borderId="85" xfId="0" applyNumberFormat="1" applyFont="1" applyFill="1" applyBorder="1" applyAlignment="1">
      <alignment horizontal="right"/>
    </xf>
    <xf numFmtId="49" fontId="26" fillId="0" borderId="95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90" fillId="0" borderId="95" xfId="0" applyFont="1" applyBorder="1" applyAlignment="1">
      <alignment horizontal="left"/>
    </xf>
    <xf numFmtId="0" fontId="28" fillId="41" borderId="85" xfId="0" applyFont="1" applyFill="1" applyBorder="1" applyAlignment="1">
      <alignment/>
    </xf>
    <xf numFmtId="0" fontId="90" fillId="0" borderId="22" xfId="0" applyFont="1" applyBorder="1" applyAlignment="1">
      <alignment/>
    </xf>
    <xf numFmtId="0" fontId="90" fillId="0" borderId="15" xfId="0" applyFont="1" applyBorder="1" applyAlignment="1">
      <alignment/>
    </xf>
    <xf numFmtId="0" fontId="90" fillId="0" borderId="0" xfId="0" applyFont="1" applyBorder="1" applyAlignment="1">
      <alignment/>
    </xf>
    <xf numFmtId="49" fontId="90" fillId="0" borderId="94" xfId="0" applyNumberFormat="1" applyFont="1" applyBorder="1" applyAlignment="1">
      <alignment horizontal="center"/>
    </xf>
    <xf numFmtId="49" fontId="90" fillId="0" borderId="93" xfId="0" applyNumberFormat="1" applyFont="1" applyBorder="1" applyAlignment="1">
      <alignment horizontal="center"/>
    </xf>
    <xf numFmtId="49" fontId="90" fillId="0" borderId="96" xfId="0" applyNumberFormat="1" applyFont="1" applyBorder="1" applyAlignment="1">
      <alignment horizontal="center"/>
    </xf>
    <xf numFmtId="17" fontId="90" fillId="0" borderId="94" xfId="0" applyNumberFormat="1" applyFont="1" applyBorder="1" applyAlignment="1">
      <alignment horizontal="center"/>
    </xf>
    <xf numFmtId="0" fontId="90" fillId="0" borderId="105" xfId="0" applyFont="1" applyBorder="1" applyAlignment="1">
      <alignment/>
    </xf>
    <xf numFmtId="0" fontId="90" fillId="0" borderId="85" xfId="0" applyFont="1" applyBorder="1" applyAlignment="1">
      <alignment/>
    </xf>
    <xf numFmtId="0" fontId="24" fillId="0" borderId="96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204" xfId="0" applyFont="1" applyBorder="1" applyAlignment="1">
      <alignment/>
    </xf>
    <xf numFmtId="49" fontId="90" fillId="0" borderId="97" xfId="0" applyNumberFormat="1" applyFont="1" applyBorder="1" applyAlignment="1">
      <alignment horizontal="center"/>
    </xf>
    <xf numFmtId="0" fontId="90" fillId="0" borderId="98" xfId="0" applyFont="1" applyBorder="1" applyAlignment="1">
      <alignment/>
    </xf>
    <xf numFmtId="3" fontId="89" fillId="42" borderId="205" xfId="0" applyNumberFormat="1" applyFont="1" applyFill="1" applyBorder="1" applyAlignment="1">
      <alignment horizontal="right"/>
    </xf>
    <xf numFmtId="49" fontId="28" fillId="0" borderId="93" xfId="0" applyNumberFormat="1" applyFont="1" applyBorder="1" applyAlignment="1">
      <alignment horizontal="center"/>
    </xf>
    <xf numFmtId="49" fontId="28" fillId="0" borderId="102" xfId="0" applyNumberFormat="1" applyFont="1" applyBorder="1" applyAlignment="1">
      <alignment horizontal="center"/>
    </xf>
    <xf numFmtId="3" fontId="90" fillId="0" borderId="140" xfId="0" applyNumberFormat="1" applyFont="1" applyBorder="1" applyAlignment="1">
      <alignment horizontal="right"/>
    </xf>
    <xf numFmtId="0" fontId="43" fillId="0" borderId="140" xfId="0" applyFont="1" applyBorder="1" applyAlignment="1">
      <alignment/>
    </xf>
    <xf numFmtId="3" fontId="90" fillId="0" borderId="206" xfId="0" applyNumberFormat="1" applyFont="1" applyBorder="1" applyAlignment="1">
      <alignment horizontal="right"/>
    </xf>
    <xf numFmtId="3" fontId="90" fillId="0" borderId="186" xfId="0" applyNumberFormat="1" applyFont="1" applyBorder="1" applyAlignment="1">
      <alignment horizontal="right"/>
    </xf>
    <xf numFmtId="3" fontId="90" fillId="0" borderId="54" xfId="0" applyNumberFormat="1" applyFont="1" applyBorder="1" applyAlignment="1">
      <alignment horizontal="right"/>
    </xf>
    <xf numFmtId="3" fontId="90" fillId="0" borderId="50" xfId="0" applyNumberFormat="1" applyFont="1" applyBorder="1" applyAlignment="1">
      <alignment horizontal="right"/>
    </xf>
    <xf numFmtId="3" fontId="90" fillId="0" borderId="53" xfId="0" applyNumberFormat="1" applyFont="1" applyBorder="1" applyAlignment="1">
      <alignment horizontal="right"/>
    </xf>
    <xf numFmtId="49" fontId="90" fillId="0" borderId="95" xfId="0" applyNumberFormat="1" applyFont="1" applyBorder="1" applyAlignment="1">
      <alignment horizontal="center"/>
    </xf>
    <xf numFmtId="3" fontId="28" fillId="0" borderId="207" xfId="0" applyNumberFormat="1" applyFont="1" applyBorder="1" applyAlignment="1">
      <alignment horizontal="center" vertical="center" wrapText="1"/>
    </xf>
    <xf numFmtId="3" fontId="28" fillId="0" borderId="112" xfId="0" applyNumberFormat="1" applyFont="1" applyBorder="1" applyAlignment="1">
      <alignment horizontal="center" vertical="center" wrapText="1"/>
    </xf>
    <xf numFmtId="3" fontId="28" fillId="0" borderId="117" xfId="0" applyNumberFormat="1" applyFont="1" applyBorder="1" applyAlignment="1">
      <alignment horizontal="center" vertical="center" wrapText="1"/>
    </xf>
    <xf numFmtId="3" fontId="28" fillId="0" borderId="208" xfId="0" applyNumberFormat="1" applyFont="1" applyBorder="1" applyAlignment="1">
      <alignment horizontal="center" vertical="center" wrapText="1"/>
    </xf>
    <xf numFmtId="3" fontId="28" fillId="0" borderId="113" xfId="0" applyNumberFormat="1" applyFont="1" applyBorder="1" applyAlignment="1">
      <alignment horizontal="center" vertical="center" wrapText="1"/>
    </xf>
    <xf numFmtId="3" fontId="28" fillId="0" borderId="209" xfId="0" applyNumberFormat="1" applyFont="1" applyBorder="1" applyAlignment="1">
      <alignment horizontal="center" vertical="center" wrapText="1"/>
    </xf>
    <xf numFmtId="3" fontId="28" fillId="0" borderId="53" xfId="0" applyNumberFormat="1" applyFont="1" applyBorder="1" applyAlignment="1">
      <alignment horizontal="center" vertical="center"/>
    </xf>
    <xf numFmtId="3" fontId="28" fillId="0" borderId="207" xfId="0" applyNumberFormat="1" applyFont="1" applyBorder="1" applyAlignment="1">
      <alignment horizontal="center" vertical="center"/>
    </xf>
    <xf numFmtId="3" fontId="28" fillId="0" borderId="112" xfId="0" applyNumberFormat="1" applyFont="1" applyBorder="1" applyAlignment="1">
      <alignment horizontal="center" vertical="center"/>
    </xf>
    <xf numFmtId="3" fontId="28" fillId="0" borderId="113" xfId="0" applyNumberFormat="1" applyFont="1" applyBorder="1" applyAlignment="1">
      <alignment horizontal="center" vertical="center"/>
    </xf>
    <xf numFmtId="3" fontId="28" fillId="0" borderId="209" xfId="0" applyNumberFormat="1" applyFont="1" applyBorder="1" applyAlignment="1">
      <alignment horizontal="center" vertical="center"/>
    </xf>
    <xf numFmtId="3" fontId="28" fillId="0" borderId="209" xfId="0" applyNumberFormat="1" applyFont="1" applyBorder="1" applyAlignment="1">
      <alignment/>
    </xf>
    <xf numFmtId="3" fontId="28" fillId="0" borderId="209" xfId="0" applyNumberFormat="1" applyFont="1" applyBorder="1" applyAlignment="1">
      <alignment vertical="center"/>
    </xf>
    <xf numFmtId="3" fontId="28" fillId="0" borderId="185" xfId="0" applyNumberFormat="1" applyFont="1" applyBorder="1" applyAlignment="1">
      <alignment horizontal="center" vertical="center"/>
    </xf>
    <xf numFmtId="3" fontId="28" fillId="0" borderId="144" xfId="0" applyNumberFormat="1" applyFont="1" applyBorder="1" applyAlignment="1">
      <alignment horizontal="center" vertical="center"/>
    </xf>
    <xf numFmtId="3" fontId="28" fillId="0" borderId="140" xfId="0" applyNumberFormat="1" applyFont="1" applyBorder="1" applyAlignment="1">
      <alignment horizontal="center" vertical="center"/>
    </xf>
    <xf numFmtId="3" fontId="28" fillId="0" borderId="92" xfId="0" applyNumberFormat="1" applyFont="1" applyBorder="1" applyAlignment="1">
      <alignment horizontal="center" vertical="center"/>
    </xf>
    <xf numFmtId="3" fontId="28" fillId="0" borderId="206" xfId="0" applyNumberFormat="1" applyFont="1" applyBorder="1" applyAlignment="1">
      <alignment horizontal="center" vertical="center"/>
    </xf>
    <xf numFmtId="3" fontId="28" fillId="0" borderId="186" xfId="0" applyNumberFormat="1" applyFont="1" applyBorder="1" applyAlignment="1">
      <alignment horizontal="center" vertical="center"/>
    </xf>
    <xf numFmtId="3" fontId="28" fillId="0" borderId="210" xfId="0" applyNumberFormat="1" applyFont="1" applyBorder="1" applyAlignment="1">
      <alignment horizontal="center" vertical="center"/>
    </xf>
    <xf numFmtId="3" fontId="28" fillId="0" borderId="211" xfId="0" applyNumberFormat="1" applyFont="1" applyBorder="1" applyAlignment="1">
      <alignment horizontal="center" vertical="center"/>
    </xf>
    <xf numFmtId="3" fontId="28" fillId="0" borderId="212" xfId="0" applyNumberFormat="1" applyFont="1" applyBorder="1" applyAlignment="1">
      <alignment horizontal="center" vertical="center"/>
    </xf>
    <xf numFmtId="3" fontId="89" fillId="42" borderId="140" xfId="0" applyNumberFormat="1" applyFont="1" applyFill="1" applyBorder="1" applyAlignment="1" applyProtection="1">
      <alignment horizontal="right"/>
      <protection locked="0"/>
    </xf>
    <xf numFmtId="3" fontId="89" fillId="43" borderId="140" xfId="0" applyNumberFormat="1" applyFont="1" applyFill="1" applyBorder="1" applyAlignment="1">
      <alignment/>
    </xf>
    <xf numFmtId="3" fontId="89" fillId="43" borderId="92" xfId="0" applyNumberFormat="1" applyFont="1" applyFill="1" applyBorder="1" applyAlignment="1">
      <alignment/>
    </xf>
    <xf numFmtId="3" fontId="89" fillId="43" borderId="163" xfId="0" applyNumberFormat="1" applyFont="1" applyFill="1" applyBorder="1" applyAlignment="1">
      <alignment/>
    </xf>
    <xf numFmtId="3" fontId="89" fillId="43" borderId="113" xfId="0" applyNumberFormat="1" applyFont="1" applyFill="1" applyBorder="1" applyAlignment="1">
      <alignment/>
    </xf>
    <xf numFmtId="3" fontId="89" fillId="42" borderId="140" xfId="0" applyNumberFormat="1" applyFont="1" applyFill="1" applyBorder="1" applyAlignment="1">
      <alignment horizontal="right"/>
    </xf>
    <xf numFmtId="0" fontId="89" fillId="44" borderId="185" xfId="0" applyFont="1" applyFill="1" applyBorder="1" applyAlignment="1">
      <alignment horizontal="center"/>
    </xf>
    <xf numFmtId="0" fontId="89" fillId="44" borderId="144" xfId="0" applyFont="1" applyFill="1" applyBorder="1" applyAlignment="1">
      <alignment horizontal="center"/>
    </xf>
    <xf numFmtId="0" fontId="89" fillId="44" borderId="204" xfId="0" applyFont="1" applyFill="1" applyBorder="1" applyAlignment="1">
      <alignment horizontal="center"/>
    </xf>
    <xf numFmtId="0" fontId="89" fillId="44" borderId="213" xfId="0" applyFont="1" applyFill="1" applyBorder="1" applyAlignment="1">
      <alignment horizontal="center"/>
    </xf>
    <xf numFmtId="0" fontId="28" fillId="40" borderId="85" xfId="0" applyFont="1" applyFill="1" applyBorder="1" applyAlignment="1">
      <alignment/>
    </xf>
    <xf numFmtId="0" fontId="28" fillId="40" borderId="202" xfId="0" applyFont="1" applyFill="1" applyBorder="1" applyAlignment="1">
      <alignment/>
    </xf>
    <xf numFmtId="0" fontId="28" fillId="40" borderId="90" xfId="0" applyFont="1" applyFill="1" applyBorder="1" applyAlignment="1">
      <alignment/>
    </xf>
    <xf numFmtId="3" fontId="28" fillId="0" borderId="201" xfId="0" applyNumberFormat="1" applyFont="1" applyBorder="1" applyAlignment="1">
      <alignment horizontal="right"/>
    </xf>
    <xf numFmtId="3" fontId="28" fillId="40" borderId="201" xfId="0" applyNumberFormat="1" applyFont="1" applyFill="1" applyBorder="1" applyAlignment="1">
      <alignment horizontal="right"/>
    </xf>
    <xf numFmtId="3" fontId="28" fillId="0" borderId="85" xfId="0" applyNumberFormat="1" applyFont="1" applyBorder="1" applyAlignment="1">
      <alignment/>
    </xf>
    <xf numFmtId="3" fontId="28" fillId="0" borderId="140" xfId="0" applyNumberFormat="1" applyFont="1" applyBorder="1" applyAlignment="1">
      <alignment/>
    </xf>
    <xf numFmtId="3" fontId="28" fillId="0" borderId="201" xfId="0" applyNumberFormat="1" applyFont="1" applyBorder="1" applyAlignment="1">
      <alignment horizontal="right" vertical="center"/>
    </xf>
    <xf numFmtId="3" fontId="28" fillId="0" borderId="85" xfId="0" applyNumberFormat="1" applyFont="1" applyBorder="1" applyAlignment="1">
      <alignment vertical="center"/>
    </xf>
    <xf numFmtId="3" fontId="28" fillId="0" borderId="140" xfId="0" applyNumberFormat="1" applyFont="1" applyBorder="1" applyAlignment="1">
      <alignment vertical="center"/>
    </xf>
    <xf numFmtId="3" fontId="28" fillId="0" borderId="214" xfId="0" applyNumberFormat="1" applyFont="1" applyBorder="1" applyAlignment="1">
      <alignment horizontal="right" vertical="center" wrapText="1"/>
    </xf>
    <xf numFmtId="3" fontId="28" fillId="0" borderId="141" xfId="0" applyNumberFormat="1" applyFont="1" applyBorder="1" applyAlignment="1">
      <alignment vertical="center" wrapText="1"/>
    </xf>
    <xf numFmtId="3" fontId="28" fillId="0" borderId="140" xfId="0" applyNumberFormat="1" applyFont="1" applyBorder="1" applyAlignment="1">
      <alignment vertical="center" wrapText="1"/>
    </xf>
    <xf numFmtId="3" fontId="28" fillId="0" borderId="209" xfId="0" applyNumberFormat="1" applyFont="1" applyBorder="1" applyAlignment="1">
      <alignment vertical="center" wrapText="1"/>
    </xf>
    <xf numFmtId="3" fontId="90" fillId="0" borderId="140" xfId="0" applyNumberFormat="1" applyFont="1" applyBorder="1" applyAlignment="1">
      <alignment/>
    </xf>
    <xf numFmtId="3" fontId="90" fillId="0" borderId="209" xfId="0" applyNumberFormat="1" applyFont="1" applyBorder="1" applyAlignment="1">
      <alignment/>
    </xf>
    <xf numFmtId="3" fontId="28" fillId="0" borderId="214" xfId="0" applyNumberFormat="1" applyFont="1" applyBorder="1" applyAlignment="1">
      <alignment horizontal="right"/>
    </xf>
    <xf numFmtId="3" fontId="28" fillId="0" borderId="141" xfId="0" applyNumberFormat="1" applyFont="1" applyBorder="1" applyAlignment="1">
      <alignment/>
    </xf>
    <xf numFmtId="3" fontId="28" fillId="0" borderId="215" xfId="0" applyNumberFormat="1" applyFont="1" applyBorder="1" applyAlignment="1">
      <alignment horizontal="right" vertical="center"/>
    </xf>
    <xf numFmtId="3" fontId="28" fillId="0" borderId="101" xfId="0" applyNumberFormat="1" applyFont="1" applyBorder="1" applyAlignment="1">
      <alignment vertical="center"/>
    </xf>
    <xf numFmtId="3" fontId="28" fillId="0" borderId="186" xfId="0" applyNumberFormat="1" applyFont="1" applyBorder="1" applyAlignment="1">
      <alignment vertical="center"/>
    </xf>
    <xf numFmtId="3" fontId="28" fillId="0" borderId="212" xfId="0" applyNumberFormat="1" applyFont="1" applyBorder="1" applyAlignment="1">
      <alignment vertical="center"/>
    </xf>
    <xf numFmtId="3" fontId="89" fillId="42" borderId="216" xfId="0" applyNumberFormat="1" applyFont="1" applyFill="1" applyBorder="1" applyAlignment="1">
      <alignment horizontal="right"/>
    </xf>
    <xf numFmtId="0" fontId="90" fillId="0" borderId="92" xfId="0" applyFont="1" applyBorder="1" applyAlignment="1">
      <alignment/>
    </xf>
    <xf numFmtId="0" fontId="90" fillId="0" borderId="113" xfId="0" applyFont="1" applyBorder="1" applyAlignment="1">
      <alignment/>
    </xf>
    <xf numFmtId="3" fontId="90" fillId="0" borderId="92" xfId="0" applyNumberFormat="1" applyFont="1" applyBorder="1" applyAlignment="1">
      <alignment/>
    </xf>
    <xf numFmtId="3" fontId="90" fillId="0" borderId="113" xfId="0" applyNumberFormat="1" applyFont="1" applyBorder="1" applyAlignment="1">
      <alignment/>
    </xf>
    <xf numFmtId="3" fontId="90" fillId="0" borderId="202" xfId="0" applyNumberFormat="1" applyFont="1" applyBorder="1" applyAlignment="1">
      <alignment/>
    </xf>
    <xf numFmtId="3" fontId="90" fillId="0" borderId="186" xfId="0" applyNumberFormat="1" applyFont="1" applyBorder="1" applyAlignment="1">
      <alignment/>
    </xf>
    <xf numFmtId="3" fontId="90" fillId="0" borderId="210" xfId="0" applyNumberFormat="1" applyFont="1" applyBorder="1" applyAlignment="1">
      <alignment/>
    </xf>
    <xf numFmtId="3" fontId="90" fillId="0" borderId="211" xfId="0" applyNumberFormat="1" applyFont="1" applyBorder="1" applyAlignment="1">
      <alignment/>
    </xf>
    <xf numFmtId="3" fontId="89" fillId="43" borderId="216" xfId="0" applyNumberFormat="1" applyFont="1" applyFill="1" applyBorder="1" applyAlignment="1">
      <alignment/>
    </xf>
    <xf numFmtId="3" fontId="89" fillId="43" borderId="217" xfId="0" applyNumberFormat="1" applyFont="1" applyFill="1" applyBorder="1" applyAlignment="1">
      <alignment/>
    </xf>
    <xf numFmtId="3" fontId="89" fillId="43" borderId="218" xfId="0" applyNumberFormat="1" applyFont="1" applyFill="1" applyBorder="1" applyAlignment="1">
      <alignment/>
    </xf>
    <xf numFmtId="3" fontId="89" fillId="43" borderId="219" xfId="0" applyNumberFormat="1" applyFont="1" applyFill="1" applyBorder="1" applyAlignment="1">
      <alignment/>
    </xf>
    <xf numFmtId="0" fontId="89" fillId="44" borderId="220" xfId="0" applyFont="1" applyFill="1" applyBorder="1" applyAlignment="1">
      <alignment horizontal="center"/>
    </xf>
    <xf numFmtId="3" fontId="89" fillId="45" borderId="140" xfId="0" applyNumberFormat="1" applyFont="1" applyFill="1" applyBorder="1" applyAlignment="1">
      <alignment horizontal="right"/>
    </xf>
    <xf numFmtId="3" fontId="89" fillId="46" borderId="140" xfId="0" applyNumberFormat="1" applyFont="1" applyFill="1" applyBorder="1" applyAlignment="1">
      <alignment/>
    </xf>
    <xf numFmtId="3" fontId="89" fillId="46" borderId="92" xfId="0" applyNumberFormat="1" applyFont="1" applyFill="1" applyBorder="1" applyAlignment="1">
      <alignment/>
    </xf>
    <xf numFmtId="3" fontId="89" fillId="46" borderId="163" xfId="0" applyNumberFormat="1" applyFont="1" applyFill="1" applyBorder="1" applyAlignment="1">
      <alignment/>
    </xf>
    <xf numFmtId="3" fontId="89" fillId="46" borderId="113" xfId="0" applyNumberFormat="1" applyFont="1" applyFill="1" applyBorder="1" applyAlignment="1">
      <alignment/>
    </xf>
    <xf numFmtId="3" fontId="91" fillId="45" borderId="140" xfId="0" applyNumberFormat="1" applyFont="1" applyFill="1" applyBorder="1" applyAlignment="1">
      <alignment/>
    </xf>
    <xf numFmtId="0" fontId="89" fillId="46" borderId="140" xfId="0" applyFont="1" applyFill="1" applyBorder="1" applyAlignment="1">
      <alignment/>
    </xf>
    <xf numFmtId="3" fontId="89" fillId="43" borderId="205" xfId="0" applyNumberFormat="1" applyFont="1" applyFill="1" applyBorder="1" applyAlignment="1">
      <alignment/>
    </xf>
    <xf numFmtId="3" fontId="89" fillId="43" borderId="221" xfId="0" applyNumberFormat="1" applyFont="1" applyFill="1" applyBorder="1" applyAlignment="1">
      <alignment/>
    </xf>
    <xf numFmtId="3" fontId="89" fillId="43" borderId="164" xfId="0" applyNumberFormat="1" applyFont="1" applyFill="1" applyBorder="1" applyAlignment="1">
      <alignment/>
    </xf>
    <xf numFmtId="3" fontId="89" fillId="43" borderId="123" xfId="0" applyNumberFormat="1" applyFont="1" applyFill="1" applyBorder="1" applyAlignment="1">
      <alignment/>
    </xf>
    <xf numFmtId="3" fontId="90" fillId="0" borderId="212" xfId="0" applyNumberFormat="1" applyFont="1" applyBorder="1" applyAlignment="1">
      <alignment/>
    </xf>
    <xf numFmtId="3" fontId="89" fillId="43" borderId="118" xfId="0" applyNumberFormat="1" applyFont="1" applyFill="1" applyBorder="1" applyAlignment="1">
      <alignment/>
    </xf>
    <xf numFmtId="3" fontId="90" fillId="0" borderId="207" xfId="0" applyNumberFormat="1" applyFont="1" applyBorder="1" applyAlignment="1">
      <alignment horizontal="right"/>
    </xf>
    <xf numFmtId="3" fontId="90" fillId="0" borderId="207" xfId="0" applyNumberFormat="1" applyFont="1" applyBorder="1" applyAlignment="1">
      <alignment/>
    </xf>
    <xf numFmtId="3" fontId="90" fillId="0" borderId="112" xfId="0" applyNumberFormat="1" applyFont="1" applyBorder="1" applyAlignment="1">
      <alignment/>
    </xf>
    <xf numFmtId="3" fontId="90" fillId="0" borderId="117" xfId="0" applyNumberFormat="1" applyFont="1" applyBorder="1" applyAlignment="1">
      <alignment/>
    </xf>
    <xf numFmtId="3" fontId="90" fillId="0" borderId="208" xfId="0" applyNumberFormat="1" applyFont="1" applyBorder="1" applyAlignment="1">
      <alignment/>
    </xf>
    <xf numFmtId="3" fontId="89" fillId="46" borderId="205" xfId="0" applyNumberFormat="1" applyFont="1" applyFill="1" applyBorder="1" applyAlignment="1">
      <alignment/>
    </xf>
    <xf numFmtId="3" fontId="89" fillId="46" borderId="118" xfId="0" applyNumberFormat="1" applyFont="1" applyFill="1" applyBorder="1" applyAlignment="1">
      <alignment/>
    </xf>
    <xf numFmtId="3" fontId="89" fillId="46" borderId="123" xfId="0" applyNumberFormat="1" applyFont="1" applyFill="1" applyBorder="1" applyAlignment="1">
      <alignment/>
    </xf>
    <xf numFmtId="3" fontId="89" fillId="46" borderId="221" xfId="0" applyNumberFormat="1" applyFont="1" applyFill="1" applyBorder="1" applyAlignment="1">
      <alignment/>
    </xf>
    <xf numFmtId="49" fontId="24" fillId="0" borderId="0" xfId="0" applyNumberFormat="1" applyFont="1" applyBorder="1" applyAlignment="1">
      <alignment/>
    </xf>
    <xf numFmtId="0" fontId="90" fillId="0" borderId="189" xfId="0" applyFont="1" applyBorder="1" applyAlignment="1">
      <alignment/>
    </xf>
    <xf numFmtId="0" fontId="90" fillId="0" borderId="144" xfId="0" applyFont="1" applyBorder="1" applyAlignment="1">
      <alignment/>
    </xf>
    <xf numFmtId="3" fontId="43" fillId="0" borderId="140" xfId="0" applyNumberFormat="1" applyFont="1" applyBorder="1" applyAlignment="1">
      <alignment/>
    </xf>
    <xf numFmtId="3" fontId="43" fillId="0" borderId="92" xfId="0" applyNumberFormat="1" applyFont="1" applyBorder="1" applyAlignment="1">
      <alignment/>
    </xf>
    <xf numFmtId="3" fontId="43" fillId="0" borderId="113" xfId="0" applyNumberFormat="1" applyFont="1" applyBorder="1" applyAlignment="1">
      <alignment/>
    </xf>
    <xf numFmtId="3" fontId="89" fillId="46" borderId="166" xfId="0" applyNumberFormat="1" applyFont="1" applyFill="1" applyBorder="1" applyAlignment="1">
      <alignment/>
    </xf>
    <xf numFmtId="3" fontId="91" fillId="37" borderId="186" xfId="0" applyNumberFormat="1" applyFont="1" applyFill="1" applyBorder="1" applyAlignment="1">
      <alignment horizontal="right"/>
    </xf>
    <xf numFmtId="3" fontId="91" fillId="37" borderId="186" xfId="0" applyNumberFormat="1" applyFont="1" applyFill="1" applyBorder="1" applyAlignment="1">
      <alignment/>
    </xf>
    <xf numFmtId="3" fontId="91" fillId="37" borderId="210" xfId="0" applyNumberFormat="1" applyFont="1" applyFill="1" applyBorder="1" applyAlignment="1">
      <alignment/>
    </xf>
    <xf numFmtId="3" fontId="91" fillId="37" borderId="166" xfId="0" applyNumberFormat="1" applyFont="1" applyFill="1" applyBorder="1" applyAlignment="1">
      <alignment/>
    </xf>
    <xf numFmtId="3" fontId="91" fillId="37" borderId="211" xfId="0" applyNumberFormat="1" applyFont="1" applyFill="1" applyBorder="1" applyAlignment="1">
      <alignment/>
    </xf>
    <xf numFmtId="3" fontId="91" fillId="37" borderId="212" xfId="0" applyNumberFormat="1" applyFont="1" applyFill="1" applyBorder="1" applyAlignment="1">
      <alignment/>
    </xf>
    <xf numFmtId="3" fontId="43" fillId="0" borderId="209" xfId="0" applyNumberFormat="1" applyFont="1" applyBorder="1" applyAlignment="1">
      <alignment/>
    </xf>
    <xf numFmtId="0" fontId="24" fillId="0" borderId="222" xfId="0" applyFont="1" applyBorder="1" applyAlignment="1">
      <alignment horizontal="center"/>
    </xf>
    <xf numFmtId="0" fontId="26" fillId="0" borderId="122" xfId="0" applyFont="1" applyBorder="1" applyAlignment="1">
      <alignment/>
    </xf>
    <xf numFmtId="0" fontId="26" fillId="0" borderId="123" xfId="0" applyFont="1" applyBorder="1" applyAlignment="1">
      <alignment/>
    </xf>
    <xf numFmtId="3" fontId="89" fillId="46" borderId="186" xfId="0" applyNumberFormat="1" applyFont="1" applyFill="1" applyBorder="1" applyAlignment="1">
      <alignment horizontal="right"/>
    </xf>
    <xf numFmtId="3" fontId="89" fillId="46" borderId="186" xfId="0" applyNumberFormat="1" applyFont="1" applyFill="1" applyBorder="1" applyAlignment="1">
      <alignment/>
    </xf>
    <xf numFmtId="3" fontId="89" fillId="46" borderId="210" xfId="0" applyNumberFormat="1" applyFont="1" applyFill="1" applyBorder="1" applyAlignment="1">
      <alignment/>
    </xf>
    <xf numFmtId="3" fontId="89" fillId="46" borderId="211" xfId="0" applyNumberFormat="1" applyFont="1" applyFill="1" applyBorder="1" applyAlignment="1">
      <alignment/>
    </xf>
    <xf numFmtId="3" fontId="89" fillId="46" borderId="212" xfId="0" applyNumberFormat="1" applyFont="1" applyFill="1" applyBorder="1" applyAlignment="1">
      <alignment/>
    </xf>
    <xf numFmtId="3" fontId="36" fillId="0" borderId="50" xfId="587" applyNumberFormat="1" applyFont="1" applyFill="1" applyBorder="1" applyAlignment="1">
      <alignment horizontal="right"/>
      <protection/>
    </xf>
    <xf numFmtId="3" fontId="35" fillId="0" borderId="50" xfId="587" applyNumberFormat="1" applyFont="1" applyBorder="1" applyAlignment="1">
      <alignment horizontal="left"/>
      <protection/>
    </xf>
    <xf numFmtId="3" fontId="34" fillId="15" borderId="29" xfId="587" applyNumberFormat="1" applyFont="1" applyFill="1" applyBorder="1" applyAlignment="1">
      <alignment horizontal="right"/>
      <protection/>
    </xf>
    <xf numFmtId="3" fontId="79" fillId="15" borderId="16" xfId="587" applyNumberFormat="1" applyFont="1" applyFill="1" applyBorder="1" applyAlignment="1">
      <alignment horizontal="center" vertical="top"/>
      <protection/>
    </xf>
    <xf numFmtId="3" fontId="35" fillId="0" borderId="223" xfId="587" applyNumberFormat="1" applyFont="1" applyFill="1" applyBorder="1" applyAlignment="1">
      <alignment horizontal="right"/>
      <protection/>
    </xf>
    <xf numFmtId="3" fontId="35" fillId="0" borderId="223" xfId="587" applyNumberFormat="1" applyFont="1" applyBorder="1" applyAlignment="1">
      <alignment horizontal="left"/>
      <protection/>
    </xf>
    <xf numFmtId="3" fontId="35" fillId="0" borderId="133" xfId="587" applyNumberFormat="1" applyFont="1" applyBorder="1" applyAlignment="1">
      <alignment horizontal="right"/>
      <protection/>
    </xf>
    <xf numFmtId="3" fontId="35" fillId="0" borderId="133" xfId="587" applyNumberFormat="1" applyFont="1" applyBorder="1" applyAlignment="1">
      <alignment horizontal="left"/>
      <protection/>
    </xf>
    <xf numFmtId="3" fontId="35" fillId="0" borderId="189" xfId="587" applyNumberFormat="1" applyFont="1" applyFill="1" applyBorder="1" applyAlignment="1">
      <alignment horizontal="right"/>
      <protection/>
    </xf>
    <xf numFmtId="3" fontId="35" fillId="0" borderId="189" xfId="587" applyNumberFormat="1" applyFont="1" applyFill="1" applyBorder="1" applyAlignment="1">
      <alignment horizontal="left"/>
      <protection/>
    </xf>
    <xf numFmtId="3" fontId="35" fillId="0" borderId="188" xfId="587" applyNumberFormat="1" applyFont="1" applyFill="1" applyBorder="1" applyAlignment="1">
      <alignment horizontal="right"/>
      <protection/>
    </xf>
    <xf numFmtId="3" fontId="35" fillId="0" borderId="188" xfId="587" applyNumberFormat="1" applyFont="1" applyFill="1" applyBorder="1" applyAlignment="1">
      <alignment horizontal="left"/>
      <protection/>
    </xf>
    <xf numFmtId="3" fontId="35" fillId="0" borderId="199" xfId="587" applyNumberFormat="1" applyFont="1" applyBorder="1" applyAlignment="1">
      <alignment horizontal="right"/>
      <protection/>
    </xf>
    <xf numFmtId="3" fontId="35" fillId="0" borderId="199" xfId="587" applyNumberFormat="1" applyFont="1" applyBorder="1" applyAlignment="1">
      <alignment horizontal="left"/>
      <protection/>
    </xf>
    <xf numFmtId="3" fontId="35" fillId="0" borderId="224" xfId="587" applyNumberFormat="1" applyFont="1" applyBorder="1" applyAlignment="1">
      <alignment horizontal="right"/>
      <protection/>
    </xf>
    <xf numFmtId="3" fontId="36" fillId="4" borderId="200" xfId="587" applyNumberFormat="1" applyFont="1" applyFill="1" applyBorder="1" applyAlignment="1">
      <alignment horizontal="right"/>
      <protection/>
    </xf>
    <xf numFmtId="3" fontId="35" fillId="30" borderId="44" xfId="587" applyNumberFormat="1" applyFont="1" applyFill="1" applyBorder="1" applyAlignment="1">
      <alignment horizontal="right"/>
      <protection/>
    </xf>
    <xf numFmtId="3" fontId="35" fillId="0" borderId="35" xfId="587" applyNumberFormat="1" applyFont="1" applyFill="1" applyBorder="1" applyAlignment="1">
      <alignment horizontal="right"/>
      <protection/>
    </xf>
    <xf numFmtId="3" fontId="34" fillId="15" borderId="199" xfId="587" applyNumberFormat="1" applyFont="1" applyFill="1" applyBorder="1" applyAlignment="1">
      <alignment horizontal="right"/>
      <protection/>
    </xf>
    <xf numFmtId="3" fontId="35" fillId="0" borderId="199" xfId="587" applyNumberFormat="1" applyFont="1" applyFill="1" applyBorder="1" applyAlignment="1">
      <alignment horizontal="right"/>
      <protection/>
    </xf>
    <xf numFmtId="3" fontId="35" fillId="0" borderId="22" xfId="587" applyNumberFormat="1" applyFont="1" applyBorder="1" applyAlignment="1">
      <alignment horizontal="right"/>
      <protection/>
    </xf>
    <xf numFmtId="0" fontId="35" fillId="0" borderId="113" xfId="587" applyFont="1" applyFill="1" applyBorder="1">
      <alignment/>
      <protection/>
    </xf>
    <xf numFmtId="3" fontId="35" fillId="0" borderId="54" xfId="587" applyNumberFormat="1" applyFont="1" applyBorder="1">
      <alignment/>
      <protection/>
    </xf>
    <xf numFmtId="3" fontId="35" fillId="0" borderId="198" xfId="587" applyNumberFormat="1" applyFont="1" applyBorder="1" applyAlignment="1">
      <alignment horizontal="right"/>
      <protection/>
    </xf>
    <xf numFmtId="3" fontId="35" fillId="0" borderId="125" xfId="587" applyNumberFormat="1" applyFont="1" applyFill="1" applyBorder="1" applyAlignment="1">
      <alignment horizontal="right"/>
      <protection/>
    </xf>
    <xf numFmtId="3" fontId="35" fillId="0" borderId="50" xfId="587" applyNumberFormat="1" applyFont="1" applyBorder="1">
      <alignment/>
      <protection/>
    </xf>
    <xf numFmtId="3" fontId="35" fillId="30" borderId="44" xfId="587" applyNumberFormat="1" applyFont="1" applyFill="1" applyBorder="1">
      <alignment/>
      <protection/>
    </xf>
    <xf numFmtId="3" fontId="34" fillId="4" borderId="20" xfId="587" applyNumberFormat="1" applyFont="1" applyFill="1" applyBorder="1">
      <alignment/>
      <protection/>
    </xf>
    <xf numFmtId="3" fontId="34" fillId="4" borderId="70" xfId="587" applyNumberFormat="1" applyFont="1" applyFill="1" applyBorder="1">
      <alignment/>
      <protection/>
    </xf>
    <xf numFmtId="3" fontId="34" fillId="4" borderId="61" xfId="587" applyNumberFormat="1" applyFont="1" applyFill="1" applyBorder="1">
      <alignment/>
      <protection/>
    </xf>
    <xf numFmtId="3" fontId="34" fillId="4" borderId="200" xfId="587" applyNumberFormat="1" applyFont="1" applyFill="1" applyBorder="1">
      <alignment/>
      <protection/>
    </xf>
    <xf numFmtId="3" fontId="35" fillId="30" borderId="52" xfId="587" applyNumberFormat="1" applyFont="1" applyFill="1" applyBorder="1">
      <alignment/>
      <protection/>
    </xf>
    <xf numFmtId="3" fontId="35" fillId="0" borderId="15" xfId="587" applyNumberFormat="1" applyFont="1" applyBorder="1">
      <alignment/>
      <protection/>
    </xf>
    <xf numFmtId="3" fontId="35" fillId="0" borderId="53" xfId="587" applyNumberFormat="1" applyFont="1" applyBorder="1">
      <alignment/>
      <protection/>
    </xf>
    <xf numFmtId="3" fontId="35" fillId="0" borderId="199" xfId="587" applyNumberFormat="1" applyFont="1" applyBorder="1">
      <alignment/>
      <protection/>
    </xf>
    <xf numFmtId="3" fontId="35" fillId="0" borderId="106" xfId="587" applyNumberFormat="1" applyFont="1" applyBorder="1">
      <alignment/>
      <protection/>
    </xf>
    <xf numFmtId="3" fontId="34" fillId="4" borderId="17" xfId="587" applyNumberFormat="1" applyFont="1" applyFill="1" applyBorder="1">
      <alignment/>
      <protection/>
    </xf>
    <xf numFmtId="3" fontId="34" fillId="4" borderId="54" xfId="587" applyNumberFormat="1" applyFont="1" applyFill="1" applyBorder="1">
      <alignment/>
      <protection/>
    </xf>
    <xf numFmtId="3" fontId="36" fillId="3" borderId="33" xfId="587" applyNumberFormat="1" applyFont="1" applyFill="1" applyBorder="1">
      <alignment/>
      <protection/>
    </xf>
    <xf numFmtId="3" fontId="36" fillId="3" borderId="26" xfId="587" applyNumberFormat="1" applyFont="1" applyFill="1" applyBorder="1">
      <alignment/>
      <protection/>
    </xf>
    <xf numFmtId="3" fontId="35" fillId="0" borderId="198" xfId="587" applyNumberFormat="1" applyFont="1" applyBorder="1">
      <alignment/>
      <protection/>
    </xf>
    <xf numFmtId="3" fontId="34" fillId="15" borderId="22" xfId="587" applyNumberFormat="1" applyFont="1" applyFill="1" applyBorder="1" applyAlignment="1">
      <alignment horizontal="right"/>
      <protection/>
    </xf>
    <xf numFmtId="3" fontId="35" fillId="0" borderId="143" xfId="587" applyNumberFormat="1" applyFont="1" applyFill="1" applyBorder="1" applyAlignment="1">
      <alignment horizontal="right"/>
      <protection/>
    </xf>
    <xf numFmtId="3" fontId="34" fillId="15" borderId="143" xfId="587" applyNumberFormat="1" applyFont="1" applyFill="1" applyBorder="1">
      <alignment/>
      <protection/>
    </xf>
    <xf numFmtId="3" fontId="35" fillId="0" borderId="143" xfId="587" applyNumberFormat="1" applyFont="1" applyFill="1" applyBorder="1">
      <alignment/>
      <protection/>
    </xf>
    <xf numFmtId="3" fontId="35" fillId="0" borderId="145" xfId="587" applyNumberFormat="1" applyFont="1" applyBorder="1">
      <alignment/>
      <protection/>
    </xf>
    <xf numFmtId="3" fontId="34" fillId="15" borderId="173" xfId="587" applyNumberFormat="1" applyFont="1" applyFill="1" applyBorder="1" applyAlignment="1">
      <alignment horizontal="right"/>
      <protection/>
    </xf>
    <xf numFmtId="3" fontId="36" fillId="4" borderId="37" xfId="587" applyNumberFormat="1" applyFont="1" applyFill="1" applyBorder="1" applyAlignment="1">
      <alignment horizontal="right"/>
      <protection/>
    </xf>
    <xf numFmtId="3" fontId="34" fillId="15" borderId="225" xfId="587" applyNumberFormat="1" applyFont="1" applyFill="1" applyBorder="1" applyAlignment="1">
      <alignment horizontal="right"/>
      <protection/>
    </xf>
    <xf numFmtId="3" fontId="34" fillId="15" borderId="226" xfId="587" applyNumberFormat="1" applyFont="1" applyFill="1" applyBorder="1" applyAlignment="1">
      <alignment horizontal="right"/>
      <protection/>
    </xf>
    <xf numFmtId="3" fontId="68" fillId="0" borderId="50" xfId="587" applyNumberFormat="1" applyFont="1" applyBorder="1" applyAlignment="1">
      <alignment horizontal="left"/>
      <protection/>
    </xf>
    <xf numFmtId="3" fontId="68" fillId="30" borderId="52" xfId="587" applyNumberFormat="1" applyFont="1" applyFill="1" applyBorder="1" applyAlignment="1">
      <alignment horizontal="left"/>
      <protection/>
    </xf>
    <xf numFmtId="3" fontId="68" fillId="0" borderId="199" xfId="587" applyNumberFormat="1" applyFont="1" applyBorder="1" applyAlignment="1">
      <alignment horizontal="left"/>
      <protection/>
    </xf>
    <xf numFmtId="3" fontId="35" fillId="30" borderId="52" xfId="587" applyNumberFormat="1" applyFont="1" applyFill="1" applyBorder="1" applyAlignment="1">
      <alignment horizontal="left"/>
      <protection/>
    </xf>
    <xf numFmtId="3" fontId="36" fillId="4" borderId="66" xfId="587" applyNumberFormat="1" applyFont="1" applyFill="1" applyBorder="1" applyAlignment="1">
      <alignment horizontal="right"/>
      <protection/>
    </xf>
    <xf numFmtId="3" fontId="36" fillId="4" borderId="56" xfId="587" applyNumberFormat="1" applyFont="1" applyFill="1" applyBorder="1" applyAlignment="1">
      <alignment horizontal="right"/>
      <protection/>
    </xf>
    <xf numFmtId="3" fontId="36" fillId="4" borderId="227" xfId="587" applyNumberFormat="1" applyFont="1" applyFill="1" applyBorder="1" applyAlignment="1">
      <alignment horizontal="right"/>
      <protection/>
    </xf>
    <xf numFmtId="3" fontId="73" fillId="0" borderId="50" xfId="587" applyNumberFormat="1" applyFont="1" applyFill="1" applyBorder="1">
      <alignment/>
      <protection/>
    </xf>
    <xf numFmtId="3" fontId="73" fillId="30" borderId="52" xfId="587" applyNumberFormat="1" applyFont="1" applyFill="1" applyBorder="1">
      <alignment/>
      <protection/>
    </xf>
    <xf numFmtId="3" fontId="73" fillId="0" borderId="199" xfId="587" applyNumberFormat="1" applyFont="1" applyFill="1" applyBorder="1">
      <alignment/>
      <protection/>
    </xf>
    <xf numFmtId="3" fontId="35" fillId="0" borderId="50" xfId="587" applyNumberFormat="1" applyFont="1" applyFill="1" applyBorder="1">
      <alignment/>
      <protection/>
    </xf>
    <xf numFmtId="3" fontId="35" fillId="0" borderId="199" xfId="587" applyNumberFormat="1" applyFont="1" applyFill="1" applyBorder="1">
      <alignment/>
      <protection/>
    </xf>
    <xf numFmtId="3" fontId="5" fillId="0" borderId="50" xfId="587" applyNumberFormat="1" applyFont="1" applyBorder="1">
      <alignment/>
      <protection/>
    </xf>
    <xf numFmtId="3" fontId="5" fillId="30" borderId="52" xfId="587" applyNumberFormat="1" applyFont="1" applyFill="1" applyBorder="1">
      <alignment/>
      <protection/>
    </xf>
    <xf numFmtId="3" fontId="5" fillId="0" borderId="199" xfId="587" applyNumberFormat="1" applyFont="1" applyBorder="1">
      <alignment/>
      <protection/>
    </xf>
    <xf numFmtId="3" fontId="35" fillId="30" borderId="128" xfId="587" applyNumberFormat="1" applyFont="1" applyFill="1" applyBorder="1">
      <alignment/>
      <protection/>
    </xf>
    <xf numFmtId="3" fontId="35" fillId="0" borderId="125" xfId="587" applyNumberFormat="1" applyFont="1" applyFill="1" applyBorder="1">
      <alignment/>
      <protection/>
    </xf>
    <xf numFmtId="3" fontId="30" fillId="0" borderId="228" xfId="587" applyNumberFormat="1" applyFont="1" applyFill="1" applyBorder="1" applyAlignment="1">
      <alignment horizontal="center" vertical="center"/>
      <protection/>
    </xf>
    <xf numFmtId="3" fontId="30" fillId="0" borderId="229" xfId="587" applyNumberFormat="1" applyFont="1" applyFill="1" applyBorder="1" applyAlignment="1">
      <alignment horizontal="center" vertical="center"/>
      <protection/>
    </xf>
    <xf numFmtId="3" fontId="68" fillId="30" borderId="52" xfId="587" applyNumberFormat="1" applyFont="1" applyFill="1" applyBorder="1" applyAlignment="1">
      <alignment horizontal="right"/>
      <protection/>
    </xf>
    <xf numFmtId="3" fontId="68" fillId="0" borderId="199" xfId="587" applyNumberFormat="1" applyFont="1" applyBorder="1" applyAlignment="1">
      <alignment horizontal="right"/>
      <protection/>
    </xf>
    <xf numFmtId="3" fontId="0" fillId="30" borderId="39" xfId="0" applyNumberFormat="1" applyFill="1" applyBorder="1" applyAlignment="1">
      <alignment/>
    </xf>
    <xf numFmtId="3" fontId="0" fillId="0" borderId="48" xfId="0" applyNumberFormat="1" applyBorder="1" applyAlignment="1">
      <alignment/>
    </xf>
    <xf numFmtId="3" fontId="68" fillId="0" borderId="50" xfId="587" applyNumberFormat="1" applyFont="1" applyFill="1" applyBorder="1" applyAlignment="1">
      <alignment horizontal="right"/>
      <protection/>
    </xf>
    <xf numFmtId="3" fontId="68" fillId="0" borderId="199" xfId="587" applyNumberFormat="1" applyFont="1" applyFill="1" applyBorder="1" applyAlignment="1">
      <alignment horizontal="right"/>
      <protection/>
    </xf>
    <xf numFmtId="3" fontId="35" fillId="0" borderId="199" xfId="587" applyNumberFormat="1" applyFont="1" applyFill="1" applyBorder="1" applyAlignment="1">
      <alignment horizontal="left"/>
      <protection/>
    </xf>
    <xf numFmtId="3" fontId="73" fillId="0" borderId="50" xfId="587" applyNumberFormat="1" applyFont="1" applyFill="1" applyBorder="1" applyAlignment="1">
      <alignment horizontal="right"/>
      <protection/>
    </xf>
    <xf numFmtId="3" fontId="73" fillId="30" borderId="52" xfId="587" applyNumberFormat="1" applyFont="1" applyFill="1" applyBorder="1" applyAlignment="1">
      <alignment horizontal="right"/>
      <protection/>
    </xf>
    <xf numFmtId="3" fontId="73" fillId="0" borderId="199" xfId="587" applyNumberFormat="1" applyFont="1" applyFill="1" applyBorder="1" applyAlignment="1">
      <alignment horizontal="right"/>
      <protection/>
    </xf>
    <xf numFmtId="3" fontId="34" fillId="15" borderId="50" xfId="587" applyNumberFormat="1" applyFont="1" applyFill="1" applyBorder="1">
      <alignment/>
      <protection/>
    </xf>
    <xf numFmtId="3" fontId="34" fillId="15" borderId="52" xfId="587" applyNumberFormat="1" applyFont="1" applyFill="1" applyBorder="1" applyAlignment="1">
      <alignment horizontal="right"/>
      <protection/>
    </xf>
    <xf numFmtId="3" fontId="35" fillId="0" borderId="230" xfId="587" applyNumberFormat="1" applyFont="1" applyBorder="1" applyAlignment="1">
      <alignment horizontal="right"/>
      <protection/>
    </xf>
    <xf numFmtId="3" fontId="35" fillId="30" borderId="128" xfId="587" applyNumberFormat="1" applyFont="1" applyFill="1" applyBorder="1" applyAlignment="1">
      <alignment horizontal="right"/>
      <protection/>
    </xf>
    <xf numFmtId="3" fontId="35" fillId="0" borderId="125" xfId="587" applyNumberFormat="1" applyFont="1" applyBorder="1" applyAlignment="1">
      <alignment horizontal="right"/>
      <protection/>
    </xf>
    <xf numFmtId="3" fontId="30" fillId="0" borderId="231" xfId="587" applyNumberFormat="1" applyFont="1" applyFill="1" applyBorder="1" applyAlignment="1">
      <alignment horizontal="center" vertical="center"/>
      <protection/>
    </xf>
    <xf numFmtId="3" fontId="30" fillId="0" borderId="232" xfId="587" applyNumberFormat="1" applyFont="1" applyFill="1" applyBorder="1" applyAlignment="1">
      <alignment horizontal="center" vertical="center"/>
      <protection/>
    </xf>
    <xf numFmtId="3" fontId="35" fillId="0" borderId="107" xfId="587" applyNumberFormat="1" applyFont="1" applyBorder="1" applyAlignment="1">
      <alignment horizontal="right"/>
      <protection/>
    </xf>
    <xf numFmtId="3" fontId="35" fillId="0" borderId="54" xfId="587" applyNumberFormat="1" applyFont="1" applyFill="1" applyBorder="1">
      <alignment/>
      <protection/>
    </xf>
    <xf numFmtId="3" fontId="34" fillId="15" borderId="54" xfId="587" applyNumberFormat="1" applyFont="1" applyFill="1" applyBorder="1" applyAlignment="1">
      <alignment horizontal="right"/>
      <protection/>
    </xf>
    <xf numFmtId="3" fontId="34" fillId="15" borderId="44" xfId="587" applyNumberFormat="1" applyFont="1" applyFill="1" applyBorder="1" applyAlignment="1">
      <alignment horizontal="right"/>
      <protection/>
    </xf>
    <xf numFmtId="3" fontId="34" fillId="15" borderId="224" xfId="587" applyNumberFormat="1" applyFont="1" applyFill="1" applyBorder="1" applyAlignment="1">
      <alignment horizontal="right"/>
      <protection/>
    </xf>
    <xf numFmtId="3" fontId="35" fillId="0" borderId="224" xfId="587" applyNumberFormat="1" applyFont="1" applyFill="1" applyBorder="1">
      <alignment/>
      <protection/>
    </xf>
    <xf numFmtId="3" fontId="68" fillId="0" borderId="54" xfId="587" applyNumberFormat="1" applyFont="1" applyFill="1" applyBorder="1" applyAlignment="1">
      <alignment horizontal="right"/>
      <protection/>
    </xf>
    <xf numFmtId="3" fontId="68" fillId="30" borderId="44" xfId="587" applyNumberFormat="1" applyFont="1" applyFill="1" applyBorder="1" applyAlignment="1">
      <alignment horizontal="right"/>
      <protection/>
    </xf>
    <xf numFmtId="3" fontId="68" fillId="0" borderId="224" xfId="587" applyNumberFormat="1" applyFont="1" applyFill="1" applyBorder="1" applyAlignment="1">
      <alignment horizontal="right"/>
      <protection/>
    </xf>
    <xf numFmtId="3" fontId="68" fillId="0" borderId="50" xfId="587" applyNumberFormat="1" applyFont="1" applyFill="1" applyBorder="1" applyAlignment="1">
      <alignment horizontal="left"/>
      <protection/>
    </xf>
    <xf numFmtId="3" fontId="68" fillId="0" borderId="199" xfId="587" applyNumberFormat="1" applyFont="1" applyFill="1" applyBorder="1" applyAlignment="1">
      <alignment horizontal="left"/>
      <protection/>
    </xf>
    <xf numFmtId="3" fontId="36" fillId="8" borderId="50" xfId="587" applyNumberFormat="1" applyFont="1" applyFill="1" applyBorder="1">
      <alignment/>
      <protection/>
    </xf>
    <xf numFmtId="3" fontId="36" fillId="30" borderId="52" xfId="587" applyNumberFormat="1" applyFont="1" applyFill="1" applyBorder="1">
      <alignment/>
      <protection/>
    </xf>
    <xf numFmtId="3" fontId="36" fillId="8" borderId="199" xfId="587" applyNumberFormat="1" applyFont="1" applyFill="1" applyBorder="1">
      <alignment/>
      <protection/>
    </xf>
    <xf numFmtId="3" fontId="70" fillId="0" borderId="50" xfId="587" applyNumberFormat="1" applyFont="1" applyFill="1" applyBorder="1">
      <alignment/>
      <protection/>
    </xf>
    <xf numFmtId="3" fontId="70" fillId="30" borderId="52" xfId="587" applyNumberFormat="1" applyFont="1" applyFill="1" applyBorder="1">
      <alignment/>
      <protection/>
    </xf>
    <xf numFmtId="3" fontId="70" fillId="0" borderId="199" xfId="587" applyNumberFormat="1" applyFont="1" applyFill="1" applyBorder="1">
      <alignment/>
      <protection/>
    </xf>
    <xf numFmtId="3" fontId="35" fillId="26" borderId="52" xfId="587" applyNumberFormat="1" applyFont="1" applyFill="1" applyBorder="1">
      <alignment/>
      <protection/>
    </xf>
    <xf numFmtId="3" fontId="36" fillId="15" borderId="50" xfId="587" applyNumberFormat="1" applyFont="1" applyFill="1" applyBorder="1">
      <alignment/>
      <protection/>
    </xf>
    <xf numFmtId="3" fontId="36" fillId="15" borderId="52" xfId="587" applyNumberFormat="1" applyFont="1" applyFill="1" applyBorder="1">
      <alignment/>
      <protection/>
    </xf>
    <xf numFmtId="3" fontId="36" fillId="15" borderId="199" xfId="587" applyNumberFormat="1" applyFont="1" applyFill="1" applyBorder="1">
      <alignment/>
      <protection/>
    </xf>
    <xf numFmtId="3" fontId="36" fillId="4" borderId="37" xfId="587" applyNumberFormat="1" applyFont="1" applyFill="1" applyBorder="1">
      <alignment/>
      <protection/>
    </xf>
    <xf numFmtId="3" fontId="36" fillId="4" borderId="66" xfId="587" applyNumberFormat="1" applyFont="1" applyFill="1" applyBorder="1">
      <alignment/>
      <protection/>
    </xf>
    <xf numFmtId="3" fontId="36" fillId="4" borderId="56" xfId="587" applyNumberFormat="1" applyFont="1" applyFill="1" applyBorder="1">
      <alignment/>
      <protection/>
    </xf>
    <xf numFmtId="3" fontId="36" fillId="4" borderId="227" xfId="587" applyNumberFormat="1" applyFont="1" applyFill="1" applyBorder="1">
      <alignment/>
      <protection/>
    </xf>
    <xf numFmtId="3" fontId="34" fillId="15" borderId="143" xfId="587" applyNumberFormat="1" applyFont="1" applyFill="1" applyBorder="1" applyAlignment="1">
      <alignment horizontal="right"/>
      <protection/>
    </xf>
    <xf numFmtId="3" fontId="34" fillId="15" borderId="52" xfId="587" applyNumberFormat="1" applyFont="1" applyFill="1" applyBorder="1">
      <alignment/>
      <protection/>
    </xf>
    <xf numFmtId="3" fontId="34" fillId="15" borderId="199" xfId="587" applyNumberFormat="1" applyFont="1" applyFill="1" applyBorder="1">
      <alignment/>
      <protection/>
    </xf>
    <xf numFmtId="3" fontId="35" fillId="0" borderId="16" xfId="587" applyNumberFormat="1" applyFont="1" applyBorder="1" applyAlignment="1">
      <alignment horizontal="left"/>
      <protection/>
    </xf>
    <xf numFmtId="3" fontId="35" fillId="0" borderId="172" xfId="587" applyNumberFormat="1" applyFont="1" applyFill="1" applyBorder="1" applyAlignment="1">
      <alignment horizontal="right"/>
      <protection/>
    </xf>
    <xf numFmtId="3" fontId="35" fillId="30" borderId="61" xfId="587" applyNumberFormat="1" applyFont="1" applyFill="1" applyBorder="1">
      <alignment/>
      <protection/>
    </xf>
    <xf numFmtId="3" fontId="35" fillId="0" borderId="200" xfId="587" applyNumberFormat="1" applyFont="1" applyBorder="1">
      <alignment/>
      <protection/>
    </xf>
    <xf numFmtId="3" fontId="34" fillId="15" borderId="41" xfId="587" applyNumberFormat="1" applyFont="1" applyFill="1" applyBorder="1">
      <alignment/>
      <protection/>
    </xf>
    <xf numFmtId="3" fontId="34" fillId="15" borderId="233" xfId="587" applyNumberFormat="1" applyFont="1" applyFill="1" applyBorder="1">
      <alignment/>
      <protection/>
    </xf>
    <xf numFmtId="3" fontId="34" fillId="15" borderId="144" xfId="587" applyNumberFormat="1" applyFont="1" applyFill="1" applyBorder="1" applyAlignment="1">
      <alignment horizontal="right"/>
      <protection/>
    </xf>
    <xf numFmtId="3" fontId="82" fillId="0" borderId="199" xfId="587" applyNumberFormat="1" applyFont="1" applyBorder="1">
      <alignment/>
      <protection/>
    </xf>
    <xf numFmtId="3" fontId="35" fillId="0" borderId="188" xfId="587" applyNumberFormat="1" applyFont="1" applyBorder="1">
      <alignment/>
      <protection/>
    </xf>
    <xf numFmtId="3" fontId="35" fillId="0" borderId="188" xfId="587" applyNumberFormat="1" applyFont="1" applyBorder="1" applyAlignment="1">
      <alignment horizontal="right"/>
      <protection/>
    </xf>
    <xf numFmtId="3" fontId="82" fillId="0" borderId="199" xfId="587" applyNumberFormat="1" applyFont="1" applyBorder="1" applyAlignment="1">
      <alignment horizontal="left"/>
      <protection/>
    </xf>
    <xf numFmtId="3" fontId="34" fillId="15" borderId="22" xfId="587" applyNumberFormat="1" applyFont="1" applyFill="1" applyBorder="1">
      <alignment/>
      <protection/>
    </xf>
    <xf numFmtId="3" fontId="34" fillId="15" borderId="224" xfId="587" applyNumberFormat="1" applyFont="1" applyFill="1" applyBorder="1">
      <alignment/>
      <protection/>
    </xf>
    <xf numFmtId="3" fontId="35" fillId="0" borderId="234" xfId="587" applyNumberFormat="1" applyFont="1" applyBorder="1">
      <alignment/>
      <protection/>
    </xf>
    <xf numFmtId="3" fontId="35" fillId="0" borderId="140" xfId="587" applyNumberFormat="1" applyFont="1" applyBorder="1">
      <alignment/>
      <protection/>
    </xf>
    <xf numFmtId="3" fontId="35" fillId="0" borderId="235" xfId="587" applyNumberFormat="1" applyFont="1" applyBorder="1">
      <alignment/>
      <protection/>
    </xf>
    <xf numFmtId="3" fontId="68" fillId="0" borderId="15" xfId="587" applyNumberFormat="1" applyFont="1" applyBorder="1" applyAlignment="1">
      <alignment horizontal="left"/>
      <protection/>
    </xf>
    <xf numFmtId="3" fontId="68" fillId="0" borderId="15" xfId="587" applyNumberFormat="1" applyFont="1" applyBorder="1" applyAlignment="1">
      <alignment horizontal="right"/>
      <protection/>
    </xf>
    <xf numFmtId="3" fontId="35" fillId="0" borderId="227" xfId="587" applyNumberFormat="1" applyFont="1" applyBorder="1">
      <alignment/>
      <protection/>
    </xf>
    <xf numFmtId="3" fontId="34" fillId="15" borderId="236" xfId="587" applyNumberFormat="1" applyFont="1" applyFill="1" applyBorder="1" applyAlignment="1">
      <alignment horizontal="right"/>
      <protection/>
    </xf>
    <xf numFmtId="3" fontId="34" fillId="15" borderId="237" xfId="587" applyNumberFormat="1" applyFont="1" applyFill="1" applyBorder="1">
      <alignment/>
      <protection/>
    </xf>
    <xf numFmtId="3" fontId="34" fillId="15" borderId="142" xfId="587" applyNumberFormat="1" applyFont="1" applyFill="1" applyBorder="1" applyAlignment="1">
      <alignment horizontal="right"/>
      <protection/>
    </xf>
    <xf numFmtId="3" fontId="36" fillId="4" borderId="20" xfId="587" applyNumberFormat="1" applyFont="1" applyFill="1" applyBorder="1" applyAlignment="1">
      <alignment horizontal="right"/>
      <protection/>
    </xf>
    <xf numFmtId="3" fontId="36" fillId="4" borderId="70" xfId="587" applyNumberFormat="1" applyFont="1" applyFill="1" applyBorder="1" applyAlignment="1">
      <alignment horizontal="right"/>
      <protection/>
    </xf>
    <xf numFmtId="3" fontId="34" fillId="15" borderId="188" xfId="587" applyNumberFormat="1" applyFont="1" applyFill="1" applyBorder="1" applyAlignment="1">
      <alignment horizontal="right"/>
      <protection/>
    </xf>
    <xf numFmtId="3" fontId="34" fillId="15" borderId="88" xfId="587" applyNumberFormat="1" applyFont="1" applyFill="1" applyBorder="1">
      <alignment/>
      <protection/>
    </xf>
    <xf numFmtId="3" fontId="34" fillId="15" borderId="238" xfId="587" applyNumberFormat="1" applyFont="1" applyFill="1" applyBorder="1">
      <alignment/>
      <protection/>
    </xf>
    <xf numFmtId="3" fontId="35" fillId="26" borderId="88" xfId="587" applyNumberFormat="1" applyFont="1" applyFill="1" applyBorder="1">
      <alignment/>
      <protection/>
    </xf>
    <xf numFmtId="3" fontId="35" fillId="0" borderId="238" xfId="587" applyNumberFormat="1" applyFont="1" applyFill="1" applyBorder="1">
      <alignment/>
      <protection/>
    </xf>
    <xf numFmtId="3" fontId="83" fillId="26" borderId="88" xfId="587" applyNumberFormat="1" applyFont="1" applyFill="1" applyBorder="1" applyAlignment="1">
      <alignment horizontal="left"/>
      <protection/>
    </xf>
    <xf numFmtId="3" fontId="83" fillId="0" borderId="238" xfId="587" applyNumberFormat="1" applyFont="1" applyFill="1" applyBorder="1" applyAlignment="1">
      <alignment horizontal="left"/>
      <protection/>
    </xf>
    <xf numFmtId="3" fontId="35" fillId="30" borderId="88" xfId="587" applyNumberFormat="1" applyFont="1" applyFill="1" applyBorder="1">
      <alignment/>
      <protection/>
    </xf>
    <xf numFmtId="3" fontId="35" fillId="0" borderId="238" xfId="587" applyNumberFormat="1" applyFont="1" applyBorder="1">
      <alignment/>
      <protection/>
    </xf>
    <xf numFmtId="3" fontId="35" fillId="30" borderId="89" xfId="587" applyNumberFormat="1" applyFont="1" applyFill="1" applyBorder="1">
      <alignment/>
      <protection/>
    </xf>
    <xf numFmtId="3" fontId="35" fillId="0" borderId="239" xfId="587" applyNumberFormat="1" applyFont="1" applyBorder="1">
      <alignment/>
      <protection/>
    </xf>
    <xf numFmtId="3" fontId="35" fillId="0" borderId="201" xfId="587" applyNumberFormat="1" applyFont="1" applyBorder="1">
      <alignment/>
      <protection/>
    </xf>
    <xf numFmtId="3" fontId="35" fillId="0" borderId="81" xfId="587" applyNumberFormat="1" applyFont="1" applyBorder="1">
      <alignment/>
      <protection/>
    </xf>
    <xf numFmtId="3" fontId="35" fillId="30" borderId="90" xfId="587" applyNumberFormat="1" applyFont="1" applyFill="1" applyBorder="1">
      <alignment/>
      <protection/>
    </xf>
    <xf numFmtId="3" fontId="35" fillId="0" borderId="240" xfId="587" applyNumberFormat="1" applyFont="1" applyBorder="1">
      <alignment/>
      <protection/>
    </xf>
    <xf numFmtId="3" fontId="5" fillId="0" borderId="87" xfId="587" applyNumberFormat="1" applyFont="1" applyFill="1" applyBorder="1" applyAlignment="1">
      <alignment horizontal="right"/>
      <protection/>
    </xf>
    <xf numFmtId="3" fontId="5" fillId="0" borderId="150" xfId="587" applyNumberFormat="1" applyFont="1" applyFill="1" applyBorder="1" applyAlignment="1">
      <alignment horizontal="right"/>
      <protection/>
    </xf>
    <xf numFmtId="3" fontId="84" fillId="26" borderId="166" xfId="587" applyNumberFormat="1" applyFont="1" applyFill="1" applyBorder="1" applyAlignment="1">
      <alignment horizontal="right"/>
      <protection/>
    </xf>
    <xf numFmtId="3" fontId="84" fillId="0" borderId="212" xfId="587" applyNumberFormat="1" applyFont="1" applyFill="1" applyBorder="1" applyAlignment="1">
      <alignment horizontal="right"/>
      <protection/>
    </xf>
    <xf numFmtId="3" fontId="34" fillId="15" borderId="241" xfId="587" applyNumberFormat="1" applyFont="1" applyFill="1" applyBorder="1">
      <alignment/>
      <protection/>
    </xf>
    <xf numFmtId="3" fontId="34" fillId="15" borderId="86" xfId="587" applyNumberFormat="1" applyFont="1" applyFill="1" applyBorder="1">
      <alignment/>
      <protection/>
    </xf>
    <xf numFmtId="3" fontId="34" fillId="15" borderId="242" xfId="587" applyNumberFormat="1" applyFont="1" applyFill="1" applyBorder="1">
      <alignment/>
      <protection/>
    </xf>
    <xf numFmtId="3" fontId="35" fillId="0" borderId="140" xfId="587" applyNumberFormat="1" applyFont="1" applyFill="1" applyBorder="1">
      <alignment/>
      <protection/>
    </xf>
    <xf numFmtId="3" fontId="42" fillId="0" borderId="86" xfId="587" applyNumberFormat="1" applyFont="1" applyFill="1" applyBorder="1" applyAlignment="1">
      <alignment horizontal="center" vertical="center"/>
      <protection/>
    </xf>
    <xf numFmtId="3" fontId="42" fillId="0" borderId="242" xfId="587" applyNumberFormat="1" applyFont="1" applyFill="1" applyBorder="1" applyAlignment="1">
      <alignment horizontal="center" vertical="center"/>
      <protection/>
    </xf>
    <xf numFmtId="3" fontId="35" fillId="30" borderId="88" xfId="587" applyNumberFormat="1" applyFont="1" applyFill="1" applyBorder="1" applyAlignment="1">
      <alignment horizontal="left"/>
      <protection/>
    </xf>
    <xf numFmtId="3" fontId="35" fillId="0" borderId="238" xfId="587" applyNumberFormat="1" applyFont="1" applyBorder="1" applyAlignment="1">
      <alignment horizontal="left"/>
      <protection/>
    </xf>
    <xf numFmtId="3" fontId="35" fillId="30" borderId="89" xfId="587" applyNumberFormat="1" applyFont="1" applyFill="1" applyBorder="1" applyAlignment="1">
      <alignment horizontal="left"/>
      <protection/>
    </xf>
    <xf numFmtId="3" fontId="35" fillId="0" borderId="239" xfId="587" applyNumberFormat="1" applyFont="1" applyBorder="1" applyAlignment="1">
      <alignment horizontal="left"/>
      <protection/>
    </xf>
    <xf numFmtId="3" fontId="35" fillId="30" borderId="89" xfId="587" applyNumberFormat="1" applyFont="1" applyFill="1" applyBorder="1" applyAlignment="1">
      <alignment horizontal="right"/>
      <protection/>
    </xf>
    <xf numFmtId="3" fontId="35" fillId="0" borderId="239" xfId="587" applyNumberFormat="1" applyFont="1" applyBorder="1" applyAlignment="1">
      <alignment horizontal="right"/>
      <protection/>
    </xf>
    <xf numFmtId="3" fontId="34" fillId="15" borderId="243" xfId="587" applyNumberFormat="1" applyFont="1" applyFill="1" applyBorder="1">
      <alignment/>
      <protection/>
    </xf>
    <xf numFmtId="3" fontId="34" fillId="15" borderId="119" xfId="587" applyNumberFormat="1" applyFont="1" applyFill="1" applyBorder="1">
      <alignment/>
      <protection/>
    </xf>
    <xf numFmtId="3" fontId="34" fillId="15" borderId="244" xfId="587" applyNumberFormat="1" applyFont="1" applyFill="1" applyBorder="1">
      <alignment/>
      <protection/>
    </xf>
    <xf numFmtId="3" fontId="34" fillId="15" borderId="108" xfId="587" applyNumberFormat="1" applyFont="1" applyFill="1" applyBorder="1">
      <alignment/>
      <protection/>
    </xf>
    <xf numFmtId="3" fontId="34" fillId="15" borderId="245" xfId="587" applyNumberFormat="1" applyFont="1" applyFill="1" applyBorder="1">
      <alignment/>
      <protection/>
    </xf>
    <xf numFmtId="3" fontId="36" fillId="4" borderId="206" xfId="587" applyNumberFormat="1" applyFont="1" applyFill="1" applyBorder="1">
      <alignment/>
      <protection/>
    </xf>
    <xf numFmtId="3" fontId="34" fillId="4" borderId="101" xfId="587" applyNumberFormat="1" applyFont="1" applyFill="1" applyBorder="1">
      <alignment/>
      <protection/>
    </xf>
    <xf numFmtId="3" fontId="36" fillId="4" borderId="246" xfId="587" applyNumberFormat="1" applyFont="1" applyFill="1" applyBorder="1" applyAlignment="1">
      <alignment horizontal="right"/>
      <protection/>
    </xf>
    <xf numFmtId="3" fontId="36" fillId="4" borderId="167" xfId="587" applyNumberFormat="1" applyFont="1" applyFill="1" applyBorder="1" applyAlignment="1">
      <alignment horizontal="right"/>
      <protection/>
    </xf>
    <xf numFmtId="3" fontId="36" fillId="4" borderId="247" xfId="587" applyNumberFormat="1" applyFont="1" applyFill="1" applyBorder="1" applyAlignment="1">
      <alignment horizontal="right"/>
      <protection/>
    </xf>
    <xf numFmtId="3" fontId="34" fillId="15" borderId="140" xfId="587" applyNumberFormat="1" applyFont="1" applyFill="1" applyBorder="1">
      <alignment/>
      <protection/>
    </xf>
    <xf numFmtId="3" fontId="35" fillId="0" borderId="63" xfId="587" applyNumberFormat="1" applyFont="1" applyBorder="1">
      <alignment/>
      <protection/>
    </xf>
    <xf numFmtId="3" fontId="35" fillId="0" borderId="180" xfId="587" applyNumberFormat="1" applyFont="1" applyBorder="1">
      <alignment/>
      <protection/>
    </xf>
    <xf numFmtId="3" fontId="35" fillId="0" borderId="247" xfId="587" applyNumberFormat="1" applyFont="1" applyBorder="1">
      <alignment/>
      <protection/>
    </xf>
    <xf numFmtId="3" fontId="34" fillId="15" borderId="140" xfId="587" applyNumberFormat="1" applyFont="1" applyFill="1" applyBorder="1" applyAlignment="1">
      <alignment horizontal="right"/>
      <protection/>
    </xf>
    <xf numFmtId="3" fontId="34" fillId="15" borderId="92" xfId="587" applyNumberFormat="1" applyFont="1" applyFill="1" applyBorder="1">
      <alignment/>
      <protection/>
    </xf>
    <xf numFmtId="3" fontId="34" fillId="15" borderId="235" xfId="587" applyNumberFormat="1" applyFont="1" applyFill="1" applyBorder="1">
      <alignment/>
      <protection/>
    </xf>
    <xf numFmtId="3" fontId="35" fillId="0" borderId="140" xfId="587" applyNumberFormat="1" applyFont="1" applyBorder="1" applyAlignment="1">
      <alignment horizontal="left"/>
      <protection/>
    </xf>
    <xf numFmtId="3" fontId="35" fillId="30" borderId="61" xfId="587" applyNumberFormat="1" applyFont="1" applyFill="1" applyBorder="1" applyAlignment="1">
      <alignment horizontal="left"/>
      <protection/>
    </xf>
    <xf numFmtId="3" fontId="35" fillId="0" borderId="200" xfId="587" applyNumberFormat="1" applyFont="1" applyBorder="1" applyAlignment="1">
      <alignment horizontal="left"/>
      <protection/>
    </xf>
    <xf numFmtId="3" fontId="36" fillId="0" borderId="0" xfId="587" applyNumberFormat="1" applyFont="1" applyBorder="1" applyAlignment="1">
      <alignment horizontal="center"/>
      <protection/>
    </xf>
    <xf numFmtId="3" fontId="34" fillId="15" borderId="248" xfId="587" applyNumberFormat="1" applyFont="1" applyFill="1" applyBorder="1" applyAlignment="1">
      <alignment horizontal="right"/>
      <protection/>
    </xf>
    <xf numFmtId="3" fontId="36" fillId="15" borderId="46" xfId="587" applyNumberFormat="1" applyFont="1" applyFill="1" applyBorder="1" applyAlignment="1">
      <alignment horizontal="right"/>
      <protection/>
    </xf>
    <xf numFmtId="3" fontId="36" fillId="15" borderId="237" xfId="587" applyNumberFormat="1" applyFont="1" applyFill="1" applyBorder="1" applyAlignment="1">
      <alignment horizontal="right"/>
      <protection/>
    </xf>
    <xf numFmtId="3" fontId="84" fillId="30" borderId="52" xfId="587" applyNumberFormat="1" applyFont="1" applyFill="1" applyBorder="1" applyAlignment="1">
      <alignment horizontal="left"/>
      <protection/>
    </xf>
    <xf numFmtId="3" fontId="84" fillId="0" borderId="199" xfId="587" applyNumberFormat="1" applyFont="1" applyBorder="1" applyAlignment="1">
      <alignment horizontal="left"/>
      <protection/>
    </xf>
    <xf numFmtId="3" fontId="42" fillId="0" borderId="41" xfId="587" applyNumberFormat="1" applyFont="1" applyFill="1" applyBorder="1" applyAlignment="1">
      <alignment horizontal="center" vertical="center"/>
      <protection/>
    </xf>
    <xf numFmtId="3" fontId="42" fillId="0" borderId="233" xfId="587" applyNumberFormat="1" applyFont="1" applyFill="1" applyBorder="1" applyAlignment="1">
      <alignment horizontal="center" vertical="center"/>
      <protection/>
    </xf>
    <xf numFmtId="3" fontId="35" fillId="30" borderId="52" xfId="587" applyNumberFormat="1" applyFont="1" applyFill="1" applyBorder="1" applyAlignment="1">
      <alignment horizontal="left"/>
      <protection/>
    </xf>
    <xf numFmtId="3" fontId="35" fillId="0" borderId="199" xfId="587" applyNumberFormat="1" applyFont="1" applyBorder="1" applyAlignment="1">
      <alignment horizontal="left"/>
      <protection/>
    </xf>
    <xf numFmtId="3" fontId="35" fillId="26" borderId="39" xfId="587" applyNumberFormat="1" applyFont="1" applyFill="1" applyBorder="1">
      <alignment/>
      <protection/>
    </xf>
    <xf numFmtId="3" fontId="35" fillId="30" borderId="42" xfId="587" applyNumberFormat="1" applyFont="1" applyFill="1" applyBorder="1">
      <alignment/>
      <protection/>
    </xf>
    <xf numFmtId="3" fontId="35" fillId="26" borderId="0" xfId="587" applyNumberFormat="1" applyFont="1" applyFill="1" applyBorder="1">
      <alignment/>
      <protection/>
    </xf>
    <xf numFmtId="3" fontId="34" fillId="15" borderId="249" xfId="587" applyNumberFormat="1" applyFont="1" applyFill="1" applyBorder="1" applyAlignment="1">
      <alignment horizontal="right"/>
      <protection/>
    </xf>
    <xf numFmtId="3" fontId="34" fillId="15" borderId="100" xfId="587" applyNumberFormat="1" applyFont="1" applyFill="1" applyBorder="1">
      <alignment/>
      <protection/>
    </xf>
    <xf numFmtId="3" fontId="34" fillId="15" borderId="250" xfId="587" applyNumberFormat="1" applyFont="1" applyFill="1" applyBorder="1">
      <alignment/>
      <protection/>
    </xf>
    <xf numFmtId="3" fontId="35" fillId="0" borderId="143" xfId="587" applyNumberFormat="1" applyFont="1" applyFill="1" applyBorder="1" applyAlignment="1">
      <alignment horizontal="right"/>
      <protection/>
    </xf>
    <xf numFmtId="3" fontId="35" fillId="0" borderId="176" xfId="587" applyNumberFormat="1" applyFont="1" applyFill="1" applyBorder="1" applyAlignment="1">
      <alignment horizontal="left"/>
      <protection/>
    </xf>
    <xf numFmtId="3" fontId="35" fillId="30" borderId="251" xfId="587" applyNumberFormat="1" applyFont="1" applyFill="1" applyBorder="1" applyAlignment="1">
      <alignment horizontal="left"/>
      <protection/>
    </xf>
    <xf numFmtId="3" fontId="35" fillId="0" borderId="247" xfId="587" applyNumberFormat="1" applyFont="1" applyBorder="1" applyAlignment="1">
      <alignment horizontal="left"/>
      <protection/>
    </xf>
    <xf numFmtId="3" fontId="35" fillId="0" borderId="0" xfId="587" applyNumberFormat="1" applyFont="1" applyBorder="1" applyAlignment="1">
      <alignment horizontal="left"/>
      <protection/>
    </xf>
    <xf numFmtId="3" fontId="68" fillId="0" borderId="15" xfId="587" applyNumberFormat="1" applyFont="1" applyBorder="1">
      <alignment/>
      <protection/>
    </xf>
    <xf numFmtId="3" fontId="36" fillId="26" borderId="0" xfId="587" applyNumberFormat="1" applyFont="1" applyFill="1" applyBorder="1" applyAlignment="1">
      <alignment horizontal="right"/>
      <protection/>
    </xf>
    <xf numFmtId="3" fontId="68" fillId="0" borderId="22" xfId="587" applyNumberFormat="1" applyFont="1" applyFill="1" applyBorder="1" applyAlignment="1">
      <alignment horizontal="left"/>
      <protection/>
    </xf>
    <xf numFmtId="3" fontId="34" fillId="15" borderId="252" xfId="587" applyNumberFormat="1" applyFont="1" applyFill="1" applyBorder="1" applyAlignment="1">
      <alignment horizontal="right"/>
      <protection/>
    </xf>
    <xf numFmtId="3" fontId="34" fillId="15" borderId="226" xfId="587" applyNumberFormat="1" applyFont="1" applyFill="1" applyBorder="1">
      <alignment/>
      <protection/>
    </xf>
    <xf numFmtId="3" fontId="35" fillId="0" borderId="198" xfId="587" applyNumberFormat="1" applyFont="1" applyBorder="1" applyAlignment="1">
      <alignment horizontal="left"/>
      <protection/>
    </xf>
    <xf numFmtId="3" fontId="35" fillId="0" borderId="125" xfId="587" applyNumberFormat="1" applyFont="1" applyBorder="1" applyAlignment="1">
      <alignment horizontal="left"/>
      <protection/>
    </xf>
    <xf numFmtId="3" fontId="34" fillId="4" borderId="227" xfId="587" applyNumberFormat="1" applyFont="1" applyFill="1" applyBorder="1">
      <alignment/>
      <protection/>
    </xf>
    <xf numFmtId="3" fontId="35" fillId="0" borderId="199" xfId="587" applyNumberFormat="1" applyFont="1" applyFill="1" applyBorder="1" applyAlignment="1">
      <alignment horizontal="right"/>
      <protection/>
    </xf>
    <xf numFmtId="3" fontId="35" fillId="0" borderId="177" xfId="587" applyNumberFormat="1" applyFont="1" applyFill="1" applyBorder="1" applyAlignment="1">
      <alignment horizontal="right"/>
      <protection/>
    </xf>
    <xf numFmtId="0" fontId="24" fillId="0" borderId="253" xfId="0" applyFont="1" applyBorder="1" applyAlignment="1">
      <alignment horizontal="center"/>
    </xf>
    <xf numFmtId="0" fontId="35" fillId="0" borderId="140" xfId="587" applyFont="1" applyBorder="1">
      <alignment/>
      <protection/>
    </xf>
    <xf numFmtId="4" fontId="36" fillId="0" borderId="0" xfId="587" applyNumberFormat="1" applyFont="1" applyFill="1" applyBorder="1">
      <alignment/>
      <protection/>
    </xf>
    <xf numFmtId="3" fontId="35" fillId="0" borderId="254" xfId="587" applyNumberFormat="1" applyFont="1" applyBorder="1">
      <alignment/>
      <protection/>
    </xf>
    <xf numFmtId="3" fontId="35" fillId="0" borderId="143" xfId="587" applyNumberFormat="1" applyFont="1" applyBorder="1">
      <alignment/>
      <protection/>
    </xf>
    <xf numFmtId="3" fontId="35" fillId="30" borderId="42" xfId="587" applyNumberFormat="1" applyFont="1" applyFill="1" applyBorder="1" applyAlignment="1">
      <alignment horizontal="right"/>
      <protection/>
    </xf>
    <xf numFmtId="3" fontId="35" fillId="0" borderId="191" xfId="587" applyNumberFormat="1" applyFont="1" applyBorder="1">
      <alignment/>
      <protection/>
    </xf>
    <xf numFmtId="3" fontId="35" fillId="0" borderId="255" xfId="587" applyNumberFormat="1" applyFont="1" applyBorder="1">
      <alignment/>
      <protection/>
    </xf>
    <xf numFmtId="3" fontId="35" fillId="0" borderId="142" xfId="587" applyNumberFormat="1" applyFont="1" applyBorder="1">
      <alignment/>
      <protection/>
    </xf>
    <xf numFmtId="3" fontId="35" fillId="0" borderId="256" xfId="587" applyNumberFormat="1" applyFont="1" applyBorder="1">
      <alignment/>
      <protection/>
    </xf>
    <xf numFmtId="3" fontId="35" fillId="30" borderId="41" xfId="587" applyNumberFormat="1" applyFont="1" applyFill="1" applyBorder="1" applyAlignment="1">
      <alignment horizontal="right"/>
      <protection/>
    </xf>
    <xf numFmtId="3" fontId="35" fillId="0" borderId="233" xfId="587" applyNumberFormat="1" applyFont="1" applyBorder="1" applyAlignment="1">
      <alignment horizontal="right"/>
      <protection/>
    </xf>
    <xf numFmtId="3" fontId="35" fillId="0" borderId="140" xfId="587" applyNumberFormat="1" applyFont="1" applyBorder="1" applyAlignment="1">
      <alignment horizontal="right"/>
      <protection/>
    </xf>
    <xf numFmtId="3" fontId="35" fillId="0" borderId="134" xfId="587" applyNumberFormat="1" applyFont="1" applyBorder="1">
      <alignment/>
      <protection/>
    </xf>
    <xf numFmtId="3" fontId="35" fillId="0" borderId="230" xfId="587" applyNumberFormat="1" applyFont="1" applyBorder="1">
      <alignment/>
      <protection/>
    </xf>
    <xf numFmtId="3" fontId="35" fillId="0" borderId="175" xfId="587" applyNumberFormat="1" applyFont="1" applyBorder="1">
      <alignment/>
      <protection/>
    </xf>
    <xf numFmtId="3" fontId="35" fillId="0" borderId="206" xfId="587" applyNumberFormat="1" applyFont="1" applyBorder="1">
      <alignment/>
      <protection/>
    </xf>
    <xf numFmtId="3" fontId="35" fillId="30" borderId="257" xfId="587" applyNumberFormat="1" applyFont="1" applyFill="1" applyBorder="1">
      <alignment/>
      <protection/>
    </xf>
    <xf numFmtId="3" fontId="35" fillId="0" borderId="258" xfId="587" applyNumberFormat="1" applyFont="1" applyBorder="1">
      <alignment/>
      <protection/>
    </xf>
    <xf numFmtId="3" fontId="36" fillId="3" borderId="56" xfId="587" applyNumberFormat="1" applyFont="1" applyFill="1" applyBorder="1" applyAlignment="1">
      <alignment horizontal="right"/>
      <protection/>
    </xf>
    <xf numFmtId="3" fontId="35" fillId="0" borderId="120" xfId="587" applyNumberFormat="1" applyFont="1" applyBorder="1" applyAlignment="1">
      <alignment horizontal="right"/>
      <protection/>
    </xf>
    <xf numFmtId="3" fontId="35" fillId="0" borderId="259" xfId="587" applyNumberFormat="1" applyFont="1" applyBorder="1">
      <alignment/>
      <protection/>
    </xf>
    <xf numFmtId="3" fontId="35" fillId="0" borderId="260" xfId="587" applyNumberFormat="1" applyFont="1" applyBorder="1">
      <alignment/>
      <protection/>
    </xf>
    <xf numFmtId="3" fontId="107" fillId="30" borderId="44" xfId="587" applyNumberFormat="1" applyFont="1" applyFill="1" applyBorder="1">
      <alignment/>
      <protection/>
    </xf>
    <xf numFmtId="3" fontId="107" fillId="0" borderId="54" xfId="587" applyNumberFormat="1" applyFont="1" applyFill="1" applyBorder="1">
      <alignment/>
      <protection/>
    </xf>
    <xf numFmtId="3" fontId="107" fillId="0" borderId="224" xfId="587" applyNumberFormat="1" applyFont="1" applyFill="1" applyBorder="1">
      <alignment/>
      <protection/>
    </xf>
    <xf numFmtId="3" fontId="35" fillId="30" borderId="88" xfId="587" applyNumberFormat="1" applyFont="1" applyFill="1" applyBorder="1" applyAlignment="1">
      <alignment horizontal="right"/>
      <protection/>
    </xf>
    <xf numFmtId="3" fontId="35" fillId="0" borderId="238" xfId="587" applyNumberFormat="1" applyFont="1" applyBorder="1" applyAlignment="1">
      <alignment horizontal="right"/>
      <protection/>
    </xf>
    <xf numFmtId="3" fontId="49" fillId="27" borderId="84" xfId="0" applyNumberFormat="1" applyFont="1" applyFill="1" applyBorder="1" applyAlignment="1">
      <alignment/>
    </xf>
    <xf numFmtId="3" fontId="49" fillId="7" borderId="41" xfId="0" applyNumberFormat="1" applyFont="1" applyFill="1" applyBorder="1" applyAlignment="1">
      <alignment/>
    </xf>
    <xf numFmtId="49" fontId="90" fillId="0" borderId="0" xfId="0" applyNumberFormat="1" applyFont="1" applyBorder="1" applyAlignment="1">
      <alignment horizontal="center"/>
    </xf>
    <xf numFmtId="3" fontId="90" fillId="0" borderId="0" xfId="0" applyNumberFormat="1" applyFont="1" applyBorder="1" applyAlignment="1">
      <alignment horizontal="right"/>
    </xf>
    <xf numFmtId="3" fontId="90" fillId="0" borderId="0" xfId="0" applyNumberFormat="1" applyFont="1" applyBorder="1" applyAlignment="1">
      <alignment/>
    </xf>
    <xf numFmtId="0" fontId="90" fillId="0" borderId="120" xfId="0" applyFont="1" applyBorder="1" applyAlignment="1">
      <alignment/>
    </xf>
    <xf numFmtId="0" fontId="90" fillId="0" borderId="261" xfId="0" applyFont="1" applyBorder="1" applyAlignment="1">
      <alignment/>
    </xf>
    <xf numFmtId="3" fontId="90" fillId="0" borderId="230" xfId="0" applyNumberFormat="1" applyFont="1" applyBorder="1" applyAlignment="1">
      <alignment horizontal="right"/>
    </xf>
    <xf numFmtId="49" fontId="90" fillId="0" borderId="262" xfId="0" applyNumberFormat="1" applyFont="1" applyBorder="1" applyAlignment="1">
      <alignment horizontal="center"/>
    </xf>
    <xf numFmtId="0" fontId="26" fillId="0" borderId="119" xfId="0" applyFont="1" applyBorder="1" applyAlignment="1">
      <alignment/>
    </xf>
    <xf numFmtId="0" fontId="26" fillId="0" borderId="263" xfId="0" applyFont="1" applyBorder="1" applyAlignment="1">
      <alignment/>
    </xf>
    <xf numFmtId="3" fontId="90" fillId="0" borderId="130" xfId="0" applyNumberFormat="1" applyFont="1" applyBorder="1" applyAlignment="1">
      <alignment/>
    </xf>
    <xf numFmtId="49" fontId="91" fillId="0" borderId="0" xfId="0" applyNumberFormat="1" applyFont="1" applyFill="1" applyBorder="1" applyAlignment="1">
      <alignment horizontal="left"/>
    </xf>
    <xf numFmtId="3" fontId="89" fillId="0" borderId="0" xfId="0" applyNumberFormat="1" applyFont="1" applyFill="1" applyBorder="1" applyAlignment="1">
      <alignment horizontal="right"/>
    </xf>
    <xf numFmtId="3" fontId="89" fillId="0" borderId="0" xfId="0" applyNumberFormat="1" applyFont="1" applyFill="1" applyBorder="1" applyAlignment="1">
      <alignment/>
    </xf>
    <xf numFmtId="3" fontId="49" fillId="10" borderId="87" xfId="0" applyNumberFormat="1" applyFont="1" applyFill="1" applyBorder="1" applyAlignment="1">
      <alignment/>
    </xf>
    <xf numFmtId="3" fontId="49" fillId="10" borderId="48" xfId="0" applyNumberFormat="1" applyFont="1" applyFill="1" applyBorder="1" applyAlignment="1">
      <alignment/>
    </xf>
    <xf numFmtId="3" fontId="49" fillId="29" borderId="87" xfId="0" applyNumberFormat="1" applyFont="1" applyFill="1" applyBorder="1" applyAlignment="1">
      <alignment/>
    </xf>
    <xf numFmtId="3" fontId="49" fillId="29" borderId="137" xfId="0" applyNumberFormat="1" applyFont="1" applyFill="1" applyBorder="1" applyAlignment="1">
      <alignment/>
    </xf>
    <xf numFmtId="3" fontId="49" fillId="7" borderId="264" xfId="0" applyNumberFormat="1" applyFont="1" applyFill="1" applyBorder="1" applyAlignment="1">
      <alignment/>
    </xf>
    <xf numFmtId="3" fontId="49" fillId="7" borderId="47" xfId="0" applyNumberFormat="1" applyFont="1" applyFill="1" applyBorder="1" applyAlignment="1">
      <alignment/>
    </xf>
    <xf numFmtId="3" fontId="35" fillId="0" borderId="63" xfId="587" applyNumberFormat="1" applyFont="1" applyFill="1" applyBorder="1" applyAlignment="1">
      <alignment horizontal="left"/>
      <protection/>
    </xf>
    <xf numFmtId="3" fontId="35" fillId="0" borderId="234" xfId="587" applyNumberFormat="1" applyFont="1" applyFill="1" applyBorder="1" applyAlignment="1">
      <alignment horizontal="right"/>
      <protection/>
    </xf>
    <xf numFmtId="3" fontId="35" fillId="0" borderId="178" xfId="587" applyNumberFormat="1" applyFont="1" applyFill="1" applyBorder="1" applyAlignment="1">
      <alignment horizontal="right"/>
      <protection/>
    </xf>
    <xf numFmtId="3" fontId="35" fillId="0" borderId="192" xfId="587" applyNumberFormat="1" applyFont="1" applyFill="1" applyBorder="1" applyAlignment="1">
      <alignment horizontal="right"/>
      <protection/>
    </xf>
    <xf numFmtId="0" fontId="30" fillId="7" borderId="99" xfId="587" applyFont="1" applyFill="1" applyBorder="1">
      <alignment/>
      <protection/>
    </xf>
    <xf numFmtId="0" fontId="31" fillId="7" borderId="100" xfId="587" applyFont="1" applyFill="1" applyBorder="1" applyAlignment="1">
      <alignment vertical="top"/>
      <protection/>
    </xf>
    <xf numFmtId="0" fontId="31" fillId="7" borderId="265" xfId="587" applyFont="1" applyFill="1" applyBorder="1" applyAlignment="1">
      <alignment horizontal="center"/>
      <protection/>
    </xf>
    <xf numFmtId="0" fontId="30" fillId="7" borderId="266" xfId="587" applyFont="1" applyFill="1" applyBorder="1" applyAlignment="1">
      <alignment horizontal="justify" vertical="center"/>
      <protection/>
    </xf>
    <xf numFmtId="0" fontId="30" fillId="7" borderId="266" xfId="587" applyFont="1" applyFill="1" applyBorder="1" applyAlignment="1">
      <alignment horizontal="center" vertical="center"/>
      <protection/>
    </xf>
    <xf numFmtId="0" fontId="88" fillId="15" borderId="93" xfId="587" applyFont="1" applyFill="1" applyBorder="1">
      <alignment/>
      <protection/>
    </xf>
    <xf numFmtId="0" fontId="35" fillId="0" borderId="262" xfId="587" applyFont="1" applyFill="1" applyBorder="1">
      <alignment/>
      <protection/>
    </xf>
    <xf numFmtId="0" fontId="35" fillId="0" borderId="267" xfId="587" applyFont="1" applyFill="1" applyBorder="1">
      <alignment/>
      <protection/>
    </xf>
    <xf numFmtId="0" fontId="35" fillId="0" borderId="102" xfId="587" applyFont="1" applyFill="1" applyBorder="1">
      <alignment/>
      <protection/>
    </xf>
    <xf numFmtId="0" fontId="35" fillId="0" borderId="105" xfId="587" applyFont="1" applyFill="1" applyBorder="1">
      <alignment/>
      <protection/>
    </xf>
    <xf numFmtId="0" fontId="35" fillId="0" borderId="176" xfId="587" applyFont="1" applyFill="1" applyBorder="1">
      <alignment/>
      <protection/>
    </xf>
    <xf numFmtId="3" fontId="35" fillId="0" borderId="101" xfId="587" applyNumberFormat="1" applyFont="1" applyFill="1" applyBorder="1">
      <alignment/>
      <protection/>
    </xf>
    <xf numFmtId="3" fontId="35" fillId="0" borderId="101" xfId="587" applyNumberFormat="1" applyFont="1" applyFill="1" applyBorder="1" applyAlignment="1">
      <alignment horizontal="right"/>
      <protection/>
    </xf>
    <xf numFmtId="3" fontId="36" fillId="0" borderId="101" xfId="587" applyNumberFormat="1" applyFont="1" applyFill="1" applyBorder="1">
      <alignment/>
      <protection/>
    </xf>
    <xf numFmtId="3" fontId="35" fillId="0" borderId="180" xfId="587" applyNumberFormat="1" applyFont="1" applyFill="1" applyBorder="1" applyAlignment="1">
      <alignment horizontal="right"/>
      <protection/>
    </xf>
    <xf numFmtId="3" fontId="34" fillId="15" borderId="134" xfId="587" applyNumberFormat="1" applyFont="1" applyFill="1" applyBorder="1" applyAlignment="1">
      <alignment horizontal="right"/>
      <protection/>
    </xf>
    <xf numFmtId="3" fontId="35" fillId="0" borderId="92" xfId="587" applyNumberFormat="1" applyFont="1" applyBorder="1">
      <alignment/>
      <protection/>
    </xf>
    <xf numFmtId="3" fontId="5" fillId="0" borderId="92" xfId="587" applyNumberFormat="1" applyFont="1" applyBorder="1">
      <alignment/>
      <protection/>
    </xf>
    <xf numFmtId="3" fontId="35" fillId="0" borderId="113" xfId="587" applyNumberFormat="1" applyFont="1" applyBorder="1">
      <alignment/>
      <protection/>
    </xf>
    <xf numFmtId="4" fontId="35" fillId="0" borderId="140" xfId="587" applyNumberFormat="1" applyFont="1" applyBorder="1">
      <alignment/>
      <protection/>
    </xf>
    <xf numFmtId="3" fontId="35" fillId="0" borderId="140" xfId="587" applyNumberFormat="1" applyFont="1" applyFill="1" applyBorder="1">
      <alignment/>
      <protection/>
    </xf>
    <xf numFmtId="3" fontId="36" fillId="4" borderId="113" xfId="587" applyNumberFormat="1" applyFont="1" applyFill="1" applyBorder="1">
      <alignment/>
      <protection/>
    </xf>
    <xf numFmtId="3" fontId="5" fillId="0" borderId="113" xfId="587" applyNumberFormat="1" applyFont="1" applyBorder="1">
      <alignment/>
      <protection/>
    </xf>
    <xf numFmtId="4" fontId="35" fillId="0" borderId="113" xfId="587" applyNumberFormat="1" applyFont="1" applyBorder="1">
      <alignment/>
      <protection/>
    </xf>
    <xf numFmtId="3" fontId="36" fillId="47" borderId="113" xfId="587" applyNumberFormat="1" applyFont="1" applyFill="1" applyBorder="1">
      <alignment/>
      <protection/>
    </xf>
    <xf numFmtId="3" fontId="34" fillId="48" borderId="113" xfId="587" applyNumberFormat="1" applyFont="1" applyFill="1" applyBorder="1">
      <alignment/>
      <protection/>
    </xf>
    <xf numFmtId="3" fontId="35" fillId="0" borderId="113" xfId="587" applyNumberFormat="1" applyFont="1" applyFill="1" applyBorder="1">
      <alignment/>
      <protection/>
    </xf>
    <xf numFmtId="3" fontId="35" fillId="0" borderId="113" xfId="587" applyNumberFormat="1" applyFont="1" applyBorder="1" applyAlignment="1">
      <alignment horizontal="right"/>
      <protection/>
    </xf>
    <xf numFmtId="3" fontId="66" fillId="0" borderId="113" xfId="587" applyNumberFormat="1" applyFont="1" applyBorder="1" applyAlignment="1">
      <alignment horizontal="left"/>
      <protection/>
    </xf>
    <xf numFmtId="3" fontId="84" fillId="0" borderId="113" xfId="587" applyNumberFormat="1" applyFont="1" applyBorder="1">
      <alignment/>
      <protection/>
    </xf>
    <xf numFmtId="3" fontId="84" fillId="0" borderId="113" xfId="587" applyNumberFormat="1" applyFont="1" applyBorder="1">
      <alignment/>
      <protection/>
    </xf>
    <xf numFmtId="3" fontId="30" fillId="0" borderId="113" xfId="587" applyNumberFormat="1" applyFont="1" applyFill="1" applyBorder="1" applyAlignment="1">
      <alignment horizontal="center"/>
      <protection/>
    </xf>
    <xf numFmtId="0" fontId="34" fillId="4" borderId="140" xfId="587" applyFont="1" applyFill="1" applyBorder="1">
      <alignment/>
      <protection/>
    </xf>
    <xf numFmtId="0" fontId="66" fillId="0" borderId="140" xfId="587" applyFont="1" applyFill="1" applyBorder="1">
      <alignment/>
      <protection/>
    </xf>
    <xf numFmtId="0" fontId="36" fillId="4" borderId="140" xfId="587" applyFont="1" applyFill="1" applyBorder="1">
      <alignment/>
      <protection/>
    </xf>
    <xf numFmtId="0" fontId="84" fillId="0" borderId="140" xfId="587" applyFont="1" applyBorder="1">
      <alignment/>
      <protection/>
    </xf>
    <xf numFmtId="0" fontId="84" fillId="0" borderId="140" xfId="587" applyFont="1" applyBorder="1">
      <alignment/>
      <protection/>
    </xf>
    <xf numFmtId="0" fontId="42" fillId="0" borderId="140" xfId="587" applyFont="1" applyFill="1" applyBorder="1" applyAlignment="1">
      <alignment vertical="top"/>
      <protection/>
    </xf>
    <xf numFmtId="0" fontId="79" fillId="0" borderId="140" xfId="587" applyFont="1" applyFill="1" applyBorder="1" applyAlignment="1">
      <alignment horizontal="center"/>
      <protection/>
    </xf>
    <xf numFmtId="0" fontId="34" fillId="47" borderId="140" xfId="587" applyFont="1" applyFill="1" applyBorder="1">
      <alignment/>
      <protection/>
    </xf>
    <xf numFmtId="0" fontId="32" fillId="0" borderId="140" xfId="587" applyFont="1" applyBorder="1">
      <alignment/>
      <protection/>
    </xf>
    <xf numFmtId="0" fontId="66" fillId="0" borderId="140" xfId="587" applyFont="1" applyBorder="1">
      <alignment/>
      <protection/>
    </xf>
    <xf numFmtId="0" fontId="34" fillId="48" borderId="140" xfId="587" applyFont="1" applyFill="1" applyBorder="1">
      <alignment/>
      <protection/>
    </xf>
    <xf numFmtId="0" fontId="35" fillId="0" borderId="140" xfId="587" applyFont="1" applyFill="1" applyBorder="1">
      <alignment/>
      <protection/>
    </xf>
    <xf numFmtId="3" fontId="36" fillId="4" borderId="92" xfId="587" applyNumberFormat="1" applyFont="1" applyFill="1" applyBorder="1">
      <alignment/>
      <protection/>
    </xf>
    <xf numFmtId="3" fontId="35" fillId="0" borderId="92" xfId="587" applyNumberFormat="1" applyFont="1" applyBorder="1" applyAlignment="1">
      <alignment horizontal="right"/>
      <protection/>
    </xf>
    <xf numFmtId="3" fontId="66" fillId="0" borderId="92" xfId="587" applyNumberFormat="1" applyFont="1" applyBorder="1" applyAlignment="1">
      <alignment horizontal="left"/>
      <protection/>
    </xf>
    <xf numFmtId="3" fontId="84" fillId="0" borderId="92" xfId="587" applyNumberFormat="1" applyFont="1" applyBorder="1">
      <alignment/>
      <protection/>
    </xf>
    <xf numFmtId="4" fontId="35" fillId="0" borderId="92" xfId="587" applyNumberFormat="1" applyFont="1" applyBorder="1">
      <alignment/>
      <protection/>
    </xf>
    <xf numFmtId="3" fontId="84" fillId="0" borderId="92" xfId="587" applyNumberFormat="1" applyFont="1" applyBorder="1">
      <alignment/>
      <protection/>
    </xf>
    <xf numFmtId="3" fontId="30" fillId="0" borderId="92" xfId="587" applyNumberFormat="1" applyFont="1" applyFill="1" applyBorder="1" applyAlignment="1">
      <alignment horizontal="center" vertical="center"/>
      <protection/>
    </xf>
    <xf numFmtId="3" fontId="36" fillId="47" borderId="92" xfId="587" applyNumberFormat="1" applyFont="1" applyFill="1" applyBorder="1">
      <alignment/>
      <protection/>
    </xf>
    <xf numFmtId="3" fontId="34" fillId="48" borderId="92" xfId="587" applyNumberFormat="1" applyFont="1" applyFill="1" applyBorder="1">
      <alignment/>
      <protection/>
    </xf>
    <xf numFmtId="3" fontId="35" fillId="0" borderId="92" xfId="587" applyNumberFormat="1" applyFont="1" applyFill="1" applyBorder="1">
      <alignment/>
      <protection/>
    </xf>
    <xf numFmtId="3" fontId="35" fillId="35" borderId="90" xfId="587" applyNumberFormat="1" applyFont="1" applyFill="1" applyBorder="1">
      <alignment/>
      <protection/>
    </xf>
    <xf numFmtId="3" fontId="5" fillId="0" borderId="90" xfId="587" applyNumberFormat="1" applyFont="1" applyBorder="1">
      <alignment/>
      <protection/>
    </xf>
    <xf numFmtId="3" fontId="35" fillId="26" borderId="90" xfId="587" applyNumberFormat="1" applyFont="1" applyFill="1" applyBorder="1">
      <alignment/>
      <protection/>
    </xf>
    <xf numFmtId="0" fontId="34" fillId="4" borderId="130" xfId="587" applyFont="1" applyFill="1" applyBorder="1">
      <alignment/>
      <protection/>
    </xf>
    <xf numFmtId="3" fontId="36" fillId="4" borderId="209" xfId="587" applyNumberFormat="1" applyFont="1" applyFill="1" applyBorder="1">
      <alignment/>
      <protection/>
    </xf>
    <xf numFmtId="0" fontId="35" fillId="0" borderId="130" xfId="587" applyFont="1" applyFill="1" applyBorder="1">
      <alignment/>
      <protection/>
    </xf>
    <xf numFmtId="3" fontId="35" fillId="0" borderId="209" xfId="587" applyNumberFormat="1" applyFont="1" applyBorder="1" applyAlignment="1">
      <alignment horizontal="right"/>
      <protection/>
    </xf>
    <xf numFmtId="3" fontId="35" fillId="0" borderId="209" xfId="587" applyNumberFormat="1" applyFont="1" applyBorder="1">
      <alignment/>
      <protection/>
    </xf>
    <xf numFmtId="14" fontId="34" fillId="4" borderId="130" xfId="587" applyNumberFormat="1" applyFont="1" applyFill="1" applyBorder="1">
      <alignment/>
      <protection/>
    </xf>
    <xf numFmtId="0" fontId="66" fillId="0" borderId="130" xfId="587" applyFont="1" applyFill="1" applyBorder="1">
      <alignment/>
      <protection/>
    </xf>
    <xf numFmtId="3" fontId="66" fillId="0" borderId="209" xfId="587" applyNumberFormat="1" applyFont="1" applyBorder="1" applyAlignment="1">
      <alignment horizontal="left"/>
      <protection/>
    </xf>
    <xf numFmtId="0" fontId="35" fillId="0" borderId="130" xfId="587" applyFont="1" applyBorder="1">
      <alignment/>
      <protection/>
    </xf>
    <xf numFmtId="3" fontId="5" fillId="0" borderId="209" xfId="587" applyNumberFormat="1" applyFont="1" applyBorder="1">
      <alignment/>
      <protection/>
    </xf>
    <xf numFmtId="49" fontId="34" fillId="4" borderId="130" xfId="587" applyNumberFormat="1" applyFont="1" applyFill="1" applyBorder="1">
      <alignment/>
      <protection/>
    </xf>
    <xf numFmtId="0" fontId="36" fillId="4" borderId="130" xfId="587" applyFont="1" applyFill="1" applyBorder="1">
      <alignment/>
      <protection/>
    </xf>
    <xf numFmtId="0" fontId="84" fillId="0" borderId="130" xfId="587" applyFont="1" applyBorder="1">
      <alignment/>
      <protection/>
    </xf>
    <xf numFmtId="4" fontId="35" fillId="0" borderId="209" xfId="587" applyNumberFormat="1" applyFont="1" applyBorder="1">
      <alignment/>
      <protection/>
    </xf>
    <xf numFmtId="0" fontId="84" fillId="0" borderId="130" xfId="587" applyFont="1" applyBorder="1">
      <alignment/>
      <protection/>
    </xf>
    <xf numFmtId="3" fontId="35" fillId="0" borderId="209" xfId="587" applyNumberFormat="1" applyFont="1" applyBorder="1">
      <alignment/>
      <protection/>
    </xf>
    <xf numFmtId="0" fontId="42" fillId="0" borderId="130" xfId="587" applyFont="1" applyFill="1" applyBorder="1">
      <alignment/>
      <protection/>
    </xf>
    <xf numFmtId="3" fontId="42" fillId="0" borderId="209" xfId="587" applyNumberFormat="1" applyFont="1" applyFill="1" applyBorder="1" applyAlignment="1">
      <alignment horizontal="center" vertical="center"/>
      <protection/>
    </xf>
    <xf numFmtId="0" fontId="34" fillId="47" borderId="130" xfId="587" applyFont="1" applyFill="1" applyBorder="1">
      <alignment/>
      <protection/>
    </xf>
    <xf numFmtId="3" fontId="36" fillId="47" borderId="209" xfId="587" applyNumberFormat="1" applyFont="1" applyFill="1" applyBorder="1">
      <alignment/>
      <protection/>
    </xf>
    <xf numFmtId="0" fontId="66" fillId="0" borderId="130" xfId="587" applyFont="1" applyBorder="1">
      <alignment/>
      <protection/>
    </xf>
    <xf numFmtId="0" fontId="34" fillId="48" borderId="130" xfId="587" applyFont="1" applyFill="1" applyBorder="1">
      <alignment/>
      <protection/>
    </xf>
    <xf numFmtId="3" fontId="34" fillId="48" borderId="209" xfId="587" applyNumberFormat="1" applyFont="1" applyFill="1" applyBorder="1">
      <alignment/>
      <protection/>
    </xf>
    <xf numFmtId="0" fontId="35" fillId="0" borderId="130" xfId="587" applyFont="1" applyFill="1" applyBorder="1">
      <alignment/>
      <protection/>
    </xf>
    <xf numFmtId="3" fontId="35" fillId="0" borderId="209" xfId="587" applyNumberFormat="1" applyFont="1" applyFill="1" applyBorder="1">
      <alignment/>
      <protection/>
    </xf>
    <xf numFmtId="0" fontId="35" fillId="0" borderId="268" xfId="587" applyFont="1" applyBorder="1">
      <alignment/>
      <protection/>
    </xf>
    <xf numFmtId="0" fontId="35" fillId="0" borderId="186" xfId="587" applyFont="1" applyBorder="1">
      <alignment/>
      <protection/>
    </xf>
    <xf numFmtId="3" fontId="35" fillId="0" borderId="211" xfId="587" applyNumberFormat="1" applyFont="1" applyBorder="1">
      <alignment/>
      <protection/>
    </xf>
    <xf numFmtId="3" fontId="35" fillId="0" borderId="186" xfId="587" applyNumberFormat="1" applyFont="1" applyBorder="1">
      <alignment/>
      <protection/>
    </xf>
    <xf numFmtId="3" fontId="35" fillId="0" borderId="210" xfId="587" applyNumberFormat="1" applyFont="1" applyBorder="1">
      <alignment/>
      <protection/>
    </xf>
    <xf numFmtId="3" fontId="35" fillId="0" borderId="212" xfId="587" applyNumberFormat="1" applyFont="1" applyBorder="1">
      <alignment/>
      <protection/>
    </xf>
    <xf numFmtId="0" fontId="34" fillId="4" borderId="269" xfId="587" applyFont="1" applyFill="1" applyBorder="1">
      <alignment/>
      <protection/>
    </xf>
    <xf numFmtId="0" fontId="34" fillId="4" borderId="270" xfId="587" applyFont="1" applyFill="1" applyBorder="1">
      <alignment/>
      <protection/>
    </xf>
    <xf numFmtId="3" fontId="36" fillId="4" borderId="115" xfId="587" applyNumberFormat="1" applyFont="1" applyFill="1" applyBorder="1">
      <alignment/>
      <protection/>
    </xf>
    <xf numFmtId="3" fontId="36" fillId="4" borderId="114" xfId="587" applyNumberFormat="1" applyFont="1" applyFill="1" applyBorder="1">
      <alignment/>
      <protection/>
    </xf>
    <xf numFmtId="3" fontId="36" fillId="4" borderId="271" xfId="587" applyNumberFormat="1" applyFont="1" applyFill="1" applyBorder="1">
      <alignment/>
      <protection/>
    </xf>
    <xf numFmtId="3" fontId="35" fillId="15" borderId="90" xfId="587" applyNumberFormat="1" applyFont="1" applyFill="1" applyBorder="1" applyAlignment="1">
      <alignment horizontal="right"/>
      <protection/>
    </xf>
    <xf numFmtId="3" fontId="35" fillId="0" borderId="90" xfId="587" applyNumberFormat="1" applyFont="1" applyBorder="1">
      <alignment/>
      <protection/>
    </xf>
    <xf numFmtId="3" fontId="36" fillId="4" borderId="90" xfId="587" applyNumberFormat="1" applyFont="1" applyFill="1" applyBorder="1">
      <alignment/>
      <protection/>
    </xf>
    <xf numFmtId="3" fontId="66" fillId="30" borderId="90" xfId="587" applyNumberFormat="1" applyFont="1" applyFill="1" applyBorder="1" applyAlignment="1">
      <alignment horizontal="left"/>
      <protection/>
    </xf>
    <xf numFmtId="3" fontId="84" fillId="30" borderId="90" xfId="587" applyNumberFormat="1" applyFont="1" applyFill="1" applyBorder="1">
      <alignment/>
      <protection/>
    </xf>
    <xf numFmtId="4" fontId="35" fillId="0" borderId="90" xfId="587" applyNumberFormat="1" applyFont="1" applyBorder="1">
      <alignment/>
      <protection/>
    </xf>
    <xf numFmtId="3" fontId="84" fillId="30" borderId="90" xfId="587" applyNumberFormat="1" applyFont="1" applyFill="1" applyBorder="1">
      <alignment/>
      <protection/>
    </xf>
    <xf numFmtId="3" fontId="42" fillId="0" borderId="90" xfId="587" applyNumberFormat="1" applyFont="1" applyFill="1" applyBorder="1" applyAlignment="1">
      <alignment horizontal="center" vertical="center"/>
      <protection/>
    </xf>
    <xf numFmtId="3" fontId="36" fillId="47" borderId="90" xfId="587" applyNumberFormat="1" applyFont="1" applyFill="1" applyBorder="1">
      <alignment/>
      <protection/>
    </xf>
    <xf numFmtId="3" fontId="34" fillId="48" borderId="90" xfId="587" applyNumberFormat="1" applyFont="1" applyFill="1" applyBorder="1">
      <alignment/>
      <protection/>
    </xf>
    <xf numFmtId="3" fontId="35" fillId="26" borderId="166" xfId="587" applyNumberFormat="1" applyFont="1" applyFill="1" applyBorder="1">
      <alignment/>
      <protection/>
    </xf>
    <xf numFmtId="0" fontId="35" fillId="0" borderId="272" xfId="587" applyFont="1" applyBorder="1">
      <alignment/>
      <protection/>
    </xf>
    <xf numFmtId="3" fontId="35" fillId="0" borderId="63" xfId="587" applyNumberFormat="1" applyFont="1" applyFill="1" applyBorder="1" applyAlignment="1">
      <alignment horizontal="right"/>
      <protection/>
    </xf>
    <xf numFmtId="3" fontId="35" fillId="0" borderId="15" xfId="587" applyNumberFormat="1" applyFont="1" applyFill="1" applyBorder="1" applyAlignment="1">
      <alignment horizontal="right"/>
      <protection/>
    </xf>
    <xf numFmtId="3" fontId="35" fillId="0" borderId="22" xfId="587" applyNumberFormat="1" applyFont="1" applyFill="1" applyBorder="1" applyAlignment="1">
      <alignment horizontal="right"/>
      <protection/>
    </xf>
    <xf numFmtId="3" fontId="35" fillId="0" borderId="246" xfId="587" applyNumberFormat="1" applyFont="1" applyFill="1" applyBorder="1" applyAlignment="1">
      <alignment horizontal="right"/>
      <protection/>
    </xf>
    <xf numFmtId="3" fontId="93" fillId="46" borderId="164" xfId="0" applyNumberFormat="1" applyFont="1" applyFill="1" applyBorder="1" applyAlignment="1">
      <alignment/>
    </xf>
    <xf numFmtId="3" fontId="28" fillId="49" borderId="90" xfId="0" applyNumberFormat="1" applyFont="1" applyFill="1" applyBorder="1" applyAlignment="1">
      <alignment horizontal="center" vertical="center" wrapText="1"/>
    </xf>
    <xf numFmtId="3" fontId="28" fillId="49" borderId="90" xfId="0" applyNumberFormat="1" applyFont="1" applyFill="1" applyBorder="1" applyAlignment="1">
      <alignment horizontal="center" vertical="center"/>
    </xf>
    <xf numFmtId="3" fontId="28" fillId="49" borderId="166" xfId="0" applyNumberFormat="1" applyFont="1" applyFill="1" applyBorder="1" applyAlignment="1">
      <alignment horizontal="center" vertical="center"/>
    </xf>
    <xf numFmtId="3" fontId="28" fillId="49" borderId="90" xfId="0" applyNumberFormat="1" applyFont="1" applyFill="1" applyBorder="1" applyAlignment="1">
      <alignment vertical="center"/>
    </xf>
    <xf numFmtId="3" fontId="28" fillId="49" borderId="220" xfId="0" applyNumberFormat="1" applyFont="1" applyFill="1" applyBorder="1" applyAlignment="1">
      <alignment vertical="center" wrapText="1"/>
    </xf>
    <xf numFmtId="3" fontId="28" fillId="49" borderId="90" xfId="0" applyNumberFormat="1" applyFont="1" applyFill="1" applyBorder="1" applyAlignment="1">
      <alignment/>
    </xf>
    <xf numFmtId="3" fontId="28" fillId="49" borderId="220" xfId="0" applyNumberFormat="1" applyFont="1" applyFill="1" applyBorder="1" applyAlignment="1">
      <alignment/>
    </xf>
    <xf numFmtId="3" fontId="28" fillId="49" borderId="91" xfId="0" applyNumberFormat="1" applyFont="1" applyFill="1" applyBorder="1" applyAlignment="1">
      <alignment vertical="center"/>
    </xf>
    <xf numFmtId="3" fontId="90" fillId="49" borderId="90" xfId="0" applyNumberFormat="1" applyFont="1" applyFill="1" applyBorder="1" applyAlignment="1">
      <alignment/>
    </xf>
    <xf numFmtId="3" fontId="90" fillId="49" borderId="166" xfId="0" applyNumberFormat="1" applyFont="1" applyFill="1" applyBorder="1" applyAlignment="1">
      <alignment/>
    </xf>
    <xf numFmtId="3" fontId="90" fillId="49" borderId="111" xfId="0" applyNumberFormat="1" applyFont="1" applyFill="1" applyBorder="1" applyAlignment="1">
      <alignment/>
    </xf>
    <xf numFmtId="3" fontId="43" fillId="49" borderId="90" xfId="0" applyNumberFormat="1" applyFont="1" applyFill="1" applyBorder="1" applyAlignment="1">
      <alignment/>
    </xf>
    <xf numFmtId="0" fontId="35" fillId="0" borderId="35" xfId="587" applyFont="1" applyBorder="1" applyAlignment="1">
      <alignment horizontal="left"/>
      <protection/>
    </xf>
    <xf numFmtId="0" fontId="35" fillId="0" borderId="140" xfId="587" applyFont="1" applyBorder="1" applyAlignment="1">
      <alignment horizontal="left"/>
      <protection/>
    </xf>
    <xf numFmtId="4" fontId="36" fillId="0" borderId="17" xfId="587" applyNumberFormat="1" applyFont="1" applyBorder="1">
      <alignment/>
      <protection/>
    </xf>
    <xf numFmtId="3" fontId="36" fillId="0" borderId="17" xfId="587" applyNumberFormat="1" applyFont="1" applyBorder="1">
      <alignment/>
      <protection/>
    </xf>
    <xf numFmtId="3" fontId="36" fillId="0" borderId="54" xfId="587" applyNumberFormat="1" applyFont="1" applyBorder="1">
      <alignment/>
      <protection/>
    </xf>
    <xf numFmtId="0" fontId="30" fillId="0" borderId="0" xfId="587" applyFont="1" applyBorder="1">
      <alignment/>
      <protection/>
    </xf>
    <xf numFmtId="0" fontId="30" fillId="7" borderId="100" xfId="587" applyFont="1" applyFill="1" applyBorder="1" applyAlignment="1">
      <alignment vertical="top"/>
      <protection/>
    </xf>
    <xf numFmtId="0" fontId="30" fillId="7" borderId="265" xfId="587" applyFont="1" applyFill="1" applyBorder="1" applyAlignment="1">
      <alignment horizontal="center"/>
      <protection/>
    </xf>
    <xf numFmtId="4" fontId="30" fillId="7" borderId="266" xfId="587" applyNumberFormat="1" applyFont="1" applyFill="1" applyBorder="1" applyAlignment="1">
      <alignment horizontal="justify" vertical="top"/>
      <protection/>
    </xf>
    <xf numFmtId="2" fontId="30" fillId="7" borderId="273" xfId="587" applyNumberFormat="1" applyFont="1" applyFill="1" applyBorder="1" applyAlignment="1">
      <alignment horizontal="justify" vertical="center"/>
      <protection/>
    </xf>
    <xf numFmtId="3" fontId="30" fillId="7" borderId="266" xfId="587" applyNumberFormat="1" applyFont="1" applyFill="1" applyBorder="1" applyAlignment="1">
      <alignment horizontal="center" vertical="center"/>
      <protection/>
    </xf>
    <xf numFmtId="3" fontId="30" fillId="7" borderId="274" xfId="587" applyNumberFormat="1" applyFont="1" applyFill="1" applyBorder="1" applyAlignment="1">
      <alignment horizontal="center" vertical="center"/>
      <protection/>
    </xf>
    <xf numFmtId="0" fontId="35" fillId="0" borderId="93" xfId="587" applyFont="1" applyBorder="1" applyAlignment="1">
      <alignment horizontal="left"/>
      <protection/>
    </xf>
    <xf numFmtId="0" fontId="35" fillId="0" borderId="94" xfId="587" applyFont="1" applyBorder="1" applyAlignment="1">
      <alignment horizontal="left"/>
      <protection/>
    </xf>
    <xf numFmtId="0" fontId="35" fillId="0" borderId="130" xfId="587" applyFont="1" applyBorder="1" applyAlignment="1">
      <alignment horizontal="left"/>
      <protection/>
    </xf>
    <xf numFmtId="0" fontId="30" fillId="3" borderId="174" xfId="587" applyFont="1" applyFill="1" applyBorder="1">
      <alignment/>
      <protection/>
    </xf>
    <xf numFmtId="0" fontId="5" fillId="3" borderId="101" xfId="587" applyFont="1" applyFill="1" applyBorder="1">
      <alignment/>
      <protection/>
    </xf>
    <xf numFmtId="0" fontId="30" fillId="3" borderId="275" xfId="587" applyFont="1" applyFill="1" applyBorder="1">
      <alignment/>
      <protection/>
    </xf>
    <xf numFmtId="4" fontId="36" fillId="3" borderId="257" xfId="587" applyNumberFormat="1" applyFont="1" applyFill="1" applyBorder="1">
      <alignment/>
      <protection/>
    </xf>
    <xf numFmtId="3" fontId="36" fillId="3" borderId="257" xfId="587" applyNumberFormat="1" applyFont="1" applyFill="1" applyBorder="1">
      <alignment/>
      <protection/>
    </xf>
    <xf numFmtId="3" fontId="36" fillId="3" borderId="276" xfId="587" applyNumberFormat="1" applyFont="1" applyFill="1" applyBorder="1">
      <alignment/>
      <protection/>
    </xf>
    <xf numFmtId="0" fontId="36" fillId="0" borderId="93" xfId="587" applyFont="1" applyFill="1" applyBorder="1" applyAlignment="1">
      <alignment horizontal="right"/>
      <protection/>
    </xf>
    <xf numFmtId="3" fontId="36" fillId="4" borderId="104" xfId="587" applyNumberFormat="1" applyFont="1" applyFill="1" applyBorder="1" applyAlignment="1">
      <alignment horizontal="right"/>
      <protection/>
    </xf>
    <xf numFmtId="3" fontId="34" fillId="4" borderId="277" xfId="587" applyNumberFormat="1" applyFont="1" applyFill="1" applyBorder="1">
      <alignment/>
      <protection/>
    </xf>
    <xf numFmtId="3" fontId="34" fillId="4" borderId="251" xfId="587" applyNumberFormat="1" applyFont="1" applyFill="1" applyBorder="1">
      <alignment/>
      <protection/>
    </xf>
    <xf numFmtId="3" fontId="34" fillId="4" borderId="247" xfId="587" applyNumberFormat="1" applyFont="1" applyFill="1" applyBorder="1">
      <alignment/>
      <protection/>
    </xf>
    <xf numFmtId="0" fontId="35" fillId="0" borderId="188" xfId="587" applyFont="1" applyFill="1" applyBorder="1" applyAlignment="1">
      <alignment horizontal="left"/>
      <protection/>
    </xf>
    <xf numFmtId="0" fontId="35" fillId="0" borderId="188" xfId="587" applyFont="1" applyFill="1" applyBorder="1">
      <alignment/>
      <protection/>
    </xf>
    <xf numFmtId="0" fontId="35" fillId="0" borderId="187" xfId="587" applyFont="1" applyFill="1" applyBorder="1" applyAlignment="1">
      <alignment horizontal="left"/>
      <protection/>
    </xf>
    <xf numFmtId="3" fontId="68" fillId="0" borderId="140" xfId="587" applyNumberFormat="1" applyFont="1" applyBorder="1">
      <alignment/>
      <protection/>
    </xf>
    <xf numFmtId="3" fontId="66" fillId="0" borderId="140" xfId="587" applyNumberFormat="1" applyFont="1" applyFill="1" applyBorder="1">
      <alignment/>
      <protection/>
    </xf>
    <xf numFmtId="3" fontId="66" fillId="0" borderId="140" xfId="587" applyNumberFormat="1" applyFont="1" applyBorder="1" applyAlignment="1">
      <alignment horizontal="right"/>
      <protection/>
    </xf>
    <xf numFmtId="3" fontId="35" fillId="0" borderId="140" xfId="587" applyNumberFormat="1" applyFont="1" applyFill="1" applyBorder="1" applyAlignment="1">
      <alignment horizontal="right"/>
      <protection/>
    </xf>
    <xf numFmtId="3" fontId="68" fillId="0" borderId="140" xfId="587" applyNumberFormat="1" applyFont="1" applyFill="1" applyBorder="1" applyAlignment="1">
      <alignment horizontal="left"/>
      <protection/>
    </xf>
    <xf numFmtId="3" fontId="35" fillId="0" borderId="140" xfId="587" applyNumberFormat="1" applyFont="1" applyFill="1" applyBorder="1" applyAlignment="1">
      <alignment horizontal="right"/>
      <protection/>
    </xf>
    <xf numFmtId="3" fontId="35" fillId="0" borderId="140" xfId="587" applyNumberFormat="1" applyFont="1" applyFill="1" applyBorder="1" applyAlignment="1">
      <alignment horizontal="left"/>
      <protection/>
    </xf>
    <xf numFmtId="3" fontId="34" fillId="15" borderId="244" xfId="587" applyNumberFormat="1" applyFont="1" applyFill="1" applyBorder="1" applyAlignment="1">
      <alignment horizontal="right"/>
      <protection/>
    </xf>
    <xf numFmtId="0" fontId="70" fillId="0" borderId="140" xfId="587" applyFont="1" applyFill="1" applyBorder="1">
      <alignment/>
      <protection/>
    </xf>
    <xf numFmtId="0" fontId="73" fillId="0" borderId="140" xfId="587" applyFont="1" applyFill="1" applyBorder="1">
      <alignment/>
      <protection/>
    </xf>
    <xf numFmtId="3" fontId="35" fillId="0" borderId="207" xfId="587" applyNumberFormat="1" applyFont="1" applyBorder="1" applyAlignment="1">
      <alignment horizontal="right"/>
      <protection/>
    </xf>
    <xf numFmtId="3" fontId="35" fillId="0" borderId="207" xfId="587" applyNumberFormat="1" applyFont="1" applyFill="1" applyBorder="1" applyAlignment="1">
      <alignment horizontal="right"/>
      <protection/>
    </xf>
    <xf numFmtId="3" fontId="35" fillId="0" borderId="270" xfId="587" applyNumberFormat="1" applyFont="1" applyBorder="1">
      <alignment/>
      <protection/>
    </xf>
    <xf numFmtId="3" fontId="35" fillId="0" borderId="270" xfId="587" applyNumberFormat="1" applyFont="1" applyFill="1" applyBorder="1">
      <alignment/>
      <protection/>
    </xf>
    <xf numFmtId="3" fontId="34" fillId="15" borderId="207" xfId="587" applyNumberFormat="1" applyFont="1" applyFill="1" applyBorder="1" applyAlignment="1">
      <alignment horizontal="right"/>
      <protection/>
    </xf>
    <xf numFmtId="0" fontId="35" fillId="0" borderId="203" xfId="587" applyFont="1" applyFill="1" applyBorder="1">
      <alignment/>
      <protection/>
    </xf>
    <xf numFmtId="0" fontId="35" fillId="0" borderId="140" xfId="587" applyFont="1" applyFill="1" applyBorder="1" applyAlignment="1">
      <alignment horizontal="right"/>
      <protection/>
    </xf>
    <xf numFmtId="0" fontId="35" fillId="0" borderId="140" xfId="587" applyFont="1" applyBorder="1">
      <alignment/>
      <protection/>
    </xf>
    <xf numFmtId="0" fontId="35" fillId="0" borderId="140" xfId="587" applyFont="1" applyFill="1" applyBorder="1" applyAlignment="1">
      <alignment horizontal="left"/>
      <protection/>
    </xf>
    <xf numFmtId="0" fontId="70" fillId="0" borderId="113" xfId="587" applyFont="1" applyFill="1" applyBorder="1">
      <alignment/>
      <protection/>
    </xf>
    <xf numFmtId="0" fontId="73" fillId="0" borderId="113" xfId="587" applyFont="1" applyFill="1" applyBorder="1">
      <alignment/>
      <protection/>
    </xf>
    <xf numFmtId="172" fontId="35" fillId="0" borderId="63" xfId="425" applyFont="1" applyFill="1" applyBorder="1" applyAlignment="1" applyProtection="1">
      <alignment horizontal="left"/>
      <protection/>
    </xf>
    <xf numFmtId="0" fontId="108" fillId="0" borderId="15" xfId="587" applyFont="1" applyFill="1" applyBorder="1" applyAlignment="1">
      <alignment horizontal="right"/>
      <protection/>
    </xf>
    <xf numFmtId="0" fontId="108" fillId="0" borderId="188" xfId="587" applyFont="1" applyFill="1" applyBorder="1" applyAlignment="1">
      <alignment horizontal="left"/>
      <protection/>
    </xf>
    <xf numFmtId="3" fontId="108" fillId="0" borderId="270" xfId="587" applyNumberFormat="1" applyFont="1" applyBorder="1">
      <alignment/>
      <protection/>
    </xf>
    <xf numFmtId="0" fontId="108" fillId="0" borderId="188" xfId="587" applyFont="1" applyBorder="1">
      <alignment/>
      <protection/>
    </xf>
    <xf numFmtId="3" fontId="108" fillId="0" borderId="140" xfId="587" applyNumberFormat="1" applyFont="1" applyBorder="1">
      <alignment/>
      <protection/>
    </xf>
    <xf numFmtId="3" fontId="108" fillId="0" borderId="15" xfId="587" applyNumberFormat="1" applyFont="1" applyBorder="1">
      <alignment/>
      <protection/>
    </xf>
    <xf numFmtId="0" fontId="108" fillId="0" borderId="22" xfId="587" applyFont="1" applyFill="1" applyBorder="1" applyAlignment="1">
      <alignment horizontal="right"/>
      <protection/>
    </xf>
    <xf numFmtId="0" fontId="108" fillId="0" borderId="189" xfId="587" applyFont="1" applyFill="1" applyBorder="1">
      <alignment/>
      <protection/>
    </xf>
    <xf numFmtId="3" fontId="68" fillId="0" borderId="22" xfId="587" applyNumberFormat="1" applyFont="1" applyBorder="1">
      <alignment/>
      <protection/>
    </xf>
    <xf numFmtId="3" fontId="68" fillId="0" borderId="63" xfId="587" applyNumberFormat="1" applyFont="1" applyBorder="1">
      <alignment/>
      <protection/>
    </xf>
    <xf numFmtId="0" fontId="108" fillId="0" borderId="0" xfId="587" applyFont="1" applyFill="1" applyBorder="1" applyAlignment="1">
      <alignment horizontal="right"/>
      <protection/>
    </xf>
    <xf numFmtId="0" fontId="108" fillId="0" borderId="140" xfId="587" applyFont="1" applyFill="1" applyBorder="1">
      <alignment/>
      <protection/>
    </xf>
    <xf numFmtId="0" fontId="35" fillId="0" borderId="270" xfId="587" applyFont="1" applyFill="1" applyBorder="1" applyAlignment="1">
      <alignment horizontal="right"/>
      <protection/>
    </xf>
    <xf numFmtId="0" fontId="35" fillId="0" borderId="185" xfId="587" applyFont="1" applyFill="1" applyBorder="1" applyAlignment="1">
      <alignment horizontal="left"/>
      <protection/>
    </xf>
    <xf numFmtId="0" fontId="109" fillId="0" borderId="140" xfId="587" applyFont="1" applyFill="1" applyBorder="1">
      <alignment/>
      <protection/>
    </xf>
    <xf numFmtId="3" fontId="109" fillId="0" borderId="140" xfId="587" applyNumberFormat="1" applyFont="1" applyFill="1" applyBorder="1" applyAlignment="1">
      <alignment horizontal="right"/>
      <protection/>
    </xf>
    <xf numFmtId="3" fontId="108" fillId="30" borderId="88" xfId="587" applyNumberFormat="1" applyFont="1" applyFill="1" applyBorder="1">
      <alignment/>
      <protection/>
    </xf>
    <xf numFmtId="3" fontId="108" fillId="30" borderId="88" xfId="587" applyNumberFormat="1" applyFont="1" applyFill="1" applyBorder="1" applyAlignment="1">
      <alignment horizontal="right"/>
      <protection/>
    </xf>
    <xf numFmtId="3" fontId="108" fillId="0" borderId="209" xfId="587" applyNumberFormat="1" applyFont="1" applyFill="1" applyBorder="1">
      <alignment/>
      <protection/>
    </xf>
    <xf numFmtId="3" fontId="108" fillId="0" borderId="238" xfId="587" applyNumberFormat="1" applyFont="1" applyBorder="1">
      <alignment/>
      <protection/>
    </xf>
    <xf numFmtId="3" fontId="108" fillId="0" borderId="238" xfId="587" applyNumberFormat="1" applyFont="1" applyBorder="1" applyAlignment="1">
      <alignment horizontal="right"/>
      <protection/>
    </xf>
    <xf numFmtId="0" fontId="34" fillId="15" borderId="253" xfId="587" applyFont="1" applyFill="1" applyBorder="1">
      <alignment/>
      <protection/>
    </xf>
    <xf numFmtId="0" fontId="34" fillId="15" borderId="119" xfId="587" applyFont="1" applyFill="1" applyBorder="1">
      <alignment/>
      <protection/>
    </xf>
    <xf numFmtId="3" fontId="35" fillId="0" borderId="270" xfId="587" applyNumberFormat="1" applyFont="1" applyFill="1" applyBorder="1" applyAlignment="1">
      <alignment horizontal="right"/>
      <protection/>
    </xf>
    <xf numFmtId="3" fontId="34" fillId="15" borderId="89" xfId="587" applyNumberFormat="1" applyFont="1" applyFill="1" applyBorder="1">
      <alignment/>
      <protection/>
    </xf>
    <xf numFmtId="3" fontId="108" fillId="30" borderId="170" xfId="587" applyNumberFormat="1" applyFont="1" applyFill="1" applyBorder="1">
      <alignment/>
      <protection/>
    </xf>
    <xf numFmtId="3" fontId="35" fillId="30" borderId="167" xfId="587" applyNumberFormat="1" applyFont="1" applyFill="1" applyBorder="1" applyAlignment="1">
      <alignment horizontal="left"/>
      <protection/>
    </xf>
    <xf numFmtId="3" fontId="34" fillId="15" borderId="239" xfId="587" applyNumberFormat="1" applyFont="1" applyFill="1" applyBorder="1">
      <alignment/>
      <protection/>
    </xf>
    <xf numFmtId="0" fontId="36" fillId="0" borderId="93" xfId="587" applyFont="1" applyFill="1" applyBorder="1" applyAlignment="1">
      <alignment horizontal="left"/>
      <protection/>
    </xf>
    <xf numFmtId="3" fontId="108" fillId="0" borderId="278" xfId="587" applyNumberFormat="1" applyFont="1" applyBorder="1">
      <alignment/>
      <protection/>
    </xf>
    <xf numFmtId="0" fontId="35" fillId="0" borderId="93" xfId="587" applyFont="1" applyFill="1" applyBorder="1" applyAlignment="1">
      <alignment horizontal="left"/>
      <protection/>
    </xf>
    <xf numFmtId="0" fontId="35" fillId="0" borderId="94" xfId="587" applyFont="1" applyFill="1" applyBorder="1" applyAlignment="1">
      <alignment horizontal="right"/>
      <protection/>
    </xf>
    <xf numFmtId="0" fontId="70" fillId="0" borderId="95" xfId="587" applyFont="1" applyFill="1" applyBorder="1">
      <alignment/>
      <protection/>
    </xf>
    <xf numFmtId="0" fontId="73" fillId="0" borderId="95" xfId="587" applyFont="1" applyFill="1" applyBorder="1">
      <alignment/>
      <protection/>
    </xf>
    <xf numFmtId="0" fontId="73" fillId="0" borderId="93" xfId="587" applyFont="1" applyFill="1" applyBorder="1">
      <alignment/>
      <protection/>
    </xf>
    <xf numFmtId="0" fontId="35" fillId="0" borderId="203" xfId="587" applyFont="1" applyBorder="1">
      <alignment/>
      <protection/>
    </xf>
    <xf numFmtId="0" fontId="35" fillId="0" borderId="262" xfId="587" applyFont="1" applyBorder="1">
      <alignment/>
      <protection/>
    </xf>
    <xf numFmtId="0" fontId="73" fillId="0" borderId="93" xfId="587" applyFont="1" applyFill="1" applyBorder="1" applyAlignment="1">
      <alignment horizontal="right"/>
      <protection/>
    </xf>
    <xf numFmtId="0" fontId="35" fillId="0" borderId="93" xfId="587" applyFont="1" applyFill="1" applyBorder="1" applyAlignment="1">
      <alignment horizontal="right"/>
      <protection/>
    </xf>
    <xf numFmtId="0" fontId="35" fillId="0" borderId="279" xfId="587" applyFont="1" applyFill="1" applyBorder="1" applyAlignment="1">
      <alignment horizontal="left"/>
      <protection/>
    </xf>
    <xf numFmtId="3" fontId="35" fillId="0" borderId="280" xfId="587" applyNumberFormat="1" applyFont="1" applyBorder="1" applyAlignment="1">
      <alignment horizontal="left"/>
      <protection/>
    </xf>
    <xf numFmtId="0" fontId="35" fillId="0" borderId="96" xfId="587" applyFont="1" applyFill="1" applyBorder="1" applyAlignment="1">
      <alignment horizontal="left"/>
      <protection/>
    </xf>
    <xf numFmtId="3" fontId="36" fillId="0" borderId="150" xfId="587" applyNumberFormat="1" applyFont="1" applyFill="1" applyBorder="1" applyAlignment="1">
      <alignment horizontal="center"/>
      <protection/>
    </xf>
    <xf numFmtId="0" fontId="108" fillId="0" borderId="96" xfId="587" applyFont="1" applyFill="1" applyBorder="1" applyAlignment="1">
      <alignment horizontal="right"/>
      <protection/>
    </xf>
    <xf numFmtId="0" fontId="73" fillId="0" borderId="203" xfId="587" applyFont="1" applyFill="1" applyBorder="1" applyAlignment="1">
      <alignment horizontal="right"/>
      <protection/>
    </xf>
    <xf numFmtId="3" fontId="68" fillId="0" borderId="281" xfId="587" applyNumberFormat="1" applyFont="1" applyFill="1" applyBorder="1" applyAlignment="1">
      <alignment horizontal="left"/>
      <protection/>
    </xf>
    <xf numFmtId="3" fontId="35" fillId="0" borderId="15" xfId="587" applyNumberFormat="1" applyFont="1" applyFill="1" applyBorder="1" applyAlignment="1">
      <alignment horizontal="left"/>
      <protection/>
    </xf>
    <xf numFmtId="3" fontId="35" fillId="0" borderId="282" xfId="587" applyNumberFormat="1" applyFont="1" applyFill="1" applyBorder="1" applyAlignment="1">
      <alignment horizontal="left"/>
      <protection/>
    </xf>
    <xf numFmtId="3" fontId="108" fillId="0" borderId="278" xfId="587" applyNumberFormat="1" applyFont="1" applyBorder="1" applyAlignment="1">
      <alignment horizontal="right"/>
      <protection/>
    </xf>
    <xf numFmtId="3" fontId="35" fillId="0" borderId="278" xfId="587" applyNumberFormat="1" applyFont="1" applyBorder="1" applyAlignment="1">
      <alignment horizontal="left"/>
      <protection/>
    </xf>
    <xf numFmtId="3" fontId="35" fillId="0" borderId="15" xfId="587" applyNumberFormat="1" applyFont="1" applyFill="1" applyBorder="1" applyAlignment="1">
      <alignment horizontal="left"/>
      <protection/>
    </xf>
    <xf numFmtId="3" fontId="35" fillId="0" borderId="282" xfId="587" applyNumberFormat="1" applyFont="1" applyFill="1" applyBorder="1" applyAlignment="1">
      <alignment horizontal="left"/>
      <protection/>
    </xf>
    <xf numFmtId="3" fontId="35" fillId="0" borderId="22" xfId="587" applyNumberFormat="1" applyFont="1" applyFill="1" applyBorder="1" applyAlignment="1">
      <alignment horizontal="left"/>
      <protection/>
    </xf>
    <xf numFmtId="3" fontId="35" fillId="0" borderId="281" xfId="587" applyNumberFormat="1" applyFont="1" applyFill="1" applyBorder="1" applyAlignment="1">
      <alignment horizontal="left"/>
      <protection/>
    </xf>
    <xf numFmtId="3" fontId="108" fillId="0" borderId="15" xfId="587" applyNumberFormat="1" applyFont="1" applyFill="1" applyBorder="1" applyAlignment="1">
      <alignment horizontal="right"/>
      <protection/>
    </xf>
    <xf numFmtId="3" fontId="108" fillId="0" borderId="282" xfId="587" applyNumberFormat="1" applyFont="1" applyFill="1" applyBorder="1" applyAlignment="1">
      <alignment horizontal="right"/>
      <protection/>
    </xf>
    <xf numFmtId="0" fontId="35" fillId="0" borderId="74" xfId="587" applyFont="1" applyBorder="1" applyAlignment="1">
      <alignment horizontal="left"/>
      <protection/>
    </xf>
    <xf numFmtId="3" fontId="107" fillId="30" borderId="88" xfId="587" applyNumberFormat="1" applyFont="1" applyFill="1" applyBorder="1" applyAlignment="1">
      <alignment horizontal="left"/>
      <protection/>
    </xf>
    <xf numFmtId="3" fontId="107" fillId="0" borderId="238" xfId="587" applyNumberFormat="1" applyFont="1" applyFill="1" applyBorder="1" applyAlignment="1">
      <alignment horizontal="left"/>
      <protection/>
    </xf>
    <xf numFmtId="3" fontId="107" fillId="0" borderId="238" xfId="587" applyNumberFormat="1" applyFont="1" applyBorder="1" applyAlignment="1">
      <alignment horizontal="left"/>
      <protection/>
    </xf>
    <xf numFmtId="3" fontId="110" fillId="0" borderId="238" xfId="587" applyNumberFormat="1" applyFont="1" applyBorder="1" applyAlignment="1">
      <alignment horizontal="right"/>
      <protection/>
    </xf>
    <xf numFmtId="0" fontId="36" fillId="0" borderId="93" xfId="587" applyFont="1" applyBorder="1" applyAlignment="1">
      <alignment horizontal="left"/>
      <protection/>
    </xf>
    <xf numFmtId="0" fontId="36" fillId="0" borderId="0" xfId="587" applyFont="1" applyBorder="1" applyAlignment="1">
      <alignment horizontal="left"/>
      <protection/>
    </xf>
    <xf numFmtId="0" fontId="35" fillId="0" borderId="35" xfId="587" applyFont="1" applyBorder="1" applyAlignment="1">
      <alignment horizontal="left"/>
      <protection/>
    </xf>
    <xf numFmtId="0" fontId="73" fillId="0" borderId="0" xfId="587" applyFont="1" applyFill="1" applyBorder="1">
      <alignment/>
      <protection/>
    </xf>
    <xf numFmtId="3" fontId="110" fillId="0" borderId="0" xfId="587" applyNumberFormat="1" applyFont="1" applyBorder="1" applyAlignment="1">
      <alignment horizontal="right"/>
      <protection/>
    </xf>
    <xf numFmtId="0" fontId="73" fillId="0" borderId="283" xfId="587" applyFont="1" applyFill="1" applyBorder="1" applyAlignment="1">
      <alignment horizontal="right"/>
      <protection/>
    </xf>
    <xf numFmtId="0" fontId="73" fillId="0" borderId="141" xfId="587" applyFont="1" applyFill="1" applyBorder="1">
      <alignment/>
      <protection/>
    </xf>
    <xf numFmtId="3" fontId="68" fillId="0" borderId="141" xfId="587" applyNumberFormat="1" applyFont="1" applyBorder="1">
      <alignment/>
      <protection/>
    </xf>
    <xf numFmtId="0" fontId="73" fillId="0" borderId="95" xfId="587" applyFont="1" applyFill="1" applyBorder="1" applyAlignment="1">
      <alignment horizontal="right"/>
      <protection/>
    </xf>
    <xf numFmtId="0" fontId="73" fillId="0" borderId="85" xfId="587" applyFont="1" applyFill="1" applyBorder="1">
      <alignment/>
      <protection/>
    </xf>
    <xf numFmtId="3" fontId="68" fillId="0" borderId="85" xfId="587" applyNumberFormat="1" applyFont="1" applyBorder="1">
      <alignment/>
      <protection/>
    </xf>
    <xf numFmtId="3" fontId="110" fillId="0" borderId="284" xfId="587" applyNumberFormat="1" applyFont="1" applyBorder="1" applyAlignment="1">
      <alignment horizontal="right"/>
      <protection/>
    </xf>
    <xf numFmtId="3" fontId="107" fillId="0" borderId="285" xfId="587" applyNumberFormat="1" applyFont="1" applyBorder="1" applyAlignment="1">
      <alignment horizontal="left"/>
      <protection/>
    </xf>
    <xf numFmtId="3" fontId="107" fillId="0" borderId="202" xfId="587" applyNumberFormat="1" applyFont="1" applyBorder="1" applyAlignment="1">
      <alignment horizontal="left"/>
      <protection/>
    </xf>
    <xf numFmtId="0" fontId="35" fillId="0" borderId="113" xfId="587" applyFont="1" applyFill="1" applyBorder="1" applyAlignment="1">
      <alignment horizontal="right"/>
      <protection/>
    </xf>
    <xf numFmtId="3" fontId="37" fillId="0" borderId="0" xfId="587" applyNumberFormat="1" applyFont="1" applyFill="1" applyBorder="1">
      <alignment/>
      <protection/>
    </xf>
    <xf numFmtId="0" fontId="35" fillId="0" borderId="270" xfId="587" applyFont="1" applyFill="1" applyBorder="1">
      <alignment/>
      <protection/>
    </xf>
    <xf numFmtId="3" fontId="68" fillId="0" borderId="22" xfId="587" applyNumberFormat="1" applyFont="1" applyFill="1" applyBorder="1" applyAlignment="1">
      <alignment horizontal="right"/>
      <protection/>
    </xf>
    <xf numFmtId="3" fontId="68" fillId="0" borderId="281" xfId="587" applyNumberFormat="1" applyFont="1" applyFill="1" applyBorder="1" applyAlignment="1">
      <alignment horizontal="right"/>
      <protection/>
    </xf>
    <xf numFmtId="0" fontId="35" fillId="0" borderId="0" xfId="587" applyFont="1" applyFill="1" applyBorder="1">
      <alignment/>
      <protection/>
    </xf>
    <xf numFmtId="3" fontId="68" fillId="0" borderId="0" xfId="587" applyNumberFormat="1" applyFont="1" applyFill="1" applyBorder="1" applyAlignment="1">
      <alignment horizontal="left"/>
      <protection/>
    </xf>
    <xf numFmtId="3" fontId="68" fillId="0" borderId="0" xfId="587" applyNumberFormat="1" applyFont="1" applyFill="1" applyBorder="1" applyAlignment="1">
      <alignment horizontal="right"/>
      <protection/>
    </xf>
    <xf numFmtId="0" fontId="35" fillId="0" borderId="207" xfId="587" applyFont="1" applyFill="1" applyBorder="1">
      <alignment/>
      <protection/>
    </xf>
    <xf numFmtId="3" fontId="68" fillId="0" borderId="140" xfId="587" applyNumberFormat="1" applyFont="1" applyFill="1" applyBorder="1" applyAlignment="1">
      <alignment horizontal="right"/>
      <protection/>
    </xf>
    <xf numFmtId="3" fontId="68" fillId="50" borderId="0" xfId="587" applyNumberFormat="1" applyFont="1" applyFill="1" applyBorder="1" applyAlignment="1">
      <alignment horizontal="left"/>
      <protection/>
    </xf>
    <xf numFmtId="3" fontId="68" fillId="51" borderId="0" xfId="587" applyNumberFormat="1" applyFont="1" applyFill="1" applyBorder="1" applyAlignment="1">
      <alignment horizontal="right"/>
      <protection/>
    </xf>
    <xf numFmtId="3" fontId="68" fillId="0" borderId="140" xfId="587" applyNumberFormat="1" applyFont="1" applyBorder="1" applyAlignment="1">
      <alignment horizontal="left"/>
      <protection/>
    </xf>
    <xf numFmtId="3" fontId="36" fillId="9" borderId="0" xfId="589" applyNumberFormat="1" applyFont="1" applyBorder="1" applyAlignment="1">
      <alignment/>
    </xf>
    <xf numFmtId="3" fontId="108" fillId="0" borderId="0" xfId="587" applyNumberFormat="1" applyFont="1" applyBorder="1">
      <alignment/>
      <protection/>
    </xf>
    <xf numFmtId="3" fontId="108" fillId="0" borderId="0" xfId="587" applyNumberFormat="1" applyFont="1" applyBorder="1" applyAlignment="1">
      <alignment horizontal="right"/>
      <protection/>
    </xf>
    <xf numFmtId="3" fontId="107" fillId="0" borderId="0" xfId="587" applyNumberFormat="1" applyFont="1" applyBorder="1" applyAlignment="1">
      <alignment horizontal="left"/>
      <protection/>
    </xf>
    <xf numFmtId="3" fontId="35" fillId="0" borderId="0" xfId="587" applyNumberFormat="1" applyFont="1" applyFill="1" applyBorder="1" applyAlignment="1">
      <alignment horizontal="left"/>
      <protection/>
    </xf>
    <xf numFmtId="3" fontId="108" fillId="0" borderId="0" xfId="587" applyNumberFormat="1" applyFont="1" applyFill="1" applyBorder="1" applyAlignment="1">
      <alignment horizontal="right"/>
      <protection/>
    </xf>
    <xf numFmtId="0" fontId="34" fillId="52" borderId="0" xfId="587" applyFont="1" applyFill="1" applyBorder="1">
      <alignment/>
      <protection/>
    </xf>
    <xf numFmtId="3" fontId="34" fillId="52" borderId="0" xfId="587" applyNumberFormat="1" applyFont="1" applyFill="1" applyBorder="1" applyAlignment="1">
      <alignment horizontal="right"/>
      <protection/>
    </xf>
    <xf numFmtId="3" fontId="34" fillId="52" borderId="0" xfId="587" applyNumberFormat="1" applyFont="1" applyFill="1" applyBorder="1">
      <alignment/>
      <protection/>
    </xf>
    <xf numFmtId="0" fontId="36" fillId="51" borderId="0" xfId="589" applyFont="1" applyFill="1" applyBorder="1" applyAlignment="1">
      <alignment/>
    </xf>
    <xf numFmtId="3" fontId="36" fillId="51" borderId="0" xfId="589" applyNumberFormat="1" applyFont="1" applyFill="1" applyBorder="1" applyAlignment="1">
      <alignment horizontal="right"/>
    </xf>
    <xf numFmtId="3" fontId="36" fillId="51" borderId="0" xfId="589" applyNumberFormat="1" applyFont="1" applyFill="1" applyBorder="1" applyAlignment="1">
      <alignment/>
    </xf>
    <xf numFmtId="0" fontId="109" fillId="50" borderId="0" xfId="587" applyFont="1" applyFill="1" applyBorder="1">
      <alignment/>
      <protection/>
    </xf>
    <xf numFmtId="3" fontId="109" fillId="50" borderId="0" xfId="587" applyNumberFormat="1" applyFont="1" applyFill="1" applyBorder="1" applyAlignment="1">
      <alignment horizontal="right"/>
      <protection/>
    </xf>
    <xf numFmtId="3" fontId="109" fillId="50" borderId="0" xfId="587" applyNumberFormat="1" applyFont="1" applyFill="1" applyBorder="1">
      <alignment/>
      <protection/>
    </xf>
    <xf numFmtId="3" fontId="111" fillId="52" borderId="0" xfId="584" applyNumberFormat="1" applyFont="1" applyFill="1" applyBorder="1" applyAlignment="1">
      <alignment/>
    </xf>
    <xf numFmtId="3" fontId="108" fillId="50" borderId="0" xfId="587" applyNumberFormat="1" applyFont="1" applyFill="1" applyBorder="1">
      <alignment/>
      <protection/>
    </xf>
    <xf numFmtId="0" fontId="35" fillId="50" borderId="0" xfId="587" applyFont="1" applyFill="1" applyBorder="1" applyAlignment="1">
      <alignment horizontal="right"/>
      <protection/>
    </xf>
    <xf numFmtId="0" fontId="35" fillId="50" borderId="0" xfId="587" applyFont="1" applyFill="1" applyBorder="1" applyAlignment="1">
      <alignment horizontal="left"/>
      <protection/>
    </xf>
    <xf numFmtId="3" fontId="35" fillId="50" borderId="0" xfId="587" applyNumberFormat="1" applyFont="1" applyFill="1" applyBorder="1">
      <alignment/>
      <protection/>
    </xf>
    <xf numFmtId="3" fontId="35" fillId="51" borderId="0" xfId="587" applyNumberFormat="1" applyFont="1" applyFill="1" applyBorder="1" applyAlignment="1">
      <alignment horizontal="left"/>
      <protection/>
    </xf>
    <xf numFmtId="0" fontId="35" fillId="50" borderId="0" xfId="587" applyFont="1" applyFill="1" applyBorder="1">
      <alignment/>
      <protection/>
    </xf>
    <xf numFmtId="3" fontId="68" fillId="50" borderId="0" xfId="587" applyNumberFormat="1" applyFont="1" applyFill="1" applyBorder="1">
      <alignment/>
      <protection/>
    </xf>
    <xf numFmtId="0" fontId="108" fillId="50" borderId="0" xfId="587" applyFont="1" applyFill="1" applyBorder="1" applyAlignment="1">
      <alignment horizontal="right"/>
      <protection/>
    </xf>
    <xf numFmtId="0" fontId="108" fillId="50" borderId="0" xfId="587" applyFont="1" applyFill="1" applyBorder="1">
      <alignment/>
      <protection/>
    </xf>
    <xf numFmtId="3" fontId="108" fillId="51" borderId="0" xfId="587" applyNumberFormat="1" applyFont="1" applyFill="1" applyBorder="1">
      <alignment/>
      <protection/>
    </xf>
    <xf numFmtId="0" fontId="70" fillId="50" borderId="0" xfId="587" applyFont="1" applyFill="1" applyBorder="1">
      <alignment/>
      <protection/>
    </xf>
    <xf numFmtId="0" fontId="73" fillId="50" borderId="0" xfId="587" applyFont="1" applyFill="1" applyBorder="1">
      <alignment/>
      <protection/>
    </xf>
    <xf numFmtId="0" fontId="35" fillId="50" borderId="0" xfId="587" applyFont="1" applyFill="1" applyBorder="1">
      <alignment/>
      <protection/>
    </xf>
    <xf numFmtId="172" fontId="35" fillId="50" borderId="0" xfId="425" applyFont="1" applyFill="1" applyBorder="1" applyAlignment="1" applyProtection="1">
      <alignment horizontal="left"/>
      <protection/>
    </xf>
    <xf numFmtId="49" fontId="35" fillId="50" borderId="0" xfId="587" applyNumberFormat="1" applyFont="1" applyFill="1" applyBorder="1" applyAlignment="1">
      <alignment horizontal="center"/>
      <protection/>
    </xf>
    <xf numFmtId="3" fontId="108" fillId="51" borderId="0" xfId="587" applyNumberFormat="1" applyFont="1" applyFill="1" applyBorder="1" applyAlignment="1">
      <alignment horizontal="right"/>
      <protection/>
    </xf>
    <xf numFmtId="0" fontId="73" fillId="50" borderId="0" xfId="587" applyFont="1" applyFill="1" applyBorder="1" applyAlignment="1">
      <alignment horizontal="right"/>
      <protection/>
    </xf>
    <xf numFmtId="3" fontId="110" fillId="51" borderId="0" xfId="587" applyNumberFormat="1" applyFont="1" applyFill="1" applyBorder="1" applyAlignment="1">
      <alignment horizontal="right"/>
      <protection/>
    </xf>
    <xf numFmtId="3" fontId="107" fillId="51" borderId="0" xfId="587" applyNumberFormat="1" applyFont="1" applyFill="1" applyBorder="1" applyAlignment="1">
      <alignment horizontal="left"/>
      <protection/>
    </xf>
    <xf numFmtId="3" fontId="35" fillId="50" borderId="0" xfId="587" applyNumberFormat="1" applyFont="1" applyFill="1" applyBorder="1" applyAlignment="1">
      <alignment horizontal="right"/>
      <protection/>
    </xf>
    <xf numFmtId="3" fontId="35" fillId="50" borderId="0" xfId="587" applyNumberFormat="1" applyFont="1" applyFill="1" applyBorder="1" applyAlignment="1">
      <alignment horizontal="right"/>
      <protection/>
    </xf>
    <xf numFmtId="3" fontId="35" fillId="51" borderId="0" xfId="587" applyNumberFormat="1" applyFont="1" applyFill="1" applyBorder="1" applyAlignment="1">
      <alignment horizontal="left"/>
      <protection/>
    </xf>
    <xf numFmtId="3" fontId="68" fillId="51" borderId="0" xfId="587" applyNumberFormat="1" applyFont="1" applyFill="1" applyBorder="1" applyAlignment="1">
      <alignment horizontal="left"/>
      <protection/>
    </xf>
    <xf numFmtId="0" fontId="5" fillId="50" borderId="0" xfId="587" applyFont="1" applyFill="1" applyBorder="1">
      <alignment/>
      <protection/>
    </xf>
    <xf numFmtId="4" fontId="5" fillId="50" borderId="0" xfId="587" applyNumberFormat="1" applyFont="1" applyFill="1" applyBorder="1">
      <alignment/>
      <protection/>
    </xf>
    <xf numFmtId="3" fontId="35" fillId="53" borderId="52" xfId="587" applyNumberFormat="1" applyFont="1" applyFill="1" applyBorder="1">
      <alignment/>
      <protection/>
    </xf>
    <xf numFmtId="0" fontId="73" fillId="0" borderId="262" xfId="587" applyFont="1" applyFill="1" applyBorder="1" applyAlignment="1">
      <alignment horizontal="right"/>
      <protection/>
    </xf>
    <xf numFmtId="0" fontId="73" fillId="0" borderId="286" xfId="587" applyFont="1" applyFill="1" applyBorder="1">
      <alignment/>
      <protection/>
    </xf>
    <xf numFmtId="173" fontId="35" fillId="0" borderId="0" xfId="587" applyNumberFormat="1" applyFont="1" applyFill="1" applyBorder="1" applyAlignment="1">
      <alignment horizontal="right"/>
      <protection/>
    </xf>
    <xf numFmtId="2" fontId="5" fillId="0" borderId="0" xfId="587" applyNumberFormat="1" applyFont="1" applyFill="1" applyBorder="1">
      <alignment/>
      <protection/>
    </xf>
    <xf numFmtId="2" fontId="5" fillId="0" borderId="0" xfId="587" applyNumberFormat="1" applyFont="1" applyFill="1" applyBorder="1" applyAlignment="1">
      <alignment/>
      <protection/>
    </xf>
    <xf numFmtId="0" fontId="112" fillId="0" borderId="177" xfId="587" applyFont="1" applyFill="1" applyBorder="1">
      <alignment/>
      <protection/>
    </xf>
    <xf numFmtId="0" fontId="112" fillId="0" borderId="14" xfId="587" applyFont="1" applyFill="1" applyBorder="1">
      <alignment/>
      <protection/>
    </xf>
    <xf numFmtId="4" fontId="36" fillId="0" borderId="0" xfId="587" applyNumberFormat="1" applyFont="1" applyFill="1" applyBorder="1" applyAlignment="1">
      <alignment/>
      <protection/>
    </xf>
    <xf numFmtId="3" fontId="43" fillId="0" borderId="59" xfId="0" applyNumberFormat="1" applyFont="1" applyFill="1" applyBorder="1" applyAlignment="1">
      <alignment/>
    </xf>
    <xf numFmtId="3" fontId="54" fillId="7" borderId="41" xfId="0" applyNumberFormat="1" applyFont="1" applyFill="1" applyBorder="1" applyAlignment="1">
      <alignment/>
    </xf>
    <xf numFmtId="3" fontId="51" fillId="7" borderId="63" xfId="0" applyNumberFormat="1" applyFont="1" applyFill="1" applyBorder="1" applyAlignment="1">
      <alignment/>
    </xf>
    <xf numFmtId="3" fontId="60" fillId="8" borderId="88" xfId="0" applyNumberFormat="1" applyFont="1" applyFill="1" applyBorder="1" applyAlignment="1">
      <alignment horizontal="left"/>
    </xf>
    <xf numFmtId="3" fontId="43" fillId="8" borderId="88" xfId="0" applyNumberFormat="1" applyFont="1" applyFill="1" applyBorder="1" applyAlignment="1">
      <alignment horizontal="left"/>
    </xf>
    <xf numFmtId="3" fontId="49" fillId="7" borderId="128" xfId="0" applyNumberFormat="1" applyFont="1" applyFill="1" applyBorder="1" applyAlignment="1">
      <alignment/>
    </xf>
    <xf numFmtId="3" fontId="68" fillId="0" borderId="193" xfId="587" applyNumberFormat="1" applyFont="1" applyBorder="1" applyAlignment="1">
      <alignment horizontal="left"/>
      <protection/>
    </xf>
    <xf numFmtId="0" fontId="54" fillId="15" borderId="36" xfId="0" applyFont="1" applyFill="1" applyBorder="1" applyAlignment="1">
      <alignment/>
    </xf>
    <xf numFmtId="0" fontId="54" fillId="15" borderId="58" xfId="0" applyFont="1" applyFill="1" applyBorder="1" applyAlignment="1">
      <alignment/>
    </xf>
    <xf numFmtId="3" fontId="49" fillId="15" borderId="287" xfId="423" applyNumberFormat="1" applyFont="1" applyFill="1" applyBorder="1" applyAlignment="1">
      <alignment horizontal="center"/>
    </xf>
    <xf numFmtId="3" fontId="49" fillId="15" borderId="59" xfId="0" applyNumberFormat="1" applyFont="1" applyFill="1" applyBorder="1" applyAlignment="1">
      <alignment/>
    </xf>
    <xf numFmtId="3" fontId="49" fillId="15" borderId="56" xfId="0" applyNumberFormat="1" applyFont="1" applyFill="1" applyBorder="1" applyAlignment="1">
      <alignment/>
    </xf>
    <xf numFmtId="0" fontId="0" fillId="0" borderId="92" xfId="0" applyFont="1" applyBorder="1" applyAlignment="1">
      <alignment/>
    </xf>
    <xf numFmtId="0" fontId="0" fillId="0" borderId="85" xfId="0" applyFont="1" applyBorder="1" applyAlignment="1">
      <alignment/>
    </xf>
    <xf numFmtId="3" fontId="43" fillId="0" borderId="90" xfId="0" applyNumberFormat="1" applyFont="1" applyBorder="1" applyAlignment="1">
      <alignment/>
    </xf>
    <xf numFmtId="3" fontId="43" fillId="0" borderId="82" xfId="0" applyNumberFormat="1" applyFont="1" applyBorder="1" applyAlignment="1">
      <alignment/>
    </xf>
    <xf numFmtId="3" fontId="43" fillId="0" borderId="84" xfId="0" applyNumberFormat="1" applyFont="1" applyBorder="1" applyAlignment="1">
      <alignment/>
    </xf>
    <xf numFmtId="3" fontId="43" fillId="0" borderId="288" xfId="0" applyNumberFormat="1" applyFont="1" applyBorder="1" applyAlignment="1">
      <alignment/>
    </xf>
    <xf numFmtId="49" fontId="35" fillId="0" borderId="269" xfId="587" applyNumberFormat="1" applyFont="1" applyFill="1" applyBorder="1" applyAlignment="1">
      <alignment horizontal="center"/>
      <protection/>
    </xf>
    <xf numFmtId="3" fontId="35" fillId="53" borderId="128" xfId="587" applyNumberFormat="1" applyFont="1" applyFill="1" applyBorder="1" applyAlignment="1">
      <alignment horizontal="right"/>
      <protection/>
    </xf>
    <xf numFmtId="3" fontId="112" fillId="53" borderId="52" xfId="587" applyNumberFormat="1" applyFont="1" applyFill="1" applyBorder="1" applyAlignment="1">
      <alignment horizontal="left"/>
      <protection/>
    </xf>
    <xf numFmtId="3" fontId="35" fillId="53" borderId="52" xfId="587" applyNumberFormat="1" applyFont="1" applyFill="1" applyBorder="1" applyAlignment="1">
      <alignment horizontal="left"/>
      <protection/>
    </xf>
    <xf numFmtId="3" fontId="35" fillId="0" borderId="22" xfId="587" applyNumberFormat="1" applyFont="1" applyFill="1" applyBorder="1">
      <alignment/>
      <protection/>
    </xf>
    <xf numFmtId="3" fontId="107" fillId="0" borderId="22" xfId="587" applyNumberFormat="1" applyFont="1" applyFill="1" applyBorder="1">
      <alignment/>
      <protection/>
    </xf>
    <xf numFmtId="3" fontId="68" fillId="0" borderId="22" xfId="587" applyNumberFormat="1" applyFont="1" applyFill="1" applyBorder="1" applyAlignment="1">
      <alignment horizontal="right"/>
      <protection/>
    </xf>
    <xf numFmtId="3" fontId="68" fillId="0" borderId="15" xfId="587" applyNumberFormat="1" applyFont="1" applyFill="1" applyBorder="1" applyAlignment="1">
      <alignment horizontal="left"/>
      <protection/>
    </xf>
    <xf numFmtId="3" fontId="35" fillId="0" borderId="15" xfId="587" applyNumberFormat="1" applyFont="1" applyFill="1" applyBorder="1">
      <alignment/>
      <protection/>
    </xf>
    <xf numFmtId="3" fontId="36" fillId="8" borderId="15" xfId="587" applyNumberFormat="1" applyFont="1" applyFill="1" applyBorder="1">
      <alignment/>
      <protection/>
    </xf>
    <xf numFmtId="3" fontId="70" fillId="0" borderId="15" xfId="587" applyNumberFormat="1" applyFont="1" applyFill="1" applyBorder="1">
      <alignment/>
      <protection/>
    </xf>
    <xf numFmtId="3" fontId="73" fillId="0" borderId="15" xfId="587" applyNumberFormat="1" applyFont="1" applyFill="1" applyBorder="1" applyAlignment="1">
      <alignment horizontal="right"/>
      <protection/>
    </xf>
    <xf numFmtId="3" fontId="73" fillId="0" borderId="15" xfId="587" applyNumberFormat="1" applyFont="1" applyFill="1" applyBorder="1">
      <alignment/>
      <protection/>
    </xf>
    <xf numFmtId="3" fontId="5" fillId="0" borderId="15" xfId="587" applyNumberFormat="1" applyFont="1" applyBorder="1">
      <alignment/>
      <protection/>
    </xf>
    <xf numFmtId="3" fontId="35" fillId="0" borderId="120" xfId="587" applyNumberFormat="1" applyFont="1" applyFill="1" applyBorder="1">
      <alignment/>
      <protection/>
    </xf>
    <xf numFmtId="3" fontId="30" fillId="0" borderId="0" xfId="587" applyNumberFormat="1" applyFont="1" applyFill="1" applyBorder="1" applyAlignment="1">
      <alignment horizontal="center" vertical="center"/>
      <protection/>
    </xf>
    <xf numFmtId="3" fontId="0" fillId="0" borderId="0" xfId="0" applyNumberFormat="1" applyBorder="1" applyAlignment="1">
      <alignment/>
    </xf>
    <xf numFmtId="3" fontId="68" fillId="0" borderId="15" xfId="587" applyNumberFormat="1" applyFont="1" applyFill="1" applyBorder="1" applyAlignment="1">
      <alignment horizontal="right"/>
      <protection/>
    </xf>
    <xf numFmtId="3" fontId="34" fillId="15" borderId="15" xfId="587" applyNumberFormat="1" applyFont="1" applyFill="1" applyBorder="1" applyAlignment="1">
      <alignment horizontal="right"/>
      <protection/>
    </xf>
    <xf numFmtId="3" fontId="30" fillId="0" borderId="72" xfId="587" applyNumberFormat="1" applyFont="1" applyFill="1" applyBorder="1" applyAlignment="1">
      <alignment horizontal="center" vertical="center"/>
      <protection/>
    </xf>
    <xf numFmtId="3" fontId="35" fillId="0" borderId="207" xfId="587" applyNumberFormat="1" applyFont="1" applyFill="1" applyBorder="1">
      <alignment/>
      <protection/>
    </xf>
    <xf numFmtId="3" fontId="35" fillId="0" borderId="177" xfId="587" applyNumberFormat="1" applyFont="1" applyFill="1" applyBorder="1" applyAlignment="1">
      <alignment horizontal="left"/>
      <protection/>
    </xf>
    <xf numFmtId="3" fontId="34" fillId="15" borderId="131" xfId="587" applyNumberFormat="1" applyFont="1" applyFill="1" applyBorder="1" applyAlignment="1">
      <alignment horizontal="right"/>
      <protection/>
    </xf>
    <xf numFmtId="3" fontId="35" fillId="0" borderId="19" xfId="587" applyNumberFormat="1" applyFont="1" applyBorder="1">
      <alignment/>
      <protection/>
    </xf>
    <xf numFmtId="3" fontId="34" fillId="15" borderId="28" xfId="587" applyNumberFormat="1" applyFont="1" applyFill="1" applyBorder="1">
      <alignment/>
      <protection/>
    </xf>
    <xf numFmtId="3" fontId="34" fillId="15" borderId="51" xfId="587" applyNumberFormat="1" applyFont="1" applyFill="1" applyBorder="1">
      <alignment/>
      <protection/>
    </xf>
    <xf numFmtId="3" fontId="35" fillId="30" borderId="51" xfId="587" applyNumberFormat="1" applyFont="1" applyFill="1" applyBorder="1">
      <alignment/>
      <protection/>
    </xf>
    <xf numFmtId="3" fontId="35" fillId="0" borderId="149" xfId="587" applyNumberFormat="1" applyFont="1" applyBorder="1">
      <alignment/>
      <protection/>
    </xf>
    <xf numFmtId="3" fontId="35" fillId="0" borderId="289" xfId="587" applyNumberFormat="1" applyFont="1" applyBorder="1">
      <alignment/>
      <protection/>
    </xf>
    <xf numFmtId="3" fontId="35" fillId="0" borderId="290" xfId="587" applyNumberFormat="1" applyFont="1" applyBorder="1">
      <alignment/>
      <protection/>
    </xf>
    <xf numFmtId="3" fontId="36" fillId="4" borderId="59" xfId="587" applyNumberFormat="1" applyFont="1" applyFill="1" applyBorder="1" applyAlignment="1">
      <alignment horizontal="right"/>
      <protection/>
    </xf>
    <xf numFmtId="0" fontId="33" fillId="15" borderId="100" xfId="587" applyFont="1" applyFill="1" applyBorder="1">
      <alignment/>
      <protection/>
    </xf>
    <xf numFmtId="0" fontId="68" fillId="0" borderId="93" xfId="587" applyFont="1" applyFill="1" applyBorder="1">
      <alignment/>
      <protection/>
    </xf>
    <xf numFmtId="0" fontId="30" fillId="4" borderId="289" xfId="587" applyFont="1" applyFill="1" applyBorder="1">
      <alignment/>
      <protection/>
    </xf>
    <xf numFmtId="3" fontId="36" fillId="4" borderId="215" xfId="587" applyNumberFormat="1" applyFont="1" applyFill="1" applyBorder="1" applyAlignment="1">
      <alignment horizontal="right"/>
      <protection/>
    </xf>
    <xf numFmtId="3" fontId="36" fillId="4" borderId="258" xfId="587" applyNumberFormat="1" applyFont="1" applyFill="1" applyBorder="1" applyAlignment="1">
      <alignment horizontal="right"/>
      <protection/>
    </xf>
    <xf numFmtId="3" fontId="35" fillId="0" borderId="51" xfId="587" applyNumberFormat="1" applyFont="1" applyBorder="1">
      <alignment/>
      <protection/>
    </xf>
    <xf numFmtId="3" fontId="35" fillId="0" borderId="51" xfId="587" applyNumberFormat="1" applyFont="1" applyBorder="1" applyAlignment="1">
      <alignment horizontal="right"/>
      <protection/>
    </xf>
    <xf numFmtId="3" fontId="34" fillId="15" borderId="72" xfId="587" applyNumberFormat="1" applyFont="1" applyFill="1" applyBorder="1">
      <alignment/>
      <protection/>
    </xf>
    <xf numFmtId="3" fontId="35" fillId="0" borderId="15" xfId="587" applyNumberFormat="1" applyFont="1" applyFill="1" applyBorder="1">
      <alignment/>
      <protection/>
    </xf>
    <xf numFmtId="3" fontId="35" fillId="0" borderId="178" xfId="587" applyNumberFormat="1" applyFont="1" applyFill="1" applyBorder="1" applyAlignment="1">
      <alignment horizontal="left"/>
      <protection/>
    </xf>
    <xf numFmtId="3" fontId="35" fillId="30" borderId="291" xfId="587" applyNumberFormat="1" applyFont="1" applyFill="1" applyBorder="1">
      <alignment/>
      <protection/>
    </xf>
    <xf numFmtId="3" fontId="34" fillId="15" borderId="282" xfId="587" applyNumberFormat="1" applyFont="1" applyFill="1" applyBorder="1">
      <alignment/>
      <protection/>
    </xf>
    <xf numFmtId="3" fontId="34" fillId="15" borderId="292" xfId="587" applyNumberFormat="1" applyFont="1" applyFill="1" applyBorder="1">
      <alignment/>
      <protection/>
    </xf>
    <xf numFmtId="3" fontId="35" fillId="0" borderId="291" xfId="587" applyNumberFormat="1" applyFont="1" applyBorder="1" applyAlignment="1">
      <alignment horizontal="left"/>
      <protection/>
    </xf>
    <xf numFmtId="0" fontId="35" fillId="0" borderId="207" xfId="587" applyFont="1" applyBorder="1">
      <alignment/>
      <protection/>
    </xf>
    <xf numFmtId="0" fontId="73" fillId="0" borderId="270" xfId="587" applyFont="1" applyFill="1" applyBorder="1">
      <alignment/>
      <protection/>
    </xf>
    <xf numFmtId="0" fontId="73" fillId="0" borderId="96" xfId="587" applyFont="1" applyFill="1" applyBorder="1" applyAlignment="1">
      <alignment horizontal="right"/>
      <protection/>
    </xf>
    <xf numFmtId="0" fontId="68" fillId="0" borderId="96" xfId="587" applyFont="1" applyFill="1" applyBorder="1">
      <alignment/>
      <protection/>
    </xf>
    <xf numFmtId="0" fontId="34" fillId="15" borderId="267" xfId="587" applyFont="1" applyFill="1" applyBorder="1">
      <alignment/>
      <protection/>
    </xf>
    <xf numFmtId="3" fontId="36" fillId="4" borderId="206" xfId="587" applyNumberFormat="1" applyFont="1" applyFill="1" applyBorder="1" applyAlignment="1">
      <alignment horizontal="right"/>
      <protection/>
    </xf>
    <xf numFmtId="3" fontId="36" fillId="53" borderId="90" xfId="589" applyNumberFormat="1" applyFont="1" applyFill="1" applyBorder="1" applyAlignment="1">
      <alignment horizontal="right"/>
    </xf>
    <xf numFmtId="3" fontId="36" fillId="53" borderId="140" xfId="589" applyNumberFormat="1" applyFont="1" applyFill="1" applyBorder="1" applyAlignment="1">
      <alignment horizontal="right"/>
    </xf>
    <xf numFmtId="3" fontId="36" fillId="53" borderId="209" xfId="589" applyNumberFormat="1" applyFont="1" applyFill="1" applyBorder="1" applyAlignment="1">
      <alignment horizontal="right"/>
    </xf>
    <xf numFmtId="3" fontId="36" fillId="53" borderId="140" xfId="589" applyNumberFormat="1" applyFont="1" applyFill="1" applyBorder="1" applyAlignment="1">
      <alignment/>
    </xf>
    <xf numFmtId="3" fontId="36" fillId="53" borderId="92" xfId="589" applyNumberFormat="1" applyFont="1" applyFill="1" applyBorder="1" applyAlignment="1">
      <alignment/>
    </xf>
    <xf numFmtId="3" fontId="36" fillId="53" borderId="90" xfId="589" applyNumberFormat="1" applyFont="1" applyFill="1" applyBorder="1" applyAlignment="1">
      <alignment/>
    </xf>
    <xf numFmtId="3" fontId="36" fillId="53" borderId="209" xfId="589" applyNumberFormat="1" applyFont="1" applyFill="1" applyBorder="1" applyAlignment="1">
      <alignment/>
    </xf>
    <xf numFmtId="0" fontId="36" fillId="53" borderId="130" xfId="589" applyFont="1" applyFill="1" applyBorder="1" applyAlignment="1">
      <alignment/>
    </xf>
    <xf numFmtId="0" fontId="36" fillId="53" borderId="140" xfId="589" applyFont="1" applyFill="1" applyBorder="1" applyAlignment="1">
      <alignment/>
    </xf>
    <xf numFmtId="3" fontId="5" fillId="35" borderId="90" xfId="587" applyNumberFormat="1" applyFont="1" applyFill="1" applyBorder="1">
      <alignment/>
      <protection/>
    </xf>
    <xf numFmtId="3" fontId="36" fillId="4" borderId="61" xfId="587" applyNumberFormat="1" applyFont="1" applyFill="1" applyBorder="1" applyAlignment="1">
      <alignment horizontal="right"/>
      <protection/>
    </xf>
    <xf numFmtId="3" fontId="79" fillId="15" borderId="54" xfId="587" applyNumberFormat="1" applyFont="1" applyFill="1" applyBorder="1" applyAlignment="1">
      <alignment horizontal="center" vertical="top"/>
      <protection/>
    </xf>
    <xf numFmtId="3" fontId="36" fillId="0" borderId="234" xfId="587" applyNumberFormat="1" applyFont="1" applyFill="1" applyBorder="1" applyAlignment="1">
      <alignment horizontal="right"/>
      <protection/>
    </xf>
    <xf numFmtId="3" fontId="36" fillId="0" borderId="179" xfId="587" applyNumberFormat="1" applyFont="1" applyFill="1" applyBorder="1" applyAlignment="1">
      <alignment horizontal="right"/>
      <protection/>
    </xf>
    <xf numFmtId="0" fontId="30" fillId="7" borderId="69" xfId="587" applyFont="1" applyFill="1" applyBorder="1" applyAlignment="1">
      <alignment horizontal="center" vertical="center"/>
      <protection/>
    </xf>
    <xf numFmtId="0" fontId="88" fillId="15" borderId="96" xfId="587" applyFont="1" applyFill="1" applyBorder="1">
      <alignment/>
      <protection/>
    </xf>
    <xf numFmtId="3" fontId="35" fillId="0" borderId="149" xfId="587" applyNumberFormat="1" applyFont="1" applyFill="1" applyBorder="1" applyAlignment="1">
      <alignment horizontal="left"/>
      <protection/>
    </xf>
    <xf numFmtId="3" fontId="35" fillId="0" borderId="289" xfId="587" applyNumberFormat="1" applyFont="1" applyBorder="1" applyAlignment="1">
      <alignment horizontal="right"/>
      <protection/>
    </xf>
    <xf numFmtId="3" fontId="36" fillId="0" borderId="289" xfId="587" applyNumberFormat="1" applyFont="1" applyBorder="1">
      <alignment/>
      <protection/>
    </xf>
    <xf numFmtId="3" fontId="35" fillId="0" borderId="293" xfId="587" applyNumberFormat="1" applyFont="1" applyBorder="1" applyAlignment="1">
      <alignment horizontal="right"/>
      <protection/>
    </xf>
    <xf numFmtId="0" fontId="88" fillId="15" borderId="99" xfId="587" applyFont="1" applyFill="1" applyBorder="1">
      <alignment/>
      <protection/>
    </xf>
    <xf numFmtId="0" fontId="88" fillId="15" borderId="100" xfId="587" applyFont="1" applyFill="1" applyBorder="1">
      <alignment/>
      <protection/>
    </xf>
    <xf numFmtId="0" fontId="88" fillId="15" borderId="265" xfId="587" applyFont="1" applyFill="1" applyBorder="1">
      <alignment/>
      <protection/>
    </xf>
    <xf numFmtId="3" fontId="79" fillId="15" borderId="266" xfId="587" applyNumberFormat="1" applyFont="1" applyFill="1" applyBorder="1" applyAlignment="1">
      <alignment horizontal="right"/>
      <protection/>
    </xf>
    <xf numFmtId="4" fontId="79" fillId="15" borderId="266" xfId="587" applyNumberFormat="1" applyFont="1" applyFill="1" applyBorder="1" applyAlignment="1">
      <alignment horizontal="right"/>
      <protection/>
    </xf>
    <xf numFmtId="3" fontId="79" fillId="15" borderId="274" xfId="587" applyNumberFormat="1" applyFont="1" applyFill="1" applyBorder="1" applyAlignment="1">
      <alignment horizontal="center"/>
      <protection/>
    </xf>
    <xf numFmtId="3" fontId="79" fillId="15" borderId="205" xfId="587" applyNumberFormat="1" applyFont="1" applyFill="1" applyBorder="1" applyAlignment="1">
      <alignment horizontal="right"/>
      <protection/>
    </xf>
    <xf numFmtId="3" fontId="34" fillId="4" borderId="289" xfId="587" applyNumberFormat="1" applyFont="1" applyFill="1" applyBorder="1" applyAlignment="1">
      <alignment horizontal="right"/>
      <protection/>
    </xf>
    <xf numFmtId="4" fontId="34" fillId="4" borderId="289" xfId="587" applyNumberFormat="1" applyFont="1" applyFill="1" applyBorder="1" applyAlignment="1">
      <alignment horizontal="right"/>
      <protection/>
    </xf>
    <xf numFmtId="3" fontId="34" fillId="4" borderId="289" xfId="587" applyNumberFormat="1" applyFont="1" applyFill="1" applyBorder="1" applyAlignment="1">
      <alignment horizontal="center"/>
      <protection/>
    </xf>
    <xf numFmtId="3" fontId="34" fillId="4" borderId="206" xfId="587" applyNumberFormat="1" applyFont="1" applyFill="1" applyBorder="1" applyAlignment="1">
      <alignment horizontal="center"/>
      <protection/>
    </xf>
    <xf numFmtId="3" fontId="35" fillId="0" borderId="289" xfId="587" applyNumberFormat="1" applyFont="1" applyFill="1" applyBorder="1" applyAlignment="1">
      <alignment horizontal="right"/>
      <protection/>
    </xf>
    <xf numFmtId="3" fontId="36" fillId="0" borderId="289" xfId="587" applyNumberFormat="1" applyFont="1" applyFill="1" applyBorder="1" applyAlignment="1">
      <alignment horizontal="right"/>
      <protection/>
    </xf>
    <xf numFmtId="3" fontId="34" fillId="15" borderId="266" xfId="587" applyNumberFormat="1" applyFont="1" applyFill="1" applyBorder="1" applyAlignment="1">
      <alignment horizontal="right"/>
      <protection/>
    </xf>
    <xf numFmtId="4" fontId="34" fillId="15" borderId="266" xfId="587" applyNumberFormat="1" applyFont="1" applyFill="1" applyBorder="1" applyAlignment="1">
      <alignment horizontal="right"/>
      <protection/>
    </xf>
    <xf numFmtId="3" fontId="34" fillId="15" borderId="294" xfId="587" applyNumberFormat="1" applyFont="1" applyFill="1" applyBorder="1" applyAlignment="1">
      <alignment horizontal="right"/>
      <protection/>
    </xf>
    <xf numFmtId="3" fontId="34" fillId="15" borderId="295" xfId="587" applyNumberFormat="1" applyFont="1" applyFill="1" applyBorder="1" applyAlignment="1">
      <alignment horizontal="right"/>
      <protection/>
    </xf>
    <xf numFmtId="3" fontId="34" fillId="15" borderId="205" xfId="587" applyNumberFormat="1" applyFont="1" applyFill="1" applyBorder="1" applyAlignment="1">
      <alignment horizontal="right"/>
      <protection/>
    </xf>
    <xf numFmtId="3" fontId="36" fillId="0" borderId="289" xfId="587" applyNumberFormat="1" applyFont="1" applyBorder="1" applyAlignment="1">
      <alignment horizontal="right"/>
      <protection/>
    </xf>
    <xf numFmtId="3" fontId="35" fillId="30" borderId="48" xfId="587" applyNumberFormat="1" applyFont="1" applyFill="1" applyBorder="1" applyAlignment="1">
      <alignment horizontal="right"/>
      <protection/>
    </xf>
    <xf numFmtId="3" fontId="34" fillId="15" borderId="265" xfId="587" applyNumberFormat="1" applyFont="1" applyFill="1" applyBorder="1" applyAlignment="1">
      <alignment horizontal="right"/>
      <protection/>
    </xf>
    <xf numFmtId="3" fontId="34" fillId="15" borderId="100" xfId="587" applyNumberFormat="1" applyFont="1" applyFill="1" applyBorder="1" applyAlignment="1">
      <alignment horizontal="right"/>
      <protection/>
    </xf>
    <xf numFmtId="0" fontId="35" fillId="0" borderId="94" xfId="587" applyFont="1" applyBorder="1" applyAlignment="1">
      <alignment/>
      <protection/>
    </xf>
    <xf numFmtId="3" fontId="34" fillId="4" borderId="105" xfId="587" applyNumberFormat="1" applyFont="1" applyFill="1" applyBorder="1" applyAlignment="1">
      <alignment horizontal="right"/>
      <protection/>
    </xf>
    <xf numFmtId="3" fontId="34" fillId="4" borderId="103" xfId="587" applyNumberFormat="1" applyFont="1" applyFill="1" applyBorder="1" applyAlignment="1">
      <alignment horizontal="right"/>
      <protection/>
    </xf>
    <xf numFmtId="3" fontId="34" fillId="4" borderId="101" xfId="587" applyNumberFormat="1" applyFont="1" applyFill="1" applyBorder="1" applyAlignment="1">
      <alignment horizontal="right"/>
      <protection/>
    </xf>
    <xf numFmtId="0" fontId="30" fillId="3" borderId="59" xfId="587" applyFont="1" applyFill="1" applyBorder="1">
      <alignment/>
      <protection/>
    </xf>
    <xf numFmtId="3" fontId="36" fillId="3" borderId="36" xfId="587" applyNumberFormat="1" applyFont="1" applyFill="1" applyBorder="1" applyAlignment="1">
      <alignment horizontal="right"/>
      <protection/>
    </xf>
    <xf numFmtId="3" fontId="36" fillId="3" borderId="58" xfId="587" applyNumberFormat="1" applyFont="1" applyFill="1" applyBorder="1" applyAlignment="1">
      <alignment horizontal="right"/>
      <protection/>
    </xf>
    <xf numFmtId="3" fontId="30" fillId="15" borderId="266" xfId="587" applyNumberFormat="1" applyFont="1" applyFill="1" applyBorder="1">
      <alignment/>
      <protection/>
    </xf>
    <xf numFmtId="3" fontId="30" fillId="15" borderId="266" xfId="587" applyNumberFormat="1" applyFont="1" applyFill="1" applyBorder="1" applyAlignment="1">
      <alignment horizontal="right"/>
      <protection/>
    </xf>
    <xf numFmtId="3" fontId="36" fillId="15" borderId="184" xfId="587" applyNumberFormat="1" applyFont="1" applyFill="1" applyBorder="1" applyAlignment="1">
      <alignment horizontal="right"/>
      <protection/>
    </xf>
    <xf numFmtId="0" fontId="35" fillId="0" borderId="95" xfId="587" applyFont="1" applyFill="1" applyBorder="1">
      <alignment/>
      <protection/>
    </xf>
    <xf numFmtId="3" fontId="34" fillId="4" borderId="206" xfId="587" applyNumberFormat="1" applyFont="1" applyFill="1" applyBorder="1" applyAlignment="1">
      <alignment horizontal="right"/>
      <protection/>
    </xf>
    <xf numFmtId="3" fontId="36" fillId="3" borderId="296" xfId="587" applyNumberFormat="1" applyFont="1" applyFill="1" applyBorder="1" applyAlignment="1">
      <alignment horizontal="right"/>
      <protection/>
    </xf>
    <xf numFmtId="3" fontId="36" fillId="3" borderId="186" xfId="587" applyNumberFormat="1" applyFont="1" applyFill="1" applyBorder="1">
      <alignment/>
      <protection/>
    </xf>
    <xf numFmtId="3" fontId="54" fillId="7" borderId="86" xfId="0" applyNumberFormat="1" applyFont="1" applyFill="1" applyBorder="1" applyAlignment="1">
      <alignment/>
    </xf>
    <xf numFmtId="3" fontId="54" fillId="7" borderId="47" xfId="0" applyNumberFormat="1" applyFont="1" applyFill="1" applyBorder="1" applyAlignment="1">
      <alignment/>
    </xf>
    <xf numFmtId="3" fontId="54" fillId="7" borderId="13" xfId="0" applyNumberFormat="1" applyFont="1" applyFill="1" applyBorder="1" applyAlignment="1">
      <alignment/>
    </xf>
    <xf numFmtId="3" fontId="51" fillId="7" borderId="41" xfId="0" applyNumberFormat="1" applyFont="1" applyFill="1" applyBorder="1" applyAlignment="1">
      <alignment/>
    </xf>
    <xf numFmtId="3" fontId="54" fillId="7" borderId="63" xfId="0" applyNumberFormat="1" applyFont="1" applyFill="1" applyBorder="1" applyAlignment="1">
      <alignment/>
    </xf>
    <xf numFmtId="3" fontId="35" fillId="0" borderId="179" xfId="587" applyNumberFormat="1" applyFont="1" applyFill="1" applyBorder="1" applyAlignment="1">
      <alignment horizontal="left"/>
      <protection/>
    </xf>
    <xf numFmtId="3" fontId="35" fillId="0" borderId="186" xfId="587" applyNumberFormat="1" applyFont="1" applyFill="1" applyBorder="1" applyAlignment="1">
      <alignment horizontal="right"/>
      <protection/>
    </xf>
    <xf numFmtId="3" fontId="35" fillId="0" borderId="92" xfId="587" applyNumberFormat="1" applyFont="1" applyFill="1" applyBorder="1" applyAlignment="1">
      <alignment horizontal="right"/>
      <protection/>
    </xf>
    <xf numFmtId="3" fontId="35" fillId="30" borderId="87" xfId="587" applyNumberFormat="1" applyFont="1" applyFill="1" applyBorder="1" applyAlignment="1">
      <alignment horizontal="right"/>
      <protection/>
    </xf>
    <xf numFmtId="0" fontId="35" fillId="0" borderId="62" xfId="587" applyFont="1" applyFill="1" applyBorder="1">
      <alignment/>
      <protection/>
    </xf>
    <xf numFmtId="0" fontId="35" fillId="0" borderId="63" xfId="587" applyFont="1" applyFill="1" applyBorder="1" applyAlignment="1">
      <alignment vertical="top"/>
      <protection/>
    </xf>
    <xf numFmtId="4" fontId="35" fillId="0" borderId="23" xfId="587" applyNumberFormat="1" applyFont="1" applyFill="1" applyBorder="1" applyAlignment="1">
      <alignment horizontal="justify" vertical="top"/>
      <protection/>
    </xf>
    <xf numFmtId="2" fontId="35" fillId="0" borderId="24" xfId="587" applyNumberFormat="1" applyFont="1" applyFill="1" applyBorder="1" applyAlignment="1">
      <alignment horizontal="justify" vertical="center"/>
      <protection/>
    </xf>
    <xf numFmtId="0" fontId="35" fillId="0" borderId="74" xfId="587" applyFont="1" applyFill="1" applyBorder="1" applyAlignment="1">
      <alignment horizontal="left"/>
      <protection/>
    </xf>
    <xf numFmtId="0" fontId="35" fillId="0" borderId="106" xfId="587" applyFont="1" applyFill="1" applyBorder="1" applyAlignment="1">
      <alignment horizontal="right" vertical="center"/>
      <protection/>
    </xf>
    <xf numFmtId="3" fontId="35" fillId="0" borderId="106" xfId="587" applyNumberFormat="1" applyFont="1" applyFill="1" applyBorder="1" applyAlignment="1">
      <alignment horizontal="right" vertical="center"/>
      <protection/>
    </xf>
    <xf numFmtId="3" fontId="36" fillId="0" borderId="53" xfId="587" applyNumberFormat="1" applyFont="1" applyBorder="1">
      <alignment/>
      <protection/>
    </xf>
    <xf numFmtId="3" fontId="35" fillId="0" borderId="92" xfId="587" applyNumberFormat="1" applyFont="1" applyFill="1" applyBorder="1">
      <alignment/>
      <protection/>
    </xf>
    <xf numFmtId="3" fontId="91" fillId="45" borderId="205" xfId="0" applyNumberFormat="1" applyFont="1" applyFill="1" applyBorder="1" applyAlignment="1">
      <alignment horizontal="right"/>
    </xf>
    <xf numFmtId="3" fontId="91" fillId="46" borderId="205" xfId="0" applyNumberFormat="1" applyFont="1" applyFill="1" applyBorder="1" applyAlignment="1">
      <alignment/>
    </xf>
    <xf numFmtId="3" fontId="91" fillId="43" borderId="205" xfId="0" applyNumberFormat="1" applyFont="1" applyFill="1" applyBorder="1" applyAlignment="1">
      <alignment/>
    </xf>
    <xf numFmtId="3" fontId="91" fillId="46" borderId="140" xfId="0" applyNumberFormat="1" applyFont="1" applyFill="1" applyBorder="1" applyAlignment="1">
      <alignment/>
    </xf>
    <xf numFmtId="0" fontId="35" fillId="0" borderId="62" xfId="587" applyFont="1" applyFill="1" applyBorder="1" applyAlignment="1">
      <alignment horizontal="right"/>
      <protection/>
    </xf>
    <xf numFmtId="0" fontId="35" fillId="0" borderId="63" xfId="587" applyFont="1" applyFill="1" applyBorder="1">
      <alignment/>
      <protection/>
    </xf>
    <xf numFmtId="0" fontId="35" fillId="0" borderId="190" xfId="587" applyFont="1" applyFill="1" applyBorder="1">
      <alignment/>
      <protection/>
    </xf>
    <xf numFmtId="3" fontId="35" fillId="30" borderId="52" xfId="587" applyNumberFormat="1" applyFont="1" applyFill="1" applyBorder="1" applyAlignment="1">
      <alignment horizontal="right"/>
      <protection/>
    </xf>
    <xf numFmtId="3" fontId="35" fillId="30" borderId="140" xfId="587" applyNumberFormat="1" applyFont="1" applyFill="1" applyBorder="1">
      <alignment/>
      <protection/>
    </xf>
    <xf numFmtId="3" fontId="68" fillId="0" borderId="140" xfId="587" applyNumberFormat="1" applyFont="1" applyFill="1" applyBorder="1" applyAlignment="1">
      <alignment horizontal="left"/>
      <protection/>
    </xf>
    <xf numFmtId="3" fontId="30" fillId="0" borderId="140" xfId="587" applyNumberFormat="1" applyFont="1" applyFill="1" applyBorder="1" applyAlignment="1">
      <alignment horizontal="center" vertical="center"/>
      <protection/>
    </xf>
    <xf numFmtId="3" fontId="68" fillId="0" borderId="140" xfId="587" applyNumberFormat="1" applyFont="1" applyBorder="1" applyAlignment="1">
      <alignment horizontal="right"/>
      <protection/>
    </xf>
    <xf numFmtId="3" fontId="0" fillId="0" borderId="140" xfId="0" applyNumberFormat="1" applyBorder="1" applyAlignment="1">
      <alignment/>
    </xf>
    <xf numFmtId="3" fontId="68" fillId="0" borderId="140" xfId="587" applyNumberFormat="1" applyFont="1" applyFill="1" applyBorder="1" applyAlignment="1">
      <alignment horizontal="right"/>
      <protection/>
    </xf>
    <xf numFmtId="3" fontId="35" fillId="0" borderId="207" xfId="587" applyNumberFormat="1" applyFont="1" applyFill="1" applyBorder="1">
      <alignment/>
      <protection/>
    </xf>
    <xf numFmtId="3" fontId="35" fillId="30" borderId="207" xfId="587" applyNumberFormat="1" applyFont="1" applyFill="1" applyBorder="1">
      <alignment/>
      <protection/>
    </xf>
    <xf numFmtId="3" fontId="68" fillId="0" borderId="140" xfId="587" applyNumberFormat="1" applyFont="1" applyBorder="1" applyAlignment="1">
      <alignment horizontal="left"/>
      <protection/>
    </xf>
    <xf numFmtId="3" fontId="35" fillId="30" borderId="270" xfId="587" applyNumberFormat="1" applyFont="1" applyFill="1" applyBorder="1">
      <alignment/>
      <protection/>
    </xf>
    <xf numFmtId="3" fontId="30" fillId="0" borderId="236" xfId="587" applyNumberFormat="1" applyFont="1" applyFill="1" applyBorder="1" applyAlignment="1">
      <alignment horizontal="center"/>
      <protection/>
    </xf>
    <xf numFmtId="3" fontId="35" fillId="0" borderId="53" xfId="587" applyNumberFormat="1" applyFont="1" applyFill="1" applyBorder="1">
      <alignment/>
      <protection/>
    </xf>
    <xf numFmtId="3" fontId="35" fillId="0" borderId="63" xfId="587" applyNumberFormat="1" applyFont="1" applyFill="1" applyBorder="1">
      <alignment/>
      <protection/>
    </xf>
    <xf numFmtId="3" fontId="82" fillId="0" borderId="140" xfId="587" applyNumberFormat="1" applyFont="1" applyFill="1" applyBorder="1">
      <alignment/>
      <protection/>
    </xf>
    <xf numFmtId="3" fontId="82" fillId="0" borderId="140" xfId="587" applyNumberFormat="1" applyFont="1" applyBorder="1" applyAlignment="1">
      <alignment horizontal="left"/>
      <protection/>
    </xf>
    <xf numFmtId="3" fontId="35" fillId="0" borderId="270" xfId="587" applyNumberFormat="1" applyFont="1" applyFill="1" applyBorder="1">
      <alignment/>
      <protection/>
    </xf>
    <xf numFmtId="3" fontId="83" fillId="0" borderId="140" xfId="587" applyNumberFormat="1" applyFont="1" applyFill="1" applyBorder="1" applyAlignment="1">
      <alignment horizontal="left"/>
      <protection/>
    </xf>
    <xf numFmtId="3" fontId="5" fillId="0" borderId="140" xfId="587" applyNumberFormat="1" applyFont="1" applyFill="1" applyBorder="1" applyAlignment="1">
      <alignment horizontal="right"/>
      <protection/>
    </xf>
    <xf numFmtId="3" fontId="42" fillId="0" borderId="140" xfId="587" applyNumberFormat="1" applyFont="1" applyFill="1" applyBorder="1" applyAlignment="1">
      <alignment horizontal="center" vertical="center"/>
      <protection/>
    </xf>
    <xf numFmtId="3" fontId="84" fillId="0" borderId="140" xfId="587" applyNumberFormat="1" applyFont="1" applyFill="1" applyBorder="1" applyAlignment="1">
      <alignment horizontal="right"/>
      <protection/>
    </xf>
    <xf numFmtId="3" fontId="35" fillId="30" borderId="167" xfId="587" applyNumberFormat="1" applyFont="1" applyFill="1" applyBorder="1">
      <alignment/>
      <protection/>
    </xf>
    <xf numFmtId="3" fontId="35" fillId="0" borderId="114" xfId="587" applyNumberFormat="1" applyFont="1" applyFill="1" applyBorder="1">
      <alignment/>
      <protection/>
    </xf>
    <xf numFmtId="3" fontId="35" fillId="0" borderId="92" xfId="587" applyNumberFormat="1" applyFont="1" applyFill="1" applyBorder="1" applyAlignment="1">
      <alignment horizontal="left"/>
      <protection/>
    </xf>
    <xf numFmtId="3" fontId="82" fillId="0" borderId="92" xfId="587" applyNumberFormat="1" applyFont="1" applyFill="1" applyBorder="1" applyAlignment="1">
      <alignment horizontal="left"/>
      <protection/>
    </xf>
    <xf numFmtId="3" fontId="35" fillId="0" borderId="112" xfId="587" applyNumberFormat="1" applyFont="1" applyFill="1" applyBorder="1" applyAlignment="1">
      <alignment horizontal="right"/>
      <protection/>
    </xf>
    <xf numFmtId="3" fontId="68" fillId="0" borderId="92" xfId="587" applyNumberFormat="1" applyFont="1" applyFill="1" applyBorder="1" applyAlignment="1">
      <alignment horizontal="left"/>
      <protection/>
    </xf>
    <xf numFmtId="3" fontId="68" fillId="0" borderId="92" xfId="587" applyNumberFormat="1" applyFont="1" applyFill="1" applyBorder="1" applyAlignment="1">
      <alignment horizontal="right"/>
      <protection/>
    </xf>
    <xf numFmtId="3" fontId="82" fillId="30" borderId="88" xfId="587" applyNumberFormat="1" applyFont="1" applyFill="1" applyBorder="1" applyAlignment="1">
      <alignment horizontal="left"/>
      <protection/>
    </xf>
    <xf numFmtId="3" fontId="68" fillId="30" borderId="88" xfId="587" applyNumberFormat="1" applyFont="1" applyFill="1" applyBorder="1" applyAlignment="1">
      <alignment horizontal="left"/>
      <protection/>
    </xf>
    <xf numFmtId="3" fontId="68" fillId="30" borderId="88" xfId="587" applyNumberFormat="1" applyFont="1" applyFill="1" applyBorder="1" applyAlignment="1">
      <alignment horizontal="right"/>
      <protection/>
    </xf>
    <xf numFmtId="3" fontId="35" fillId="30" borderId="287" xfId="587" applyNumberFormat="1" applyFont="1" applyFill="1" applyBorder="1">
      <alignment/>
      <protection/>
    </xf>
    <xf numFmtId="3" fontId="36" fillId="0" borderId="87" xfId="587" applyNumberFormat="1" applyFont="1" applyBorder="1" applyAlignment="1">
      <alignment horizontal="right"/>
      <protection/>
    </xf>
    <xf numFmtId="3" fontId="34" fillId="15" borderId="171" xfId="587" applyNumberFormat="1" applyFont="1" applyFill="1" applyBorder="1">
      <alignment/>
      <protection/>
    </xf>
    <xf numFmtId="3" fontId="35" fillId="30" borderId="297" xfId="587" applyNumberFormat="1" applyFont="1" applyFill="1" applyBorder="1">
      <alignment/>
      <protection/>
    </xf>
    <xf numFmtId="3" fontId="35" fillId="0" borderId="87" xfId="587" applyNumberFormat="1" applyFont="1" applyBorder="1" applyAlignment="1">
      <alignment horizontal="right"/>
      <protection/>
    </xf>
    <xf numFmtId="3" fontId="35" fillId="0" borderId="190" xfId="587" applyNumberFormat="1" applyFont="1" applyFill="1" applyBorder="1">
      <alignment/>
      <protection/>
    </xf>
    <xf numFmtId="3" fontId="35" fillId="0" borderId="188" xfId="587" applyNumberFormat="1" applyFont="1" applyFill="1" applyBorder="1">
      <alignment/>
      <protection/>
    </xf>
    <xf numFmtId="3" fontId="68" fillId="0" borderId="188" xfId="587" applyNumberFormat="1" applyFont="1" applyFill="1" applyBorder="1" applyAlignment="1">
      <alignment horizontal="left"/>
      <protection/>
    </xf>
    <xf numFmtId="3" fontId="36" fillId="4" borderId="91" xfId="587" applyNumberFormat="1" applyFont="1" applyFill="1" applyBorder="1" applyAlignment="1">
      <alignment horizontal="right"/>
      <protection/>
    </xf>
    <xf numFmtId="3" fontId="35" fillId="0" borderId="210" xfId="587" applyNumberFormat="1" applyFont="1" applyFill="1" applyBorder="1">
      <alignment/>
      <protection/>
    </xf>
    <xf numFmtId="3" fontId="113" fillId="0" borderId="140" xfId="587" applyNumberFormat="1" applyFont="1" applyBorder="1" applyAlignment="1">
      <alignment horizontal="left"/>
      <protection/>
    </xf>
    <xf numFmtId="3" fontId="113" fillId="30" borderId="140" xfId="587" applyNumberFormat="1" applyFont="1" applyFill="1" applyBorder="1" applyAlignment="1">
      <alignment horizontal="left"/>
      <protection/>
    </xf>
    <xf numFmtId="0" fontId="35" fillId="0" borderId="83" xfId="587" applyFont="1" applyBorder="1">
      <alignment/>
      <protection/>
    </xf>
    <xf numFmtId="0" fontId="35" fillId="0" borderId="113" xfId="587" applyFont="1" applyBorder="1">
      <alignment/>
      <protection/>
    </xf>
    <xf numFmtId="0" fontId="107" fillId="0" borderId="140" xfId="587" applyFont="1" applyBorder="1">
      <alignment/>
      <protection/>
    </xf>
    <xf numFmtId="3" fontId="107" fillId="53" borderId="44" xfId="587" applyNumberFormat="1" applyFont="1" applyFill="1" applyBorder="1" applyAlignment="1">
      <alignment horizontal="left"/>
      <protection/>
    </xf>
    <xf numFmtId="3" fontId="107" fillId="0" borderId="224" xfId="587" applyNumberFormat="1" applyFont="1" applyBorder="1" applyAlignment="1">
      <alignment horizontal="left"/>
      <protection/>
    </xf>
    <xf numFmtId="3" fontId="84" fillId="0" borderId="140" xfId="587" applyNumberFormat="1" applyFont="1" applyBorder="1" applyAlignment="1">
      <alignment horizontal="left"/>
      <protection/>
    </xf>
    <xf numFmtId="3" fontId="35" fillId="0" borderId="140" xfId="587" applyNumberFormat="1" applyFont="1" applyBorder="1" applyAlignment="1">
      <alignment horizontal="left"/>
      <protection/>
    </xf>
    <xf numFmtId="3" fontId="84" fillId="0" borderId="140" xfId="587" applyNumberFormat="1" applyFont="1" applyFill="1" applyBorder="1" applyAlignment="1">
      <alignment horizontal="left"/>
      <protection/>
    </xf>
    <xf numFmtId="3" fontId="35" fillId="0" borderId="140" xfId="587" applyNumberFormat="1" applyFont="1" applyFill="1" applyBorder="1" applyAlignment="1">
      <alignment horizontal="left"/>
      <protection/>
    </xf>
    <xf numFmtId="3" fontId="113" fillId="0" borderId="140" xfId="587" applyNumberFormat="1" applyFont="1" applyFill="1" applyBorder="1" applyAlignment="1">
      <alignment horizontal="left"/>
      <protection/>
    </xf>
    <xf numFmtId="3" fontId="108" fillId="30" borderId="88" xfId="587" applyNumberFormat="1" applyFont="1" applyFill="1" applyBorder="1" applyAlignment="1">
      <alignment horizontal="left"/>
      <protection/>
    </xf>
    <xf numFmtId="3" fontId="114" fillId="30" borderId="89" xfId="587" applyNumberFormat="1" applyFont="1" applyFill="1" applyBorder="1" applyAlignment="1">
      <alignment horizontal="left"/>
      <protection/>
    </xf>
    <xf numFmtId="3" fontId="114" fillId="0" borderId="239" xfId="587" applyNumberFormat="1" applyFont="1" applyBorder="1" applyAlignment="1">
      <alignment horizontal="left"/>
      <protection/>
    </xf>
    <xf numFmtId="3" fontId="108" fillId="0" borderId="238" xfId="587" applyNumberFormat="1" applyFont="1" applyBorder="1" applyAlignment="1">
      <alignment horizontal="left"/>
      <protection/>
    </xf>
    <xf numFmtId="3" fontId="108" fillId="0" borderId="22" xfId="587" applyNumberFormat="1" applyFont="1" applyFill="1" applyBorder="1" applyAlignment="1">
      <alignment horizontal="left"/>
      <protection/>
    </xf>
    <xf numFmtId="3" fontId="108" fillId="0" borderId="281" xfId="587" applyNumberFormat="1" applyFont="1" applyFill="1" applyBorder="1" applyAlignment="1">
      <alignment horizontal="left"/>
      <protection/>
    </xf>
    <xf numFmtId="3" fontId="108" fillId="0" borderId="0" xfId="587" applyNumberFormat="1" applyFont="1" applyFill="1" applyBorder="1" applyAlignment="1">
      <alignment horizontal="left"/>
      <protection/>
    </xf>
    <xf numFmtId="3" fontId="108" fillId="0" borderId="149" xfId="587" applyNumberFormat="1" applyFont="1" applyFill="1" applyBorder="1" applyAlignment="1">
      <alignment horizontal="left"/>
      <protection/>
    </xf>
    <xf numFmtId="3" fontId="107" fillId="0" borderId="149" xfId="587" applyNumberFormat="1" applyFont="1" applyFill="1" applyBorder="1" applyAlignment="1">
      <alignment horizontal="left"/>
      <protection/>
    </xf>
    <xf numFmtId="3" fontId="108" fillId="0" borderId="213" xfId="587" applyNumberFormat="1" applyFont="1" applyFill="1" applyBorder="1" applyAlignment="1">
      <alignment horizontal="left"/>
      <protection/>
    </xf>
    <xf numFmtId="3" fontId="35" fillId="0" borderId="298" xfId="587" applyNumberFormat="1" applyFont="1" applyFill="1" applyBorder="1" applyAlignment="1">
      <alignment horizontal="left"/>
      <protection/>
    </xf>
    <xf numFmtId="3" fontId="109" fillId="0" borderId="92" xfId="587" applyNumberFormat="1" applyFont="1" applyFill="1" applyBorder="1">
      <alignment/>
      <protection/>
    </xf>
    <xf numFmtId="3" fontId="108" fillId="0" borderId="15" xfId="587" applyNumberFormat="1" applyFont="1" applyFill="1" applyBorder="1" applyAlignment="1">
      <alignment horizontal="left"/>
      <protection/>
    </xf>
    <xf numFmtId="3" fontId="110" fillId="0" borderId="15" xfId="587" applyNumberFormat="1" applyFont="1" applyFill="1" applyBorder="1" applyAlignment="1">
      <alignment horizontal="right"/>
      <protection/>
    </xf>
    <xf numFmtId="3" fontId="107" fillId="0" borderId="15" xfId="587" applyNumberFormat="1" applyFont="1" applyFill="1" applyBorder="1" applyAlignment="1">
      <alignment horizontal="left"/>
      <protection/>
    </xf>
    <xf numFmtId="3" fontId="110" fillId="0" borderId="120" xfId="587" applyNumberFormat="1" applyFont="1" applyFill="1" applyBorder="1" applyAlignment="1">
      <alignment horizontal="right"/>
      <protection/>
    </xf>
    <xf numFmtId="3" fontId="107" fillId="0" borderId="141" xfId="587" applyNumberFormat="1" applyFont="1" applyFill="1" applyBorder="1" applyAlignment="1">
      <alignment horizontal="left"/>
      <protection/>
    </xf>
    <xf numFmtId="3" fontId="107" fillId="0" borderId="85" xfId="587" applyNumberFormat="1" applyFont="1" applyFill="1" applyBorder="1" applyAlignment="1">
      <alignment horizontal="left"/>
      <protection/>
    </xf>
    <xf numFmtId="3" fontId="36" fillId="53" borderId="85" xfId="589" applyNumberFormat="1" applyFont="1" applyFill="1" applyBorder="1" applyAlignment="1">
      <alignment/>
    </xf>
    <xf numFmtId="3" fontId="108" fillId="0" borderId="63" xfId="587" applyNumberFormat="1" applyFont="1" applyFill="1" applyBorder="1" applyAlignment="1">
      <alignment horizontal="right"/>
      <protection/>
    </xf>
    <xf numFmtId="3" fontId="35" fillId="0" borderId="193" xfId="587" applyNumberFormat="1" applyFont="1" applyFill="1" applyBorder="1" applyAlignment="1">
      <alignment horizontal="left"/>
      <protection/>
    </xf>
    <xf numFmtId="3" fontId="68" fillId="0" borderId="85" xfId="587" applyNumberFormat="1" applyFont="1" applyFill="1" applyBorder="1" applyAlignment="1">
      <alignment horizontal="left"/>
      <protection/>
    </xf>
    <xf numFmtId="3" fontId="68" fillId="0" borderId="85" xfId="587" applyNumberFormat="1" applyFont="1" applyFill="1" applyBorder="1" applyAlignment="1">
      <alignment horizontal="right"/>
      <protection/>
    </xf>
    <xf numFmtId="3" fontId="66" fillId="50" borderId="0" xfId="587" applyNumberFormat="1" applyFont="1" applyFill="1" applyBorder="1" applyAlignment="1">
      <alignment horizontal="left"/>
      <protection/>
    </xf>
    <xf numFmtId="3" fontId="34" fillId="15" borderId="131" xfId="587" applyNumberFormat="1" applyFont="1" applyFill="1" applyBorder="1">
      <alignment/>
      <protection/>
    </xf>
    <xf numFmtId="3" fontId="111" fillId="15" borderId="90" xfId="584" applyNumberFormat="1" applyFont="1" applyBorder="1" applyAlignment="1">
      <alignment/>
    </xf>
    <xf numFmtId="3" fontId="35" fillId="30" borderId="170" xfId="587" applyNumberFormat="1" applyFont="1" applyFill="1" applyBorder="1" applyAlignment="1">
      <alignment horizontal="left"/>
      <protection/>
    </xf>
    <xf numFmtId="3" fontId="110" fillId="30" borderId="88" xfId="587" applyNumberFormat="1" applyFont="1" applyFill="1" applyBorder="1" applyAlignment="1">
      <alignment horizontal="right"/>
      <protection/>
    </xf>
    <xf numFmtId="3" fontId="110" fillId="30" borderId="121" xfId="587" applyNumberFormat="1" applyFont="1" applyFill="1" applyBorder="1" applyAlignment="1">
      <alignment horizontal="right"/>
      <protection/>
    </xf>
    <xf numFmtId="3" fontId="107" fillId="30" borderId="220" xfId="587" applyNumberFormat="1" applyFont="1" applyFill="1" applyBorder="1" applyAlignment="1">
      <alignment horizontal="left"/>
      <protection/>
    </xf>
    <xf numFmtId="3" fontId="107" fillId="30" borderId="90" xfId="587" applyNumberFormat="1" applyFont="1" applyFill="1" applyBorder="1" applyAlignment="1">
      <alignment horizontal="left"/>
      <protection/>
    </xf>
    <xf numFmtId="3" fontId="108" fillId="30" borderId="170" xfId="587" applyNumberFormat="1" applyFont="1" applyFill="1" applyBorder="1" applyAlignment="1">
      <alignment horizontal="right"/>
      <protection/>
    </xf>
    <xf numFmtId="3" fontId="35" fillId="30" borderId="88" xfId="587" applyNumberFormat="1" applyFont="1" applyFill="1" applyBorder="1" applyAlignment="1">
      <alignment horizontal="left"/>
      <protection/>
    </xf>
    <xf numFmtId="3" fontId="108" fillId="30" borderId="89" xfId="587" applyNumberFormat="1" applyFont="1" applyFill="1" applyBorder="1" applyAlignment="1">
      <alignment horizontal="left"/>
      <protection/>
    </xf>
    <xf numFmtId="3" fontId="68" fillId="30" borderId="89" xfId="587" applyNumberFormat="1" applyFont="1" applyFill="1" applyBorder="1" applyAlignment="1">
      <alignment horizontal="left"/>
      <protection/>
    </xf>
    <xf numFmtId="3" fontId="35" fillId="30" borderId="89" xfId="587" applyNumberFormat="1" applyFont="1" applyFill="1" applyBorder="1" applyAlignment="1">
      <alignment horizontal="left"/>
      <protection/>
    </xf>
    <xf numFmtId="3" fontId="35" fillId="30" borderId="121" xfId="587" applyNumberFormat="1" applyFont="1" applyFill="1" applyBorder="1" applyAlignment="1">
      <alignment horizontal="left"/>
      <protection/>
    </xf>
    <xf numFmtId="3" fontId="108" fillId="30" borderId="87" xfId="587" applyNumberFormat="1" applyFont="1" applyFill="1" applyBorder="1" applyAlignment="1">
      <alignment horizontal="left"/>
      <protection/>
    </xf>
    <xf numFmtId="3" fontId="68" fillId="30" borderId="90" xfId="587" applyNumberFormat="1" applyFont="1" applyFill="1" applyBorder="1" applyAlignment="1">
      <alignment horizontal="left"/>
      <protection/>
    </xf>
    <xf numFmtId="3" fontId="68" fillId="30" borderId="89" xfId="587" applyNumberFormat="1" applyFont="1" applyFill="1" applyBorder="1" applyAlignment="1">
      <alignment horizontal="right"/>
      <protection/>
    </xf>
    <xf numFmtId="3" fontId="68" fillId="30" borderId="90" xfId="587" applyNumberFormat="1" applyFont="1" applyFill="1" applyBorder="1" applyAlignment="1">
      <alignment horizontal="right"/>
      <protection/>
    </xf>
    <xf numFmtId="3" fontId="68" fillId="53" borderId="90" xfId="587" applyNumberFormat="1" applyFont="1" applyFill="1" applyBorder="1" applyAlignment="1">
      <alignment horizontal="left"/>
      <protection/>
    </xf>
    <xf numFmtId="3" fontId="68" fillId="53" borderId="87" xfId="587" applyNumberFormat="1" applyFont="1" applyFill="1" applyBorder="1" applyAlignment="1">
      <alignment horizontal="right"/>
      <protection/>
    </xf>
    <xf numFmtId="3" fontId="66" fillId="53" borderId="87" xfId="587" applyNumberFormat="1" applyFont="1" applyFill="1" applyBorder="1" applyAlignment="1">
      <alignment horizontal="left"/>
      <protection/>
    </xf>
    <xf numFmtId="0" fontId="5" fillId="35" borderId="87" xfId="587" applyFont="1" applyFill="1" applyBorder="1">
      <alignment/>
      <protection/>
    </xf>
    <xf numFmtId="3" fontId="34" fillId="15" borderId="132" xfId="587" applyNumberFormat="1" applyFont="1" applyFill="1" applyBorder="1">
      <alignment/>
      <protection/>
    </xf>
    <xf numFmtId="3" fontId="35" fillId="30" borderId="121" xfId="587" applyNumberFormat="1" applyFont="1" applyFill="1" applyBorder="1" applyAlignment="1">
      <alignment horizontal="left"/>
      <protection/>
    </xf>
    <xf numFmtId="3" fontId="34" fillId="4" borderId="91" xfId="587" applyNumberFormat="1" applyFont="1" applyFill="1" applyBorder="1">
      <alignment/>
      <protection/>
    </xf>
    <xf numFmtId="3" fontId="35" fillId="0" borderId="63" xfId="587" applyNumberFormat="1" applyFont="1" applyFill="1" applyBorder="1">
      <alignment/>
      <protection/>
    </xf>
    <xf numFmtId="3" fontId="35" fillId="0" borderId="22" xfId="587" applyNumberFormat="1" applyFont="1" applyFill="1" applyBorder="1">
      <alignment/>
      <protection/>
    </xf>
    <xf numFmtId="3" fontId="34" fillId="15" borderId="152" xfId="587" applyNumberFormat="1" applyFont="1" applyFill="1" applyBorder="1">
      <alignment/>
      <protection/>
    </xf>
    <xf numFmtId="3" fontId="35" fillId="0" borderId="238" xfId="587" applyNumberFormat="1" applyFont="1" applyBorder="1">
      <alignment/>
      <protection/>
    </xf>
    <xf numFmtId="3" fontId="35" fillId="0" borderId="238" xfId="587" applyNumberFormat="1" applyFont="1" applyFill="1" applyBorder="1" applyAlignment="1">
      <alignment horizontal="right"/>
      <protection/>
    </xf>
    <xf numFmtId="49" fontId="35" fillId="0" borderId="93" xfId="587" applyNumberFormat="1" applyFont="1" applyFill="1" applyBorder="1" applyAlignment="1">
      <alignment horizontal="left"/>
      <protection/>
    </xf>
    <xf numFmtId="14" fontId="35" fillId="26" borderId="93" xfId="587" applyNumberFormat="1" applyFont="1" applyFill="1" applyBorder="1">
      <alignment/>
      <protection/>
    </xf>
    <xf numFmtId="3" fontId="36" fillId="26" borderId="238" xfId="587" applyNumberFormat="1" applyFont="1" applyFill="1" applyBorder="1" applyAlignment="1">
      <alignment horizontal="right"/>
      <protection/>
    </xf>
    <xf numFmtId="3" fontId="35" fillId="0" borderId="238" xfId="587" applyNumberFormat="1" applyFont="1" applyFill="1" applyBorder="1" applyAlignment="1">
      <alignment horizontal="right"/>
      <protection/>
    </xf>
    <xf numFmtId="3" fontId="68" fillId="0" borderId="238" xfId="587" applyNumberFormat="1" applyFont="1" applyFill="1" applyBorder="1" applyAlignment="1">
      <alignment horizontal="right"/>
      <protection/>
    </xf>
    <xf numFmtId="0" fontId="35" fillId="26" borderId="93" xfId="587" applyFont="1" applyFill="1" applyBorder="1">
      <alignment/>
      <protection/>
    </xf>
    <xf numFmtId="3" fontId="36" fillId="26" borderId="238" xfId="587" applyNumberFormat="1" applyFont="1" applyFill="1" applyBorder="1" applyAlignment="1">
      <alignment horizontal="right"/>
      <protection/>
    </xf>
    <xf numFmtId="3" fontId="68" fillId="0" borderId="238" xfId="587" applyNumberFormat="1" applyFont="1" applyBorder="1">
      <alignment/>
      <protection/>
    </xf>
    <xf numFmtId="0" fontId="35" fillId="26" borderId="93" xfId="587" applyFont="1" applyFill="1" applyBorder="1">
      <alignment/>
      <protection/>
    </xf>
    <xf numFmtId="0" fontId="37" fillId="0" borderId="93" xfId="587" applyFont="1" applyFill="1" applyBorder="1">
      <alignment/>
      <protection/>
    </xf>
    <xf numFmtId="0" fontId="68" fillId="8" borderId="93" xfId="587" applyFont="1" applyFill="1" applyBorder="1">
      <alignment/>
      <protection/>
    </xf>
    <xf numFmtId="3" fontId="69" fillId="0" borderId="238" xfId="587" applyNumberFormat="1" applyFont="1" applyBorder="1" applyAlignment="1">
      <alignment horizontal="right"/>
      <protection/>
    </xf>
    <xf numFmtId="49" fontId="30" fillId="4" borderId="174" xfId="587" applyNumberFormat="1" applyFont="1" applyFill="1" applyBorder="1" applyAlignment="1">
      <alignment horizontal="right"/>
      <protection/>
    </xf>
    <xf numFmtId="0" fontId="35" fillId="4" borderId="175" xfId="587" applyFont="1" applyFill="1" applyBorder="1">
      <alignment/>
      <protection/>
    </xf>
    <xf numFmtId="0" fontId="30" fillId="4" borderId="206" xfId="587" applyFont="1" applyFill="1" applyBorder="1">
      <alignment/>
      <protection/>
    </xf>
    <xf numFmtId="3" fontId="36" fillId="4" borderId="186" xfId="587" applyNumberFormat="1" applyFont="1" applyFill="1" applyBorder="1" applyAlignment="1">
      <alignment horizontal="right"/>
      <protection/>
    </xf>
    <xf numFmtId="3" fontId="36" fillId="26" borderId="15" xfId="587" applyNumberFormat="1" applyFont="1" applyFill="1" applyBorder="1" applyAlignment="1">
      <alignment horizontal="right"/>
      <protection/>
    </xf>
    <xf numFmtId="3" fontId="36" fillId="26" borderId="15" xfId="587" applyNumberFormat="1" applyFont="1" applyFill="1" applyBorder="1" applyAlignment="1">
      <alignment horizontal="right"/>
      <protection/>
    </xf>
    <xf numFmtId="3" fontId="34" fillId="4" borderId="210" xfId="587" applyNumberFormat="1" applyFont="1" applyFill="1" applyBorder="1">
      <alignment/>
      <protection/>
    </xf>
    <xf numFmtId="3" fontId="35" fillId="30" borderId="88" xfId="587" applyNumberFormat="1" applyFont="1" applyFill="1" applyBorder="1">
      <alignment/>
      <protection/>
    </xf>
    <xf numFmtId="3" fontId="35" fillId="53" borderId="88" xfId="587" applyNumberFormat="1" applyFont="1" applyFill="1" applyBorder="1">
      <alignment/>
      <protection/>
    </xf>
    <xf numFmtId="3" fontId="35" fillId="53" borderId="88" xfId="587" applyNumberFormat="1" applyFont="1" applyFill="1" applyBorder="1" applyAlignment="1">
      <alignment horizontal="right"/>
      <protection/>
    </xf>
    <xf numFmtId="3" fontId="36" fillId="53" borderId="88" xfId="587" applyNumberFormat="1" applyFont="1" applyFill="1" applyBorder="1" applyAlignment="1">
      <alignment horizontal="right"/>
      <protection/>
    </xf>
    <xf numFmtId="3" fontId="35" fillId="53" borderId="88" xfId="587" applyNumberFormat="1" applyFont="1" applyFill="1" applyBorder="1" applyAlignment="1">
      <alignment horizontal="right"/>
      <protection/>
    </xf>
    <xf numFmtId="3" fontId="68" fillId="53" borderId="88" xfId="587" applyNumberFormat="1" applyFont="1" applyFill="1" applyBorder="1" applyAlignment="1">
      <alignment horizontal="right"/>
      <protection/>
    </xf>
    <xf numFmtId="3" fontId="36" fillId="30" borderId="88" xfId="587" applyNumberFormat="1" applyFont="1" applyFill="1" applyBorder="1" applyAlignment="1">
      <alignment horizontal="right"/>
      <protection/>
    </xf>
    <xf numFmtId="3" fontId="68" fillId="30" borderId="88" xfId="587" applyNumberFormat="1" applyFont="1" applyFill="1" applyBorder="1">
      <alignment/>
      <protection/>
    </xf>
    <xf numFmtId="3" fontId="35" fillId="53" borderId="88" xfId="587" applyNumberFormat="1" applyFont="1" applyFill="1" applyBorder="1">
      <alignment/>
      <protection/>
    </xf>
    <xf numFmtId="3" fontId="69" fillId="30" borderId="88" xfId="587" applyNumberFormat="1" applyFont="1" applyFill="1" applyBorder="1" applyAlignment="1">
      <alignment horizontal="right"/>
      <protection/>
    </xf>
    <xf numFmtId="3" fontId="69" fillId="30" borderId="89" xfId="587" applyNumberFormat="1" applyFont="1" applyFill="1" applyBorder="1" applyAlignment="1">
      <alignment horizontal="right"/>
      <protection/>
    </xf>
    <xf numFmtId="3" fontId="34" fillId="4" borderId="166" xfId="587" applyNumberFormat="1" applyFont="1" applyFill="1" applyBorder="1">
      <alignment/>
      <protection/>
    </xf>
    <xf numFmtId="3" fontId="68" fillId="0" borderId="15" xfId="587" applyNumberFormat="1" applyFont="1" applyFill="1" applyBorder="1">
      <alignment/>
      <protection/>
    </xf>
    <xf numFmtId="3" fontId="69" fillId="0" borderId="15" xfId="587" applyNumberFormat="1" applyFont="1" applyFill="1" applyBorder="1" applyAlignment="1">
      <alignment horizontal="right"/>
      <protection/>
    </xf>
    <xf numFmtId="0" fontId="36" fillId="0" borderId="140" xfId="587" applyFont="1" applyFill="1" applyBorder="1" applyAlignment="1">
      <alignment vertical="top"/>
      <protection/>
    </xf>
    <xf numFmtId="3" fontId="36" fillId="0" borderId="113" xfId="587" applyNumberFormat="1" applyFont="1" applyFill="1" applyBorder="1" applyAlignment="1">
      <alignment horizontal="center"/>
      <protection/>
    </xf>
    <xf numFmtId="3" fontId="36" fillId="0" borderId="92" xfId="587" applyNumberFormat="1" applyFont="1" applyFill="1" applyBorder="1" applyAlignment="1">
      <alignment horizontal="center" vertical="center"/>
      <protection/>
    </xf>
    <xf numFmtId="3" fontId="36" fillId="0" borderId="209" xfId="587" applyNumberFormat="1" applyFont="1" applyFill="1" applyBorder="1" applyAlignment="1">
      <alignment horizontal="center" vertical="center"/>
      <protection/>
    </xf>
    <xf numFmtId="3" fontId="107" fillId="0" borderId="113" xfId="587" applyNumberFormat="1" applyFont="1" applyBorder="1">
      <alignment/>
      <protection/>
    </xf>
    <xf numFmtId="3" fontId="35" fillId="0" borderId="113" xfId="587" applyNumberFormat="1" applyFont="1" applyFill="1" applyBorder="1" applyAlignment="1">
      <alignment horizontal="center"/>
      <protection/>
    </xf>
    <xf numFmtId="3" fontId="35" fillId="0" borderId="92" xfId="587" applyNumberFormat="1" applyFont="1" applyFill="1" applyBorder="1" applyAlignment="1">
      <alignment horizontal="center" vertical="center"/>
      <protection/>
    </xf>
    <xf numFmtId="3" fontId="35" fillId="0" borderId="209" xfId="587" applyNumberFormat="1" applyFont="1" applyFill="1" applyBorder="1" applyAlignment="1">
      <alignment horizontal="center" vertical="center"/>
      <protection/>
    </xf>
    <xf numFmtId="3" fontId="107" fillId="0" borderId="92" xfId="587" applyNumberFormat="1" applyFont="1" applyBorder="1" applyAlignment="1">
      <alignment horizontal="left"/>
      <protection/>
    </xf>
    <xf numFmtId="49" fontId="90" fillId="0" borderId="299" xfId="0" applyNumberFormat="1" applyFont="1" applyBorder="1" applyAlignment="1">
      <alignment horizontal="center"/>
    </xf>
    <xf numFmtId="49" fontId="90" fillId="0" borderId="140" xfId="0" applyNumberFormat="1" applyFont="1" applyBorder="1" applyAlignment="1">
      <alignment horizontal="center"/>
    </xf>
    <xf numFmtId="0" fontId="90" fillId="0" borderId="110" xfId="0" applyFont="1" applyBorder="1" applyAlignment="1">
      <alignment/>
    </xf>
    <xf numFmtId="0" fontId="90" fillId="0" borderId="117" xfId="0" applyFont="1" applyBorder="1" applyAlignment="1">
      <alignment/>
    </xf>
    <xf numFmtId="3" fontId="90" fillId="0" borderId="157" xfId="0" applyNumberFormat="1" applyFont="1" applyBorder="1" applyAlignment="1">
      <alignment/>
    </xf>
    <xf numFmtId="3" fontId="90" fillId="49" borderId="140" xfId="0" applyNumberFormat="1" applyFont="1" applyFill="1" applyBorder="1" applyAlignment="1">
      <alignment/>
    </xf>
    <xf numFmtId="3" fontId="34" fillId="15" borderId="193" xfId="587" applyNumberFormat="1" applyFont="1" applyFill="1" applyBorder="1" applyAlignment="1">
      <alignment horizontal="right"/>
      <protection/>
    </xf>
    <xf numFmtId="3" fontId="36" fillId="15" borderId="300" xfId="587" applyNumberFormat="1" applyFont="1" applyFill="1" applyBorder="1" applyAlignment="1">
      <alignment horizontal="right"/>
      <protection/>
    </xf>
    <xf numFmtId="3" fontId="36" fillId="0" borderId="270" xfId="589" applyNumberFormat="1" applyFont="1" applyFill="1" applyBorder="1" applyAlignment="1">
      <alignment horizontal="right"/>
    </xf>
    <xf numFmtId="3" fontId="36" fillId="0" borderId="85" xfId="589" applyNumberFormat="1" applyFont="1" applyFill="1" applyBorder="1" applyAlignment="1">
      <alignment horizontal="right"/>
    </xf>
    <xf numFmtId="3" fontId="35" fillId="0" borderId="92" xfId="587" applyNumberFormat="1" applyFont="1" applyBorder="1" applyAlignment="1">
      <alignment horizontal="left"/>
      <protection/>
    </xf>
    <xf numFmtId="3" fontId="36" fillId="53" borderId="202" xfId="589" applyNumberFormat="1" applyFont="1" applyFill="1" applyBorder="1" applyAlignment="1">
      <alignment/>
    </xf>
    <xf numFmtId="3" fontId="108" fillId="0" borderId="301" xfId="587" applyNumberFormat="1" applyFont="1" applyFill="1" applyBorder="1">
      <alignment/>
      <protection/>
    </xf>
    <xf numFmtId="3" fontId="108" fillId="0" borderId="149" xfId="587" applyNumberFormat="1" applyFont="1" applyFill="1" applyBorder="1">
      <alignment/>
      <protection/>
    </xf>
    <xf numFmtId="3" fontId="35" fillId="0" borderId="152" xfId="587" applyNumberFormat="1" applyFont="1" applyFill="1" applyBorder="1" applyAlignment="1">
      <alignment horizontal="right"/>
      <protection/>
    </xf>
    <xf numFmtId="3" fontId="36" fillId="53" borderId="85" xfId="589" applyNumberFormat="1" applyFont="1" applyFill="1" applyBorder="1" applyAlignment="1">
      <alignment horizontal="right"/>
    </xf>
    <xf numFmtId="3" fontId="114" fillId="0" borderId="152" xfId="587" applyNumberFormat="1" applyFont="1" applyFill="1" applyBorder="1" applyAlignment="1">
      <alignment horizontal="left"/>
      <protection/>
    </xf>
    <xf numFmtId="3" fontId="35" fillId="0" borderId="152" xfId="587" applyNumberFormat="1" applyFont="1" applyFill="1" applyBorder="1" applyAlignment="1">
      <alignment horizontal="left"/>
      <protection/>
    </xf>
    <xf numFmtId="3" fontId="35" fillId="0" borderId="290" xfId="587" applyNumberFormat="1" applyFont="1" applyFill="1" applyBorder="1" applyAlignment="1">
      <alignment horizontal="left"/>
      <protection/>
    </xf>
    <xf numFmtId="3" fontId="115" fillId="0" borderId="270" xfId="587" applyNumberFormat="1" applyFont="1" applyBorder="1">
      <alignment/>
      <protection/>
    </xf>
    <xf numFmtId="3" fontId="114" fillId="0" borderId="301" xfId="587" applyNumberFormat="1" applyFont="1" applyFill="1" applyBorder="1">
      <alignment/>
      <protection/>
    </xf>
    <xf numFmtId="3" fontId="114" fillId="30" borderId="170" xfId="587" applyNumberFormat="1" applyFont="1" applyFill="1" applyBorder="1">
      <alignment/>
      <protection/>
    </xf>
    <xf numFmtId="3" fontId="114" fillId="0" borderId="278" xfId="587" applyNumberFormat="1" applyFont="1" applyBorder="1">
      <alignment/>
      <protection/>
    </xf>
    <xf numFmtId="3" fontId="114" fillId="0" borderId="202" xfId="589" applyNumberFormat="1" applyFont="1" applyFill="1" applyBorder="1" applyAlignment="1">
      <alignment horizontal="right"/>
    </xf>
    <xf numFmtId="3" fontId="35" fillId="30" borderId="63" xfId="587" applyNumberFormat="1" applyFont="1" applyFill="1" applyBorder="1">
      <alignment/>
      <protection/>
    </xf>
    <xf numFmtId="3" fontId="35" fillId="30" borderId="15" xfId="587" applyNumberFormat="1" applyFont="1" applyFill="1" applyBorder="1">
      <alignment/>
      <protection/>
    </xf>
    <xf numFmtId="3" fontId="35" fillId="30" borderId="15" xfId="587" applyNumberFormat="1" applyFont="1" applyFill="1" applyBorder="1" applyAlignment="1">
      <alignment horizontal="right"/>
      <protection/>
    </xf>
    <xf numFmtId="3" fontId="35" fillId="30" borderId="22" xfId="587" applyNumberFormat="1" applyFont="1" applyFill="1" applyBorder="1">
      <alignment/>
      <protection/>
    </xf>
    <xf numFmtId="3" fontId="35" fillId="0" borderId="140" xfId="587" applyNumberFormat="1" applyFont="1" applyBorder="1">
      <alignment/>
      <protection/>
    </xf>
    <xf numFmtId="3" fontId="36" fillId="26" borderId="140" xfId="587" applyNumberFormat="1" applyFont="1" applyFill="1" applyBorder="1" applyAlignment="1">
      <alignment horizontal="right"/>
      <protection/>
    </xf>
    <xf numFmtId="3" fontId="69" fillId="0" borderId="140" xfId="587" applyNumberFormat="1" applyFont="1" applyBorder="1" applyAlignment="1">
      <alignment horizontal="right"/>
      <protection/>
    </xf>
    <xf numFmtId="3" fontId="34" fillId="15" borderId="298" xfId="587" applyNumberFormat="1" applyFont="1" applyFill="1" applyBorder="1">
      <alignment/>
      <protection/>
    </xf>
    <xf numFmtId="3" fontId="35" fillId="35" borderId="90" xfId="587" applyNumberFormat="1" applyFont="1" applyFill="1" applyBorder="1" applyAlignment="1">
      <alignment horizontal="center" vertical="center"/>
      <protection/>
    </xf>
    <xf numFmtId="3" fontId="35" fillId="35" borderId="90" xfId="587" applyNumberFormat="1" applyFont="1" applyFill="1" applyBorder="1">
      <alignment/>
      <protection/>
    </xf>
    <xf numFmtId="3" fontId="34" fillId="47" borderId="90" xfId="587" applyNumberFormat="1" applyFont="1" applyFill="1" applyBorder="1">
      <alignment/>
      <protection/>
    </xf>
    <xf numFmtId="3" fontId="107" fillId="35" borderId="90" xfId="587" applyNumberFormat="1" applyFont="1" applyFill="1" applyBorder="1" applyAlignment="1">
      <alignment horizontal="left"/>
      <protection/>
    </xf>
    <xf numFmtId="3" fontId="35" fillId="0" borderId="107" xfId="587" applyNumberFormat="1" applyFont="1" applyBorder="1" applyAlignment="1">
      <alignment horizontal="left"/>
      <protection/>
    </xf>
    <xf numFmtId="0" fontId="73" fillId="0" borderId="114" xfId="587" applyFont="1" applyFill="1" applyBorder="1">
      <alignment/>
      <protection/>
    </xf>
    <xf numFmtId="3" fontId="35" fillId="30" borderId="140" xfId="587" applyNumberFormat="1" applyFont="1" applyFill="1" applyBorder="1" applyAlignment="1">
      <alignment horizontal="right"/>
      <protection/>
    </xf>
    <xf numFmtId="3" fontId="36" fillId="53" borderId="140" xfId="587" applyNumberFormat="1" applyFont="1" applyFill="1" applyBorder="1" applyAlignment="1">
      <alignment horizontal="right"/>
      <protection/>
    </xf>
    <xf numFmtId="3" fontId="36" fillId="35" borderId="140" xfId="587" applyNumberFormat="1" applyFont="1" applyFill="1" applyBorder="1" applyAlignment="1">
      <alignment horizontal="right"/>
      <protection/>
    </xf>
    <xf numFmtId="0" fontId="35" fillId="0" borderId="302" xfId="587" applyFont="1" applyBorder="1">
      <alignment/>
      <protection/>
    </xf>
    <xf numFmtId="3" fontId="35" fillId="0" borderId="270" xfId="587" applyNumberFormat="1" applyFont="1" applyBorder="1" applyAlignment="1">
      <alignment horizontal="left"/>
      <protection/>
    </xf>
    <xf numFmtId="3" fontId="35" fillId="0" borderId="270" xfId="587" applyNumberFormat="1" applyFont="1" applyFill="1" applyBorder="1" applyAlignment="1">
      <alignment horizontal="left"/>
      <protection/>
    </xf>
    <xf numFmtId="3" fontId="35" fillId="30" borderId="39" xfId="587" applyNumberFormat="1" applyFont="1" applyFill="1" applyBorder="1" applyAlignment="1">
      <alignment horizontal="left"/>
      <protection/>
    </xf>
    <xf numFmtId="0" fontId="107" fillId="0" borderId="169" xfId="587" applyFont="1" applyBorder="1">
      <alignment/>
      <protection/>
    </xf>
    <xf numFmtId="3" fontId="107" fillId="30" borderId="128" xfId="587" applyNumberFormat="1" applyFont="1" applyFill="1" applyBorder="1" applyAlignment="1">
      <alignment horizontal="left"/>
      <protection/>
    </xf>
    <xf numFmtId="3" fontId="107" fillId="0" borderId="125" xfId="587" applyNumberFormat="1" applyFont="1" applyBorder="1" applyAlignment="1">
      <alignment horizontal="left"/>
      <protection/>
    </xf>
    <xf numFmtId="0" fontId="35" fillId="0" borderId="283" xfId="587" applyFont="1" applyFill="1" applyBorder="1">
      <alignment/>
      <protection/>
    </xf>
    <xf numFmtId="0" fontId="35" fillId="0" borderId="141" xfId="587" applyFont="1" applyBorder="1">
      <alignment/>
      <protection/>
    </xf>
    <xf numFmtId="0" fontId="35" fillId="0" borderId="270" xfId="587" applyFont="1" applyFill="1" applyBorder="1">
      <alignment/>
      <protection/>
    </xf>
    <xf numFmtId="3" fontId="35" fillId="26" borderId="220" xfId="587" applyNumberFormat="1" applyFont="1" applyFill="1" applyBorder="1" applyAlignment="1">
      <alignment horizontal="right"/>
      <protection/>
    </xf>
    <xf numFmtId="3" fontId="35" fillId="0" borderId="303" xfId="587" applyNumberFormat="1" applyFont="1" applyBorder="1" applyAlignment="1">
      <alignment horizontal="right"/>
      <protection/>
    </xf>
    <xf numFmtId="3" fontId="49" fillId="10" borderId="39" xfId="0" applyNumberFormat="1" applyFont="1" applyFill="1" applyBorder="1" applyAlignment="1">
      <alignment/>
    </xf>
    <xf numFmtId="3" fontId="49" fillId="10" borderId="90" xfId="0" applyNumberFormat="1" applyFont="1" applyFill="1" applyBorder="1" applyAlignment="1">
      <alignment/>
    </xf>
    <xf numFmtId="3" fontId="49" fillId="36" borderId="162" xfId="0" applyNumberFormat="1" applyFont="1" applyFill="1" applyBorder="1" applyAlignment="1">
      <alignment/>
    </xf>
    <xf numFmtId="3" fontId="60" fillId="8" borderId="15" xfId="0" applyNumberFormat="1" applyFont="1" applyFill="1" applyBorder="1" applyAlignment="1">
      <alignment horizontal="left"/>
    </xf>
    <xf numFmtId="3" fontId="43" fillId="8" borderId="15" xfId="0" applyNumberFormat="1" applyFont="1" applyFill="1" applyBorder="1" applyAlignment="1">
      <alignment horizontal="left"/>
    </xf>
    <xf numFmtId="0" fontId="43" fillId="0" borderId="96" xfId="0" applyFont="1" applyFill="1" applyBorder="1" applyAlignment="1">
      <alignment horizontal="center"/>
    </xf>
    <xf numFmtId="0" fontId="43" fillId="0" borderId="174" xfId="0" applyFont="1" applyBorder="1" applyAlignment="1">
      <alignment horizontal="center"/>
    </xf>
    <xf numFmtId="0" fontId="55" fillId="0" borderId="141" xfId="0" applyFont="1" applyBorder="1" applyAlignment="1">
      <alignment/>
    </xf>
    <xf numFmtId="0" fontId="43" fillId="0" borderId="140" xfId="0" applyFont="1" applyBorder="1" applyAlignment="1">
      <alignment horizontal="center"/>
    </xf>
    <xf numFmtId="0" fontId="43" fillId="0" borderId="92" xfId="0" applyFont="1" applyBorder="1" applyAlignment="1">
      <alignment/>
    </xf>
    <xf numFmtId="0" fontId="43" fillId="0" borderId="113" xfId="0" applyFont="1" applyBorder="1" applyAlignment="1">
      <alignment/>
    </xf>
    <xf numFmtId="0" fontId="43" fillId="0" borderId="141" xfId="0" applyFont="1" applyBorder="1" applyAlignment="1">
      <alignment/>
    </xf>
    <xf numFmtId="3" fontId="43" fillId="0" borderId="220" xfId="0" applyNumberFormat="1" applyFont="1" applyBorder="1" applyAlignment="1">
      <alignment/>
    </xf>
    <xf numFmtId="3" fontId="43" fillId="0" borderId="85" xfId="0" applyNumberFormat="1" applyFont="1" applyBorder="1" applyAlignment="1">
      <alignment/>
    </xf>
    <xf numFmtId="4" fontId="43" fillId="0" borderId="90" xfId="0" applyNumberFormat="1" applyFont="1" applyBorder="1" applyAlignment="1">
      <alignment/>
    </xf>
    <xf numFmtId="4" fontId="43" fillId="0" borderId="85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43" fillId="10" borderId="204" xfId="0" applyFont="1" applyFill="1" applyBorder="1" applyAlignment="1">
      <alignment/>
    </xf>
    <xf numFmtId="0" fontId="116" fillId="39" borderId="140" xfId="0" applyFont="1" applyFill="1" applyBorder="1" applyAlignment="1">
      <alignment/>
    </xf>
    <xf numFmtId="0" fontId="52" fillId="10" borderId="141" xfId="0" applyFont="1" applyFill="1" applyBorder="1" applyAlignment="1">
      <alignment/>
    </xf>
    <xf numFmtId="0" fontId="55" fillId="33" borderId="140" xfId="0" applyFont="1" applyFill="1" applyBorder="1" applyAlignment="1">
      <alignment/>
    </xf>
    <xf numFmtId="0" fontId="43" fillId="9" borderId="304" xfId="0" applyFont="1" applyFill="1" applyBorder="1" applyAlignment="1">
      <alignment horizontal="center"/>
    </xf>
    <xf numFmtId="0" fontId="25" fillId="9" borderId="305" xfId="0" applyFont="1" applyFill="1" applyBorder="1" applyAlignment="1">
      <alignment horizontal="left"/>
    </xf>
    <xf numFmtId="49" fontId="45" fillId="9" borderId="306" xfId="0" applyNumberFormat="1" applyFont="1" applyFill="1" applyBorder="1" applyAlignment="1">
      <alignment horizontal="center"/>
    </xf>
    <xf numFmtId="0" fontId="0" fillId="9" borderId="306" xfId="0" applyFont="1" applyFill="1" applyBorder="1" applyAlignment="1">
      <alignment/>
    </xf>
    <xf numFmtId="0" fontId="0" fillId="9" borderId="307" xfId="0" applyFont="1" applyFill="1" applyBorder="1" applyAlignment="1">
      <alignment/>
    </xf>
    <xf numFmtId="0" fontId="43" fillId="9" borderId="308" xfId="0" applyFont="1" applyFill="1" applyBorder="1" applyAlignment="1">
      <alignment horizontal="center"/>
    </xf>
    <xf numFmtId="0" fontId="47" fillId="9" borderId="309" xfId="0" applyFont="1" applyFill="1" applyBorder="1" applyAlignment="1">
      <alignment horizontal="center"/>
    </xf>
    <xf numFmtId="174" fontId="0" fillId="9" borderId="301" xfId="0" applyNumberFormat="1" applyFont="1" applyFill="1" applyBorder="1" applyAlignment="1">
      <alignment horizontal="center"/>
    </xf>
    <xf numFmtId="1" fontId="0" fillId="9" borderId="152" xfId="0" applyNumberFormat="1" applyFont="1" applyFill="1" applyBorder="1" applyAlignment="1">
      <alignment horizontal="center" vertical="center"/>
    </xf>
    <xf numFmtId="3" fontId="51" fillId="7" borderId="310" xfId="0" applyNumberFormat="1" applyFont="1" applyFill="1" applyBorder="1" applyAlignment="1">
      <alignment/>
    </xf>
    <xf numFmtId="3" fontId="51" fillId="27" borderId="311" xfId="0" applyNumberFormat="1" applyFont="1" applyFill="1" applyBorder="1" applyAlignment="1">
      <alignment/>
    </xf>
    <xf numFmtId="3" fontId="51" fillId="36" borderId="312" xfId="0" applyNumberFormat="1" applyFont="1" applyFill="1" applyBorder="1" applyAlignment="1">
      <alignment/>
    </xf>
    <xf numFmtId="4" fontId="43" fillId="0" borderId="202" xfId="0" applyNumberFormat="1" applyFont="1" applyBorder="1" applyAlignment="1">
      <alignment/>
    </xf>
    <xf numFmtId="0" fontId="55" fillId="0" borderId="186" xfId="0" applyFont="1" applyBorder="1" applyAlignment="1">
      <alignment/>
    </xf>
    <xf numFmtId="0" fontId="43" fillId="0" borderId="299" xfId="0" applyFont="1" applyFill="1" applyBorder="1" applyAlignment="1">
      <alignment horizontal="center"/>
    </xf>
    <xf numFmtId="0" fontId="43" fillId="0" borderId="96" xfId="0" applyFont="1" applyBorder="1" applyAlignment="1">
      <alignment horizontal="center"/>
    </xf>
    <xf numFmtId="0" fontId="48" fillId="7" borderId="99" xfId="0" applyFont="1" applyFill="1" applyBorder="1" applyAlignment="1">
      <alignment horizontal="left" vertical="center"/>
    </xf>
    <xf numFmtId="0" fontId="48" fillId="7" borderId="100" xfId="0" applyFont="1" applyFill="1" applyBorder="1" applyAlignment="1">
      <alignment vertical="center"/>
    </xf>
    <xf numFmtId="0" fontId="56" fillId="7" borderId="100" xfId="0" applyFont="1" applyFill="1" applyBorder="1" applyAlignment="1">
      <alignment/>
    </xf>
    <xf numFmtId="0" fontId="48" fillId="7" borderId="100" xfId="0" applyFont="1" applyFill="1" applyBorder="1" applyAlignment="1">
      <alignment/>
    </xf>
    <xf numFmtId="0" fontId="56" fillId="7" borderId="292" xfId="0" applyFont="1" applyFill="1" applyBorder="1" applyAlignment="1">
      <alignment/>
    </xf>
    <xf numFmtId="174" fontId="48" fillId="7" borderId="313" xfId="0" applyNumberFormat="1" applyFont="1" applyFill="1" applyBorder="1" applyAlignment="1">
      <alignment/>
    </xf>
    <xf numFmtId="3" fontId="49" fillId="7" borderId="292" xfId="0" applyNumberFormat="1" applyFont="1" applyFill="1" applyBorder="1" applyAlignment="1">
      <alignment/>
    </xf>
    <xf numFmtId="3" fontId="49" fillId="7" borderId="250" xfId="0" applyNumberFormat="1" applyFont="1" applyFill="1" applyBorder="1" applyAlignment="1">
      <alignment/>
    </xf>
    <xf numFmtId="3" fontId="51" fillId="7" borderId="250" xfId="0" applyNumberFormat="1" applyFont="1" applyFill="1" applyBorder="1" applyAlignment="1">
      <alignment/>
    </xf>
    <xf numFmtId="3" fontId="54" fillId="7" borderId="314" xfId="0" applyNumberFormat="1" applyFont="1" applyFill="1" applyBorder="1" applyAlignment="1">
      <alignment/>
    </xf>
    <xf numFmtId="0" fontId="49" fillId="7" borderId="315" xfId="0" applyFont="1" applyFill="1" applyBorder="1" applyAlignment="1">
      <alignment/>
    </xf>
    <xf numFmtId="0" fontId="50" fillId="0" borderId="315" xfId="0" applyFont="1" applyFill="1" applyBorder="1" applyAlignment="1">
      <alignment horizontal="center"/>
    </xf>
    <xf numFmtId="0" fontId="43" fillId="0" borderId="315" xfId="0" applyFont="1" applyBorder="1" applyAlignment="1">
      <alignment horizontal="center"/>
    </xf>
    <xf numFmtId="0" fontId="43" fillId="0" borderId="315" xfId="0" applyFont="1" applyFill="1" applyBorder="1" applyAlignment="1">
      <alignment horizontal="center"/>
    </xf>
    <xf numFmtId="0" fontId="50" fillId="8" borderId="315" xfId="0" applyFont="1" applyFill="1" applyBorder="1" applyAlignment="1">
      <alignment horizontal="center"/>
    </xf>
    <xf numFmtId="0" fontId="0" fillId="0" borderId="269" xfId="0" applyBorder="1" applyAlignment="1">
      <alignment horizontal="center"/>
    </xf>
    <xf numFmtId="0" fontId="50" fillId="10" borderId="157" xfId="0" applyFont="1" applyFill="1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174" xfId="0" applyBorder="1" applyAlignment="1">
      <alignment horizontal="center"/>
    </xf>
    <xf numFmtId="0" fontId="49" fillId="32" borderId="92" xfId="0" applyFont="1" applyFill="1" applyBorder="1" applyAlignment="1">
      <alignment/>
    </xf>
    <xf numFmtId="0" fontId="0" fillId="32" borderId="85" xfId="0" applyFont="1" applyFill="1" applyBorder="1" applyAlignment="1">
      <alignment/>
    </xf>
    <xf numFmtId="0" fontId="0" fillId="32" borderId="113" xfId="0" applyFont="1" applyFill="1" applyBorder="1" applyAlignment="1">
      <alignment/>
    </xf>
    <xf numFmtId="3" fontId="51" fillId="39" borderId="140" xfId="0" applyNumberFormat="1" applyFont="1" applyFill="1" applyBorder="1" applyAlignment="1">
      <alignment/>
    </xf>
    <xf numFmtId="3" fontId="51" fillId="39" borderId="209" xfId="0" applyNumberFormat="1" applyFont="1" applyFill="1" applyBorder="1" applyAlignment="1">
      <alignment/>
    </xf>
    <xf numFmtId="3" fontId="43" fillId="33" borderId="140" xfId="0" applyNumberFormat="1" applyFont="1" applyFill="1" applyBorder="1" applyAlignment="1">
      <alignment/>
    </xf>
    <xf numFmtId="3" fontId="43" fillId="33" borderId="209" xfId="0" applyNumberFormat="1" applyFont="1" applyFill="1" applyBorder="1" applyAlignment="1">
      <alignment/>
    </xf>
    <xf numFmtId="3" fontId="43" fillId="0" borderId="186" xfId="0" applyNumberFormat="1" applyFont="1" applyBorder="1" applyAlignment="1">
      <alignment/>
    </xf>
    <xf numFmtId="3" fontId="43" fillId="0" borderId="212" xfId="0" applyNumberFormat="1" applyFont="1" applyBorder="1" applyAlignment="1">
      <alignment/>
    </xf>
    <xf numFmtId="3" fontId="35" fillId="0" borderId="302" xfId="587" applyNumberFormat="1" applyFont="1" applyBorder="1">
      <alignment/>
      <protection/>
    </xf>
    <xf numFmtId="3" fontId="35" fillId="0" borderId="316" xfId="587" applyNumberFormat="1" applyFont="1" applyBorder="1">
      <alignment/>
      <protection/>
    </xf>
    <xf numFmtId="1" fontId="5" fillId="0" borderId="0" xfId="587" applyNumberFormat="1" applyFont="1" applyBorder="1" applyAlignment="1">
      <alignment horizontal="center"/>
      <protection/>
    </xf>
    <xf numFmtId="1" fontId="31" fillId="0" borderId="0" xfId="587" applyNumberFormat="1" applyFont="1" applyFill="1" applyBorder="1" applyAlignment="1">
      <alignment horizontal="center"/>
      <protection/>
    </xf>
    <xf numFmtId="1" fontId="30" fillId="7" borderId="242" xfId="587" applyNumberFormat="1" applyFont="1" applyFill="1" applyBorder="1" applyAlignment="1">
      <alignment horizontal="center" vertical="center"/>
      <protection/>
    </xf>
    <xf numFmtId="171" fontId="43" fillId="15" borderId="170" xfId="423" applyNumberFormat="1" applyFont="1" applyFill="1" applyBorder="1" applyAlignment="1">
      <alignment horizontal="left"/>
    </xf>
    <xf numFmtId="171" fontId="43" fillId="15" borderId="170" xfId="423" applyNumberFormat="1" applyFont="1" applyFill="1" applyBorder="1" applyAlignment="1">
      <alignment horizontal="right"/>
    </xf>
    <xf numFmtId="171" fontId="43" fillId="0" borderId="199" xfId="423" applyNumberFormat="1" applyFont="1" applyFill="1" applyBorder="1" applyAlignment="1">
      <alignment horizontal="right"/>
    </xf>
    <xf numFmtId="171" fontId="43" fillId="15" borderId="89" xfId="423" applyNumberFormat="1" applyFont="1" applyFill="1" applyBorder="1" applyAlignment="1">
      <alignment horizontal="right"/>
    </xf>
    <xf numFmtId="171" fontId="43" fillId="0" borderId="224" xfId="423" applyNumberFormat="1" applyFont="1" applyFill="1" applyBorder="1" applyAlignment="1">
      <alignment horizontal="right"/>
    </xf>
    <xf numFmtId="171" fontId="43" fillId="15" borderId="88" xfId="423" applyNumberFormat="1" applyFont="1" applyFill="1" applyBorder="1" applyAlignment="1">
      <alignment horizontal="right"/>
    </xf>
    <xf numFmtId="171" fontId="43" fillId="0" borderId="199" xfId="423" applyNumberFormat="1" applyFont="1" applyBorder="1" applyAlignment="1">
      <alignment horizontal="right"/>
    </xf>
    <xf numFmtId="171" fontId="43" fillId="0" borderId="199" xfId="423" applyNumberFormat="1" applyFont="1" applyBorder="1" applyAlignment="1">
      <alignment horizontal="left"/>
    </xf>
    <xf numFmtId="171" fontId="43" fillId="15" borderId="167" xfId="423" applyNumberFormat="1" applyFont="1" applyFill="1" applyBorder="1" applyAlignment="1">
      <alignment horizontal="right"/>
    </xf>
    <xf numFmtId="171" fontId="43" fillId="0" borderId="200" xfId="423" applyNumberFormat="1" applyFont="1" applyBorder="1" applyAlignment="1">
      <alignment horizontal="right"/>
    </xf>
    <xf numFmtId="171" fontId="43" fillId="0" borderId="0" xfId="423" applyNumberFormat="1" applyFont="1" applyBorder="1" applyAlignment="1">
      <alignment horizontal="center"/>
    </xf>
    <xf numFmtId="171" fontId="43" fillId="0" borderId="0" xfId="423" applyNumberFormat="1" applyFont="1" applyBorder="1" applyAlignment="1">
      <alignment horizontal="right"/>
    </xf>
    <xf numFmtId="171" fontId="43" fillId="0" borderId="149" xfId="423" applyNumberFormat="1" applyFont="1" applyFill="1" applyBorder="1" applyAlignment="1">
      <alignment horizontal="right"/>
    </xf>
    <xf numFmtId="171" fontId="43" fillId="15" borderId="43" xfId="423" applyNumberFormat="1" applyFont="1" applyFill="1" applyBorder="1" applyAlignment="1">
      <alignment horizontal="right"/>
    </xf>
    <xf numFmtId="171" fontId="43" fillId="0" borderId="149" xfId="423" applyNumberFormat="1" applyFont="1" applyFill="1" applyBorder="1" applyAlignment="1">
      <alignment horizontal="left"/>
    </xf>
    <xf numFmtId="171" fontId="43" fillId="15" borderId="51" xfId="423" applyNumberFormat="1" applyFont="1" applyFill="1" applyBorder="1" applyAlignment="1">
      <alignment horizontal="left"/>
    </xf>
    <xf numFmtId="171" fontId="43" fillId="15" borderId="51" xfId="423" applyNumberFormat="1" applyFont="1" applyFill="1" applyBorder="1" applyAlignment="1">
      <alignment horizontal="right"/>
    </xf>
    <xf numFmtId="171" fontId="43" fillId="15" borderId="68" xfId="423" applyNumberFormat="1" applyFont="1" applyFill="1" applyBorder="1" applyAlignment="1">
      <alignment horizontal="right"/>
    </xf>
    <xf numFmtId="171" fontId="43" fillId="0" borderId="224" xfId="423" applyNumberFormat="1" applyFont="1" applyBorder="1" applyAlignment="1">
      <alignment horizontal="right"/>
    </xf>
    <xf numFmtId="171" fontId="43" fillId="0" borderId="0" xfId="423" applyNumberFormat="1" applyFont="1" applyFill="1" applyBorder="1" applyAlignment="1">
      <alignment horizontal="center"/>
    </xf>
    <xf numFmtId="171" fontId="43" fillId="0" borderId="271" xfId="423" applyNumberFormat="1" applyFont="1" applyFill="1" applyBorder="1" applyAlignment="1">
      <alignment horizontal="right"/>
    </xf>
    <xf numFmtId="171" fontId="43" fillId="0" borderId="209" xfId="423" applyNumberFormat="1" applyFont="1" applyFill="1" applyBorder="1" applyAlignment="1">
      <alignment horizontal="right"/>
    </xf>
    <xf numFmtId="171" fontId="43" fillId="34" borderId="51" xfId="423" applyNumberFormat="1" applyFont="1" applyFill="1" applyBorder="1" applyAlignment="1">
      <alignment horizontal="right"/>
    </xf>
    <xf numFmtId="171" fontId="43" fillId="0" borderId="212" xfId="423" applyNumberFormat="1" applyFont="1" applyFill="1" applyBorder="1" applyAlignment="1">
      <alignment horizontal="right"/>
    </xf>
    <xf numFmtId="171" fontId="43" fillId="0" borderId="0" xfId="423" applyNumberFormat="1" applyFont="1" applyFill="1" applyBorder="1" applyAlignment="1">
      <alignment horizontal="right"/>
    </xf>
    <xf numFmtId="171" fontId="43" fillId="0" borderId="114" xfId="423" applyNumberFormat="1" applyFont="1" applyFill="1" applyBorder="1" applyAlignment="1">
      <alignment horizontal="right"/>
    </xf>
    <xf numFmtId="171" fontId="43" fillId="15" borderId="220" xfId="423" applyNumberFormat="1" applyFont="1" applyFill="1" applyBorder="1" applyAlignment="1">
      <alignment horizontal="right"/>
    </xf>
    <xf numFmtId="171" fontId="43" fillId="0" borderId="317" xfId="423" applyNumberFormat="1" applyFont="1" applyBorder="1" applyAlignment="1">
      <alignment horizontal="right"/>
    </xf>
    <xf numFmtId="171" fontId="43" fillId="0" borderId="92" xfId="423" applyNumberFormat="1" applyFont="1" applyFill="1" applyBorder="1" applyAlignment="1">
      <alignment horizontal="right"/>
    </xf>
    <xf numFmtId="171" fontId="43" fillId="15" borderId="90" xfId="423" applyNumberFormat="1" applyFont="1" applyFill="1" applyBorder="1" applyAlignment="1">
      <alignment horizontal="right"/>
    </xf>
    <xf numFmtId="171" fontId="43" fillId="0" borderId="238" xfId="423" applyNumberFormat="1" applyFont="1" applyBorder="1" applyAlignment="1">
      <alignment horizontal="right"/>
    </xf>
    <xf numFmtId="171" fontId="43" fillId="50" borderId="238" xfId="423" applyNumberFormat="1" applyFont="1" applyFill="1" applyBorder="1" applyAlignment="1">
      <alignment horizontal="right"/>
    </xf>
    <xf numFmtId="171" fontId="43" fillId="0" borderId="210" xfId="423" applyNumberFormat="1" applyFont="1" applyFill="1" applyBorder="1" applyAlignment="1">
      <alignment horizontal="right"/>
    </xf>
    <xf numFmtId="171" fontId="43" fillId="15" borderId="166" xfId="423" applyNumberFormat="1" applyFont="1" applyFill="1" applyBorder="1" applyAlignment="1">
      <alignment horizontal="right"/>
    </xf>
    <xf numFmtId="171" fontId="43" fillId="0" borderId="247" xfId="423" applyNumberFormat="1" applyFont="1" applyBorder="1" applyAlignment="1">
      <alignment horizontal="right"/>
    </xf>
    <xf numFmtId="171" fontId="43" fillId="30" borderId="108" xfId="423" applyNumberFormat="1" applyFont="1" applyFill="1" applyBorder="1" applyAlignment="1">
      <alignment horizontal="right"/>
    </xf>
    <xf numFmtId="171" fontId="43" fillId="0" borderId="107" xfId="423" applyNumberFormat="1" applyFont="1" applyFill="1" applyBorder="1" applyAlignment="1">
      <alignment horizontal="right"/>
    </xf>
    <xf numFmtId="171" fontId="43" fillId="30" borderId="88" xfId="423" applyNumberFormat="1" applyFont="1" applyFill="1" applyBorder="1" applyAlignment="1">
      <alignment horizontal="right"/>
    </xf>
    <xf numFmtId="171" fontId="43" fillId="30" borderId="87" xfId="423" applyNumberFormat="1" applyFont="1" applyFill="1" applyBorder="1" applyAlignment="1">
      <alignment horizontal="right"/>
    </xf>
    <xf numFmtId="171" fontId="43" fillId="30" borderId="89" xfId="423" applyNumberFormat="1" applyFont="1" applyFill="1" applyBorder="1" applyAlignment="1">
      <alignment horizontal="right"/>
    </xf>
    <xf numFmtId="171" fontId="43" fillId="30" borderId="167" xfId="423" applyNumberFormat="1" applyFont="1" applyFill="1" applyBorder="1" applyAlignment="1">
      <alignment horizontal="right"/>
    </xf>
    <xf numFmtId="171" fontId="43" fillId="0" borderId="270" xfId="423" applyNumberFormat="1" applyFont="1" applyFill="1" applyBorder="1" applyAlignment="1">
      <alignment horizontal="right"/>
    </xf>
    <xf numFmtId="171" fontId="43" fillId="0" borderId="140" xfId="423" applyNumberFormat="1" applyFont="1" applyFill="1" applyBorder="1" applyAlignment="1">
      <alignment horizontal="right"/>
    </xf>
    <xf numFmtId="171" fontId="43" fillId="0" borderId="198" xfId="423" applyNumberFormat="1" applyFont="1" applyBorder="1" applyAlignment="1">
      <alignment horizontal="right"/>
    </xf>
    <xf numFmtId="171" fontId="43" fillId="0" borderId="140" xfId="423" applyNumberFormat="1" applyFont="1" applyFill="1" applyBorder="1" applyAlignment="1">
      <alignment horizontal="left"/>
    </xf>
    <xf numFmtId="171" fontId="43" fillId="0" borderId="235" xfId="423" applyNumberFormat="1" applyFont="1" applyFill="1" applyBorder="1" applyAlignment="1">
      <alignment horizontal="left"/>
    </xf>
    <xf numFmtId="171" fontId="43" fillId="0" borderId="255" xfId="423" applyNumberFormat="1" applyFont="1" applyFill="1" applyBorder="1" applyAlignment="1">
      <alignment horizontal="left"/>
    </xf>
    <xf numFmtId="171" fontId="43" fillId="34" borderId="170" xfId="423" applyNumberFormat="1" applyFont="1" applyFill="1" applyBorder="1" applyAlignment="1">
      <alignment horizontal="left"/>
    </xf>
    <xf numFmtId="171" fontId="43" fillId="15" borderId="121" xfId="423" applyNumberFormat="1" applyFont="1" applyFill="1" applyBorder="1" applyAlignment="1">
      <alignment horizontal="right"/>
    </xf>
    <xf numFmtId="171" fontId="43" fillId="0" borderId="125" xfId="423" applyNumberFormat="1" applyFont="1" applyFill="1" applyBorder="1" applyAlignment="1">
      <alignment horizontal="right"/>
    </xf>
    <xf numFmtId="171" fontId="43" fillId="15" borderId="132" xfId="423" applyNumberFormat="1" applyFont="1" applyFill="1" applyBorder="1" applyAlignment="1">
      <alignment horizontal="right"/>
    </xf>
    <xf numFmtId="171" fontId="43" fillId="0" borderId="226" xfId="423" applyNumberFormat="1" applyFont="1" applyFill="1" applyBorder="1" applyAlignment="1">
      <alignment horizontal="right"/>
    </xf>
    <xf numFmtId="171" fontId="43" fillId="0" borderId="198" xfId="423" applyNumberFormat="1" applyFont="1" applyFill="1" applyBorder="1" applyAlignment="1">
      <alignment horizontal="right"/>
    </xf>
    <xf numFmtId="171" fontId="43" fillId="0" borderId="207" xfId="423" applyNumberFormat="1" applyFont="1" applyFill="1" applyBorder="1" applyAlignment="1">
      <alignment horizontal="right"/>
    </xf>
    <xf numFmtId="171" fontId="43" fillId="0" borderId="186" xfId="423" applyNumberFormat="1" applyFont="1" applyFill="1" applyBorder="1" applyAlignment="1">
      <alignment horizontal="right"/>
    </xf>
    <xf numFmtId="171" fontId="43" fillId="0" borderId="200" xfId="423" applyNumberFormat="1" applyFont="1" applyFill="1" applyBorder="1" applyAlignment="1">
      <alignment horizontal="right"/>
    </xf>
    <xf numFmtId="171" fontId="43" fillId="0" borderId="152" xfId="423" applyNumberFormat="1" applyFont="1" applyBorder="1" applyAlignment="1">
      <alignment/>
    </xf>
    <xf numFmtId="171" fontId="43" fillId="30" borderId="51" xfId="423" applyNumberFormat="1" applyFont="1" applyFill="1" applyBorder="1" applyAlignment="1">
      <alignment horizontal="right"/>
    </xf>
    <xf numFmtId="171" fontId="43" fillId="0" borderId="224" xfId="423" applyNumberFormat="1" applyFont="1" applyBorder="1" applyAlignment="1">
      <alignment/>
    </xf>
    <xf numFmtId="171" fontId="43" fillId="35" borderId="51" xfId="423" applyNumberFormat="1" applyFont="1" applyFill="1" applyBorder="1" applyAlignment="1">
      <alignment horizontal="right"/>
    </xf>
    <xf numFmtId="171" fontId="43" fillId="0" borderId="0" xfId="423" applyNumberFormat="1" applyFont="1" applyBorder="1" applyAlignment="1">
      <alignment/>
    </xf>
    <xf numFmtId="171" fontId="43" fillId="0" borderId="54" xfId="423" applyNumberFormat="1" applyFont="1" applyBorder="1" applyAlignment="1">
      <alignment/>
    </xf>
    <xf numFmtId="171" fontId="43" fillId="30" borderId="44" xfId="423" applyNumberFormat="1" applyFont="1" applyFill="1" applyBorder="1" applyAlignment="1">
      <alignment/>
    </xf>
    <xf numFmtId="171" fontId="43" fillId="0" borderId="50" xfId="423" applyNumberFormat="1" applyFont="1" applyBorder="1" applyAlignment="1">
      <alignment/>
    </xf>
    <xf numFmtId="171" fontId="43" fillId="15" borderId="52" xfId="423" applyNumberFormat="1" applyFont="1" applyFill="1" applyBorder="1" applyAlignment="1">
      <alignment/>
    </xf>
    <xf numFmtId="171" fontId="43" fillId="4" borderId="61" xfId="423" applyNumberFormat="1" applyFont="1" applyFill="1" applyBorder="1" applyAlignment="1">
      <alignment/>
    </xf>
    <xf numFmtId="171" fontId="43" fillId="4" borderId="200" xfId="423" applyNumberFormat="1" applyFont="1" applyFill="1" applyBorder="1" applyAlignment="1">
      <alignment/>
    </xf>
    <xf numFmtId="171" fontId="43" fillId="30" borderId="52" xfId="423" applyNumberFormat="1" applyFont="1" applyFill="1" applyBorder="1" applyAlignment="1">
      <alignment/>
    </xf>
    <xf numFmtId="171" fontId="43" fillId="53" borderId="52" xfId="423" applyNumberFormat="1" applyFont="1" applyFill="1" applyBorder="1" applyAlignment="1">
      <alignment/>
    </xf>
    <xf numFmtId="171" fontId="43" fillId="0" borderId="53" xfId="423" applyNumberFormat="1" applyFont="1" applyBorder="1" applyAlignment="1">
      <alignment/>
    </xf>
    <xf numFmtId="171" fontId="43" fillId="0" borderId="199" xfId="423" applyNumberFormat="1" applyFont="1" applyBorder="1" applyAlignment="1">
      <alignment/>
    </xf>
    <xf numFmtId="171" fontId="43" fillId="0" borderId="106" xfId="423" applyNumberFormat="1" applyFont="1" applyBorder="1" applyAlignment="1">
      <alignment/>
    </xf>
    <xf numFmtId="171" fontId="43" fillId="30" borderId="52" xfId="423" applyNumberFormat="1" applyFont="1" applyFill="1" applyBorder="1" applyAlignment="1">
      <alignment horizontal="right"/>
    </xf>
    <xf numFmtId="171" fontId="43" fillId="15" borderId="52" xfId="423" applyNumberFormat="1" applyFont="1" applyFill="1" applyBorder="1" applyAlignment="1">
      <alignment horizontal="right"/>
    </xf>
    <xf numFmtId="171" fontId="43" fillId="54" borderId="224" xfId="423" applyNumberFormat="1" applyFont="1" applyFill="1" applyBorder="1" applyAlignment="1">
      <alignment/>
    </xf>
    <xf numFmtId="171" fontId="43" fillId="55" borderId="52" xfId="423" applyNumberFormat="1" applyFont="1" applyFill="1" applyBorder="1" applyAlignment="1">
      <alignment horizontal="right"/>
    </xf>
    <xf numFmtId="171" fontId="43" fillId="4" borderId="54" xfId="423" applyNumberFormat="1" applyFont="1" applyFill="1" applyBorder="1" applyAlignment="1">
      <alignment/>
    </xf>
    <xf numFmtId="171" fontId="43" fillId="4" borderId="224" xfId="423" applyNumberFormat="1" applyFont="1" applyFill="1" applyBorder="1" applyAlignment="1">
      <alignment/>
    </xf>
    <xf numFmtId="171" fontId="43" fillId="0" borderId="106" xfId="423" applyNumberFormat="1" applyFont="1" applyFill="1" applyBorder="1" applyAlignment="1">
      <alignment horizontal="right" vertical="center"/>
    </xf>
    <xf numFmtId="171" fontId="43" fillId="0" borderId="198" xfId="423" applyNumberFormat="1" applyFont="1" applyFill="1" applyBorder="1" applyAlignment="1">
      <alignment horizontal="right" vertical="center"/>
    </xf>
    <xf numFmtId="171" fontId="43" fillId="0" borderId="198" xfId="423" applyNumberFormat="1" applyFont="1" applyBorder="1" applyAlignment="1">
      <alignment/>
    </xf>
    <xf numFmtId="171" fontId="43" fillId="0" borderId="107" xfId="423" applyNumberFormat="1" applyFont="1" applyBorder="1" applyAlignment="1">
      <alignment/>
    </xf>
    <xf numFmtId="171" fontId="43" fillId="53" borderId="52" xfId="423" applyNumberFormat="1" applyFont="1" applyFill="1" applyBorder="1" applyAlignment="1">
      <alignment horizontal="right"/>
    </xf>
    <xf numFmtId="171" fontId="43" fillId="0" borderId="199" xfId="423" applyNumberFormat="1" applyFont="1" applyFill="1" applyBorder="1" applyAlignment="1">
      <alignment/>
    </xf>
    <xf numFmtId="171" fontId="43" fillId="30" borderId="44" xfId="423" applyNumberFormat="1" applyFont="1" applyFill="1" applyBorder="1" applyAlignment="1">
      <alignment horizontal="right"/>
    </xf>
    <xf numFmtId="171" fontId="43" fillId="4" borderId="52" xfId="423" applyNumberFormat="1" applyFont="1" applyFill="1" applyBorder="1" applyAlignment="1">
      <alignment/>
    </xf>
    <xf numFmtId="171" fontId="43" fillId="0" borderId="0" xfId="423" applyNumberFormat="1" applyFont="1" applyFill="1" applyBorder="1" applyAlignment="1">
      <alignment/>
    </xf>
    <xf numFmtId="171" fontId="43" fillId="3" borderId="0" xfId="423" applyNumberFormat="1" applyFont="1" applyFill="1" applyBorder="1" applyAlignment="1">
      <alignment horizontal="center"/>
    </xf>
    <xf numFmtId="171" fontId="43" fillId="3" borderId="0" xfId="423" applyNumberFormat="1" applyFont="1" applyFill="1" applyBorder="1" applyAlignment="1">
      <alignment/>
    </xf>
    <xf numFmtId="171" fontId="43" fillId="30" borderId="89" xfId="423" applyNumberFormat="1" applyFont="1" applyFill="1" applyBorder="1" applyAlignment="1">
      <alignment/>
    </xf>
    <xf numFmtId="171" fontId="43" fillId="0" borderId="239" xfId="423" applyNumberFormat="1" applyFont="1" applyBorder="1" applyAlignment="1">
      <alignment/>
    </xf>
    <xf numFmtId="171" fontId="43" fillId="0" borderId="92" xfId="423" applyNumberFormat="1" applyFont="1" applyFill="1" applyBorder="1" applyAlignment="1">
      <alignment/>
    </xf>
    <xf numFmtId="171" fontId="43" fillId="0" borderId="92" xfId="423" applyNumberFormat="1" applyFont="1" applyBorder="1" applyAlignment="1">
      <alignment/>
    </xf>
    <xf numFmtId="171" fontId="43" fillId="30" borderId="90" xfId="423" applyNumberFormat="1" applyFont="1" applyFill="1" applyBorder="1" applyAlignment="1">
      <alignment/>
    </xf>
    <xf numFmtId="171" fontId="43" fillId="0" borderId="209" xfId="423" applyNumberFormat="1" applyFont="1" applyBorder="1" applyAlignment="1">
      <alignment/>
    </xf>
    <xf numFmtId="171" fontId="43" fillId="0" borderId="230" xfId="423" applyNumberFormat="1" applyFont="1" applyBorder="1" applyAlignment="1">
      <alignment/>
    </xf>
    <xf numFmtId="171" fontId="43" fillId="30" borderId="128" xfId="423" applyNumberFormat="1" applyFont="1" applyFill="1" applyBorder="1" applyAlignment="1">
      <alignment/>
    </xf>
    <xf numFmtId="171" fontId="43" fillId="0" borderId="125" xfId="423" applyNumberFormat="1" applyFont="1" applyBorder="1" applyAlignment="1">
      <alignment/>
    </xf>
    <xf numFmtId="171" fontId="43" fillId="0" borderId="81" xfId="423" applyNumberFormat="1" applyFont="1" applyBorder="1" applyAlignment="1">
      <alignment/>
    </xf>
    <xf numFmtId="171" fontId="43" fillId="30" borderId="84" xfId="423" applyNumberFormat="1" applyFont="1" applyFill="1" applyBorder="1" applyAlignment="1">
      <alignment/>
    </xf>
    <xf numFmtId="171" fontId="43" fillId="0" borderId="154" xfId="423" applyNumberFormat="1" applyFont="1" applyBorder="1" applyAlignment="1">
      <alignment/>
    </xf>
    <xf numFmtId="171" fontId="43" fillId="0" borderId="260" xfId="423" applyNumberFormat="1" applyFont="1" applyBorder="1" applyAlignment="1">
      <alignment/>
    </xf>
    <xf numFmtId="171" fontId="43" fillId="30" borderId="225" xfId="423" applyNumberFormat="1" applyFont="1" applyFill="1" applyBorder="1" applyAlignment="1">
      <alignment/>
    </xf>
    <xf numFmtId="171" fontId="43" fillId="0" borderId="226" xfId="423" applyNumberFormat="1" applyFont="1" applyBorder="1" applyAlignment="1">
      <alignment/>
    </xf>
    <xf numFmtId="171" fontId="35" fillId="0" borderId="0" xfId="587" applyNumberFormat="1" applyFont="1" applyBorder="1" applyAlignment="1">
      <alignment horizontal="center"/>
      <protection/>
    </xf>
    <xf numFmtId="171" fontId="35" fillId="0" borderId="0" xfId="587" applyNumberFormat="1" applyFont="1" applyBorder="1">
      <alignment/>
      <protection/>
    </xf>
    <xf numFmtId="0" fontId="35" fillId="0" borderId="55" xfId="587" applyFont="1" applyFill="1" applyBorder="1">
      <alignment/>
      <protection/>
    </xf>
    <xf numFmtId="171" fontId="43" fillId="0" borderId="152" xfId="423" applyNumberFormat="1" applyFont="1" applyFill="1" applyBorder="1" applyAlignment="1">
      <alignment horizontal="right"/>
    </xf>
    <xf numFmtId="171" fontId="43" fillId="15" borderId="59" xfId="423" applyNumberFormat="1" applyFont="1" applyFill="1" applyBorder="1" applyAlignment="1">
      <alignment horizontal="right"/>
    </xf>
    <xf numFmtId="171" fontId="49" fillId="15" borderId="238" xfId="423" applyNumberFormat="1" applyFont="1" applyFill="1" applyBorder="1" applyAlignment="1">
      <alignment horizontal="center" vertical="top"/>
    </xf>
    <xf numFmtId="0" fontId="35" fillId="0" borderId="55" xfId="587" applyFont="1" applyBorder="1">
      <alignment/>
      <protection/>
    </xf>
    <xf numFmtId="4" fontId="35" fillId="0" borderId="55" xfId="587" applyNumberFormat="1" applyFont="1" applyBorder="1">
      <alignment/>
      <protection/>
    </xf>
    <xf numFmtId="4" fontId="36" fillId="0" borderId="55" xfId="587" applyNumberFormat="1" applyFont="1" applyBorder="1">
      <alignment/>
      <protection/>
    </xf>
    <xf numFmtId="0" fontId="35" fillId="0" borderId="207" xfId="587" applyFont="1" applyBorder="1" applyAlignment="1">
      <alignment horizontal="left"/>
      <protection/>
    </xf>
    <xf numFmtId="0" fontId="35" fillId="0" borderId="55" xfId="587" applyFont="1" applyBorder="1" applyAlignment="1">
      <alignment horizontal="left"/>
      <protection/>
    </xf>
    <xf numFmtId="0" fontId="36" fillId="0" borderId="96" xfId="587" applyFont="1" applyBorder="1" applyAlignment="1">
      <alignment horizontal="left"/>
      <protection/>
    </xf>
    <xf numFmtId="0" fontId="35" fillId="0" borderId="74" xfId="587" applyFont="1" applyBorder="1" applyAlignment="1">
      <alignment horizontal="left"/>
      <protection/>
    </xf>
    <xf numFmtId="171" fontId="43" fillId="30" borderId="152" xfId="423" applyNumberFormat="1" applyFont="1" applyFill="1" applyBorder="1" applyAlignment="1">
      <alignment/>
    </xf>
    <xf numFmtId="171" fontId="43" fillId="0" borderId="140" xfId="423" applyNumberFormat="1" applyFont="1" applyFill="1" applyBorder="1" applyAlignment="1">
      <alignment/>
    </xf>
    <xf numFmtId="4" fontId="70" fillId="0" borderId="0" xfId="587" applyNumberFormat="1" applyFont="1" applyFill="1" applyBorder="1" applyAlignment="1">
      <alignment horizontal="right"/>
      <protection/>
    </xf>
    <xf numFmtId="1" fontId="42" fillId="7" borderId="318" xfId="587" applyNumberFormat="1" applyFont="1" applyFill="1" applyBorder="1" applyAlignment="1">
      <alignment horizontal="center"/>
      <protection/>
    </xf>
    <xf numFmtId="1" fontId="42" fillId="7" borderId="46" xfId="587" applyNumberFormat="1" applyFont="1" applyFill="1" applyBorder="1" applyAlignment="1">
      <alignment horizontal="center"/>
      <protection/>
    </xf>
    <xf numFmtId="1" fontId="42" fillId="56" borderId="318" xfId="587" applyNumberFormat="1" applyFont="1" applyFill="1" applyBorder="1" applyAlignment="1">
      <alignment horizontal="center"/>
      <protection/>
    </xf>
    <xf numFmtId="1" fontId="42" fillId="56" borderId="46" xfId="587" applyNumberFormat="1" applyFont="1" applyFill="1" applyBorder="1" applyAlignment="1">
      <alignment horizontal="center"/>
      <protection/>
    </xf>
    <xf numFmtId="1" fontId="36" fillId="56" borderId="237" xfId="587" applyNumberFormat="1" applyFont="1" applyFill="1" applyBorder="1" applyAlignment="1">
      <alignment horizontal="center" wrapText="1"/>
      <protection/>
    </xf>
    <xf numFmtId="3" fontId="35" fillId="50" borderId="199" xfId="587" applyNumberFormat="1" applyFont="1" applyFill="1" applyBorder="1" applyAlignment="1">
      <alignment horizontal="left"/>
      <protection/>
    </xf>
    <xf numFmtId="3" fontId="35" fillId="50" borderId="200" xfId="587" applyNumberFormat="1" applyFont="1" applyFill="1" applyBorder="1" applyAlignment="1">
      <alignment horizontal="left"/>
      <protection/>
    </xf>
    <xf numFmtId="0" fontId="117" fillId="0" borderId="140" xfId="587" applyFont="1" applyBorder="1">
      <alignment/>
      <protection/>
    </xf>
    <xf numFmtId="0" fontId="35" fillId="0" borderId="96" xfId="587" applyFont="1" applyFill="1" applyBorder="1">
      <alignment/>
      <protection/>
    </xf>
    <xf numFmtId="0" fontId="35" fillId="0" borderId="0" xfId="587" applyFont="1" applyBorder="1">
      <alignment/>
      <protection/>
    </xf>
    <xf numFmtId="0" fontId="35" fillId="0" borderId="185" xfId="587" applyFont="1" applyFill="1" applyBorder="1">
      <alignment/>
      <protection/>
    </xf>
    <xf numFmtId="3" fontId="35" fillId="0" borderId="140" xfId="587" applyNumberFormat="1" applyFont="1" applyBorder="1" applyAlignment="1">
      <alignment horizontal="right"/>
      <protection/>
    </xf>
    <xf numFmtId="3" fontId="35" fillId="26" borderId="87" xfId="587" applyNumberFormat="1" applyFont="1" applyFill="1" applyBorder="1" applyAlignment="1">
      <alignment horizontal="right"/>
      <protection/>
    </xf>
    <xf numFmtId="3" fontId="35" fillId="0" borderId="0" xfId="587" applyNumberFormat="1" applyFont="1" applyFill="1" applyBorder="1">
      <alignment/>
      <protection/>
    </xf>
    <xf numFmtId="0" fontId="5" fillId="0" borderId="0" xfId="587" applyFont="1" applyFill="1" applyBorder="1">
      <alignment/>
      <protection/>
    </xf>
    <xf numFmtId="0" fontId="5" fillId="0" borderId="0" xfId="587" applyFont="1" applyBorder="1">
      <alignment/>
      <protection/>
    </xf>
    <xf numFmtId="0" fontId="32" fillId="0" borderId="0" xfId="587" applyFont="1" applyBorder="1">
      <alignment/>
      <protection/>
    </xf>
    <xf numFmtId="0" fontId="117" fillId="0" borderId="130" xfId="587" applyFont="1" applyBorder="1">
      <alignment/>
      <protection/>
    </xf>
    <xf numFmtId="3" fontId="117" fillId="0" borderId="113" xfId="587" applyNumberFormat="1" applyFont="1" applyBorder="1">
      <alignment/>
      <protection/>
    </xf>
    <xf numFmtId="3" fontId="117" fillId="0" borderId="92" xfId="587" applyNumberFormat="1" applyFont="1" applyBorder="1">
      <alignment/>
      <protection/>
    </xf>
    <xf numFmtId="3" fontId="117" fillId="0" borderId="209" xfId="587" applyNumberFormat="1" applyFont="1" applyBorder="1" applyAlignment="1">
      <alignment horizontal="left"/>
      <protection/>
    </xf>
    <xf numFmtId="176" fontId="117" fillId="0" borderId="0" xfId="587" applyNumberFormat="1" applyFont="1" applyFill="1" applyBorder="1">
      <alignment/>
      <protection/>
    </xf>
    <xf numFmtId="0" fontId="118" fillId="0" borderId="0" xfId="587" applyFont="1" applyFill="1" applyBorder="1">
      <alignment/>
      <protection/>
    </xf>
    <xf numFmtId="0" fontId="117" fillId="0" borderId="0" xfId="587" applyFont="1" applyFill="1" applyBorder="1">
      <alignment/>
      <protection/>
    </xf>
    <xf numFmtId="0" fontId="118" fillId="0" borderId="0" xfId="587" applyFont="1" applyBorder="1">
      <alignment/>
      <protection/>
    </xf>
    <xf numFmtId="3" fontId="35" fillId="35" borderId="90" xfId="587" applyNumberFormat="1" applyFont="1" applyFill="1" applyBorder="1" applyAlignment="1">
      <alignment horizontal="left"/>
      <protection/>
    </xf>
    <xf numFmtId="3" fontId="107" fillId="0" borderId="209" xfId="587" applyNumberFormat="1" applyFont="1" applyBorder="1" applyAlignment="1">
      <alignment horizontal="left"/>
      <protection/>
    </xf>
    <xf numFmtId="3" fontId="35" fillId="50" borderId="238" xfId="587" applyNumberFormat="1" applyFont="1" applyFill="1" applyBorder="1">
      <alignment/>
      <protection/>
    </xf>
    <xf numFmtId="3" fontId="35" fillId="50" borderId="209" xfId="587" applyNumberFormat="1" applyFont="1" applyFill="1" applyBorder="1" applyAlignment="1">
      <alignment horizontal="center" vertical="center"/>
      <protection/>
    </xf>
    <xf numFmtId="49" fontId="0" fillId="0" borderId="0" xfId="0" applyNumberFormat="1" applyAlignment="1">
      <alignment horizontal="center"/>
    </xf>
    <xf numFmtId="171" fontId="0" fillId="0" borderId="0" xfId="423" applyAlignment="1">
      <alignment horizontal="center"/>
    </xf>
    <xf numFmtId="0" fontId="119" fillId="0" borderId="0" xfId="0" applyFont="1" applyAlignment="1">
      <alignment/>
    </xf>
    <xf numFmtId="171" fontId="119" fillId="0" borderId="0" xfId="423" applyFont="1" applyAlignment="1">
      <alignment horizontal="center"/>
    </xf>
    <xf numFmtId="49" fontId="119" fillId="0" borderId="0" xfId="0" applyNumberFormat="1" applyFont="1" applyAlignment="1">
      <alignment horizontal="center"/>
    </xf>
    <xf numFmtId="0" fontId="119" fillId="0" borderId="0" xfId="0" applyFont="1" applyAlignment="1">
      <alignment horizontal="center"/>
    </xf>
    <xf numFmtId="49" fontId="119" fillId="0" borderId="0" xfId="423" applyNumberFormat="1" applyFont="1" applyAlignment="1">
      <alignment horizontal="center"/>
    </xf>
    <xf numFmtId="0" fontId="119" fillId="0" borderId="0" xfId="0" applyFont="1" applyAlignment="1">
      <alignment horizontal="center" wrapText="1"/>
    </xf>
    <xf numFmtId="3" fontId="120" fillId="0" borderId="0" xfId="587" applyNumberFormat="1" applyFont="1" applyFill="1" applyBorder="1" applyAlignment="1">
      <alignment horizontal="left"/>
      <protection/>
    </xf>
    <xf numFmtId="4" fontId="120" fillId="0" borderId="0" xfId="587" applyNumberFormat="1" applyFont="1" applyFill="1" applyBorder="1">
      <alignment/>
      <protection/>
    </xf>
    <xf numFmtId="3" fontId="35" fillId="51" borderId="44" xfId="587" applyNumberFormat="1" applyFont="1" applyFill="1" applyBorder="1">
      <alignment/>
      <protection/>
    </xf>
    <xf numFmtId="3" fontId="107" fillId="51" borderId="44" xfId="587" applyNumberFormat="1" applyFont="1" applyFill="1" applyBorder="1">
      <alignment/>
      <protection/>
    </xf>
    <xf numFmtId="3" fontId="68" fillId="51" borderId="44" xfId="587" applyNumberFormat="1" applyFont="1" applyFill="1" applyBorder="1" applyAlignment="1">
      <alignment horizontal="right"/>
      <protection/>
    </xf>
    <xf numFmtId="3" fontId="68" fillId="51" borderId="52" xfId="587" applyNumberFormat="1" applyFont="1" applyFill="1" applyBorder="1" applyAlignment="1">
      <alignment horizontal="left"/>
      <protection/>
    </xf>
    <xf numFmtId="3" fontId="35" fillId="51" borderId="52" xfId="587" applyNumberFormat="1" applyFont="1" applyFill="1" applyBorder="1">
      <alignment/>
      <protection/>
    </xf>
    <xf numFmtId="3" fontId="36" fillId="51" borderId="52" xfId="587" applyNumberFormat="1" applyFont="1" applyFill="1" applyBorder="1">
      <alignment/>
      <protection/>
    </xf>
    <xf numFmtId="3" fontId="70" fillId="51" borderId="52" xfId="587" applyNumberFormat="1" applyFont="1" applyFill="1" applyBorder="1">
      <alignment/>
      <protection/>
    </xf>
    <xf numFmtId="3" fontId="73" fillId="51" borderId="52" xfId="587" applyNumberFormat="1" applyFont="1" applyFill="1" applyBorder="1" applyAlignment="1">
      <alignment horizontal="right"/>
      <protection/>
    </xf>
    <xf numFmtId="3" fontId="35" fillId="51" borderId="52" xfId="587" applyNumberFormat="1" applyFont="1" applyFill="1" applyBorder="1" applyAlignment="1">
      <alignment horizontal="left"/>
      <protection/>
    </xf>
    <xf numFmtId="3" fontId="35" fillId="50" borderId="52" xfId="587" applyNumberFormat="1" applyFont="1" applyFill="1" applyBorder="1">
      <alignment/>
      <protection/>
    </xf>
    <xf numFmtId="3" fontId="35" fillId="51" borderId="52" xfId="587" applyNumberFormat="1" applyFont="1" applyFill="1" applyBorder="1" applyAlignment="1">
      <alignment horizontal="right"/>
      <protection/>
    </xf>
    <xf numFmtId="3" fontId="73" fillId="51" borderId="52" xfId="587" applyNumberFormat="1" applyFont="1" applyFill="1" applyBorder="1">
      <alignment/>
      <protection/>
    </xf>
    <xf numFmtId="3" fontId="5" fillId="51" borderId="52" xfId="587" applyNumberFormat="1" applyFont="1" applyFill="1" applyBorder="1">
      <alignment/>
      <protection/>
    </xf>
    <xf numFmtId="3" fontId="35" fillId="51" borderId="128" xfId="587" applyNumberFormat="1" applyFont="1" applyFill="1" applyBorder="1">
      <alignment/>
      <protection/>
    </xf>
    <xf numFmtId="3" fontId="30" fillId="50" borderId="228" xfId="587" applyNumberFormat="1" applyFont="1" applyFill="1" applyBorder="1" applyAlignment="1">
      <alignment horizontal="center" vertical="center"/>
      <protection/>
    </xf>
    <xf numFmtId="3" fontId="68" fillId="51" borderId="52" xfId="587" applyNumberFormat="1" applyFont="1" applyFill="1" applyBorder="1" applyAlignment="1">
      <alignment horizontal="right"/>
      <protection/>
    </xf>
    <xf numFmtId="3" fontId="0" fillId="51" borderId="39" xfId="0" applyNumberFormat="1" applyFill="1" applyBorder="1" applyAlignment="1">
      <alignment/>
    </xf>
    <xf numFmtId="3" fontId="35" fillId="51" borderId="52" xfId="587" applyNumberFormat="1" applyFont="1" applyFill="1" applyBorder="1" applyAlignment="1">
      <alignment horizontal="right"/>
      <protection/>
    </xf>
    <xf numFmtId="3" fontId="35" fillId="51" borderId="128" xfId="587" applyNumberFormat="1" applyFont="1" applyFill="1" applyBorder="1" applyAlignment="1">
      <alignment horizontal="right"/>
      <protection/>
    </xf>
    <xf numFmtId="3" fontId="30" fillId="50" borderId="231" xfId="587" applyNumberFormat="1" applyFont="1" applyFill="1" applyBorder="1" applyAlignment="1">
      <alignment horizontal="center" vertical="center"/>
      <protection/>
    </xf>
    <xf numFmtId="3" fontId="35" fillId="51" borderId="48" xfId="587" applyNumberFormat="1" applyFont="1" applyFill="1" applyBorder="1" applyAlignment="1">
      <alignment horizontal="right"/>
      <protection/>
    </xf>
    <xf numFmtId="4" fontId="35" fillId="50" borderId="0" xfId="587" applyNumberFormat="1" applyFont="1" applyFill="1" applyBorder="1" applyAlignment="1">
      <alignment horizontal="right"/>
      <protection/>
    </xf>
    <xf numFmtId="3" fontId="35" fillId="51" borderId="51" xfId="587" applyNumberFormat="1" applyFont="1" applyFill="1" applyBorder="1">
      <alignment/>
      <protection/>
    </xf>
    <xf numFmtId="4" fontId="35" fillId="50" borderId="0" xfId="587" applyNumberFormat="1" applyFont="1" applyFill="1" applyBorder="1" applyAlignment="1">
      <alignment horizontal="left"/>
      <protection/>
    </xf>
    <xf numFmtId="4" fontId="30" fillId="50" borderId="0" xfId="587" applyNumberFormat="1" applyFont="1" applyFill="1" applyBorder="1" applyAlignment="1">
      <alignment horizontal="right"/>
      <protection/>
    </xf>
    <xf numFmtId="3" fontId="35" fillId="51" borderId="88" xfId="587" applyNumberFormat="1" applyFont="1" applyFill="1" applyBorder="1">
      <alignment/>
      <protection/>
    </xf>
    <xf numFmtId="3" fontId="35" fillId="51" borderId="88" xfId="587" applyNumberFormat="1" applyFont="1" applyFill="1" applyBorder="1" applyAlignment="1">
      <alignment horizontal="right"/>
      <protection/>
    </xf>
    <xf numFmtId="3" fontId="35" fillId="51" borderId="88" xfId="587" applyNumberFormat="1" applyFont="1" applyFill="1" applyBorder="1" applyAlignment="1">
      <alignment horizontal="left"/>
      <protection/>
    </xf>
    <xf numFmtId="3" fontId="35" fillId="51" borderId="167" xfId="587" applyNumberFormat="1" applyFont="1" applyFill="1" applyBorder="1">
      <alignment/>
      <protection/>
    </xf>
    <xf numFmtId="3" fontId="5" fillId="50" borderId="0" xfId="587" applyNumberFormat="1" applyFont="1" applyFill="1" applyBorder="1" applyAlignment="1">
      <alignment horizontal="right"/>
      <protection/>
    </xf>
    <xf numFmtId="3" fontId="68" fillId="51" borderId="88" xfId="587" applyNumberFormat="1" applyFont="1" applyFill="1" applyBorder="1" applyAlignment="1">
      <alignment horizontal="left"/>
      <protection/>
    </xf>
    <xf numFmtId="4" fontId="30" fillId="52" borderId="0" xfId="587" applyNumberFormat="1" applyFont="1" applyFill="1" applyBorder="1" applyAlignment="1">
      <alignment horizontal="right"/>
      <protection/>
    </xf>
    <xf numFmtId="0" fontId="30" fillId="50" borderId="0" xfId="587" applyFont="1" applyFill="1" applyBorder="1">
      <alignment/>
      <protection/>
    </xf>
    <xf numFmtId="3" fontId="82" fillId="51" borderId="88" xfId="587" applyNumberFormat="1" applyFont="1" applyFill="1" applyBorder="1" applyAlignment="1">
      <alignment horizontal="left"/>
      <protection/>
    </xf>
    <xf numFmtId="3" fontId="35" fillId="51" borderId="87" xfId="587" applyNumberFormat="1" applyFont="1" applyFill="1" applyBorder="1" applyAlignment="1">
      <alignment horizontal="right"/>
      <protection/>
    </xf>
    <xf numFmtId="3" fontId="68" fillId="51" borderId="88" xfId="587" applyNumberFormat="1" applyFont="1" applyFill="1" applyBorder="1" applyAlignment="1">
      <alignment horizontal="right"/>
      <protection/>
    </xf>
    <xf numFmtId="3" fontId="35" fillId="51" borderId="287" xfId="587" applyNumberFormat="1" applyFont="1" applyFill="1" applyBorder="1">
      <alignment/>
      <protection/>
    </xf>
    <xf numFmtId="3" fontId="36" fillId="50" borderId="87" xfId="587" applyNumberFormat="1" applyFont="1" applyFill="1" applyBorder="1" applyAlignment="1">
      <alignment horizontal="right"/>
      <protection/>
    </xf>
    <xf numFmtId="3" fontId="35" fillId="51" borderId="297" xfId="587" applyNumberFormat="1" applyFont="1" applyFill="1" applyBorder="1">
      <alignment/>
      <protection/>
    </xf>
    <xf numFmtId="3" fontId="35" fillId="50" borderId="87" xfId="587" applyNumberFormat="1" applyFont="1" applyFill="1" applyBorder="1" applyAlignment="1">
      <alignment horizontal="right"/>
      <protection/>
    </xf>
    <xf numFmtId="3" fontId="35" fillId="50" borderId="88" xfId="587" applyNumberFormat="1" applyFont="1" applyFill="1" applyBorder="1">
      <alignment/>
      <protection/>
    </xf>
    <xf numFmtId="3" fontId="83" fillId="50" borderId="88" xfId="587" applyNumberFormat="1" applyFont="1" applyFill="1" applyBorder="1" applyAlignment="1">
      <alignment horizontal="left"/>
      <protection/>
    </xf>
    <xf numFmtId="3" fontId="35" fillId="51" borderId="89" xfId="587" applyNumberFormat="1" applyFont="1" applyFill="1" applyBorder="1">
      <alignment/>
      <protection/>
    </xf>
    <xf numFmtId="3" fontId="35" fillId="51" borderId="90" xfId="587" applyNumberFormat="1" applyFont="1" applyFill="1" applyBorder="1">
      <alignment/>
      <protection/>
    </xf>
    <xf numFmtId="3" fontId="5" fillId="50" borderId="87" xfId="587" applyNumberFormat="1" applyFont="1" applyFill="1" applyBorder="1" applyAlignment="1">
      <alignment horizontal="right"/>
      <protection/>
    </xf>
    <xf numFmtId="3" fontId="84" fillId="50" borderId="166" xfId="587" applyNumberFormat="1" applyFont="1" applyFill="1" applyBorder="1" applyAlignment="1">
      <alignment horizontal="right"/>
      <protection/>
    </xf>
    <xf numFmtId="3" fontId="42" fillId="50" borderId="86" xfId="587" applyNumberFormat="1" applyFont="1" applyFill="1" applyBorder="1" applyAlignment="1">
      <alignment horizontal="center" vertical="center"/>
      <protection/>
    </xf>
    <xf numFmtId="3" fontId="35" fillId="51" borderId="89" xfId="587" applyNumberFormat="1" applyFont="1" applyFill="1" applyBorder="1" applyAlignment="1">
      <alignment horizontal="left"/>
      <protection/>
    </xf>
    <xf numFmtId="3" fontId="35" fillId="51" borderId="89" xfId="587" applyNumberFormat="1" applyFont="1" applyFill="1" applyBorder="1" applyAlignment="1">
      <alignment horizontal="right"/>
      <protection/>
    </xf>
    <xf numFmtId="3" fontId="35" fillId="50" borderId="87" xfId="587" applyNumberFormat="1" applyFont="1" applyFill="1" applyBorder="1" applyAlignment="1">
      <alignment horizontal="right"/>
      <protection/>
    </xf>
    <xf numFmtId="3" fontId="35" fillId="50" borderId="220" xfId="587" applyNumberFormat="1" applyFont="1" applyFill="1" applyBorder="1" applyAlignment="1">
      <alignment horizontal="right"/>
      <protection/>
    </xf>
    <xf numFmtId="3" fontId="35" fillId="51" borderId="291" xfId="587" applyNumberFormat="1" applyFont="1" applyFill="1" applyBorder="1">
      <alignment/>
      <protection/>
    </xf>
    <xf numFmtId="4" fontId="36" fillId="50" borderId="0" xfId="587" applyNumberFormat="1" applyFont="1" applyFill="1" applyBorder="1">
      <alignment/>
      <protection/>
    </xf>
    <xf numFmtId="4" fontId="30" fillId="52" borderId="0" xfId="587" applyNumberFormat="1" applyFont="1" applyFill="1" applyBorder="1" applyAlignment="1">
      <alignment/>
      <protection/>
    </xf>
    <xf numFmtId="0" fontId="30" fillId="50" borderId="0" xfId="587" applyFont="1" applyFill="1" applyBorder="1" applyAlignment="1">
      <alignment/>
      <protection/>
    </xf>
    <xf numFmtId="4" fontId="5" fillId="50" borderId="0" xfId="587" applyNumberFormat="1" applyFont="1" applyFill="1" applyBorder="1" applyAlignment="1">
      <alignment horizontal="left"/>
      <protection/>
    </xf>
    <xf numFmtId="3" fontId="112" fillId="51" borderId="52" xfId="587" applyNumberFormat="1" applyFont="1" applyFill="1" applyBorder="1" applyAlignment="1">
      <alignment horizontal="left"/>
      <protection/>
    </xf>
    <xf numFmtId="3" fontId="35" fillId="51" borderId="61" xfId="587" applyNumberFormat="1" applyFont="1" applyFill="1" applyBorder="1" applyAlignment="1">
      <alignment horizontal="left"/>
      <protection/>
    </xf>
    <xf numFmtId="3" fontId="5" fillId="50" borderId="0" xfId="587" applyNumberFormat="1" applyFont="1" applyFill="1" applyBorder="1">
      <alignment/>
      <protection/>
    </xf>
    <xf numFmtId="3" fontId="84" fillId="51" borderId="52" xfId="587" applyNumberFormat="1" applyFont="1" applyFill="1" applyBorder="1" applyAlignment="1">
      <alignment horizontal="left"/>
      <protection/>
    </xf>
    <xf numFmtId="3" fontId="42" fillId="50" borderId="41" xfId="587" applyNumberFormat="1" applyFont="1" applyFill="1" applyBorder="1" applyAlignment="1">
      <alignment horizontal="center" vertical="center"/>
      <protection/>
    </xf>
    <xf numFmtId="3" fontId="35" fillId="51" borderId="52" xfId="587" applyNumberFormat="1" applyFont="1" applyFill="1" applyBorder="1" applyAlignment="1">
      <alignment horizontal="left"/>
      <protection/>
    </xf>
    <xf numFmtId="3" fontId="107" fillId="51" borderId="44" xfId="587" applyNumberFormat="1" applyFont="1" applyFill="1" applyBorder="1" applyAlignment="1">
      <alignment horizontal="left"/>
      <protection/>
    </xf>
    <xf numFmtId="3" fontId="35" fillId="51" borderId="61" xfId="587" applyNumberFormat="1" applyFont="1" applyFill="1" applyBorder="1">
      <alignment/>
      <protection/>
    </xf>
    <xf numFmtId="3" fontId="35" fillId="50" borderId="39" xfId="587" applyNumberFormat="1" applyFont="1" applyFill="1" applyBorder="1">
      <alignment/>
      <protection/>
    </xf>
    <xf numFmtId="3" fontId="35" fillId="51" borderId="42" xfId="587" applyNumberFormat="1" applyFont="1" applyFill="1" applyBorder="1">
      <alignment/>
      <protection/>
    </xf>
    <xf numFmtId="3" fontId="107" fillId="51" borderId="128" xfId="587" applyNumberFormat="1" applyFont="1" applyFill="1" applyBorder="1" applyAlignment="1">
      <alignment horizontal="left"/>
      <protection/>
    </xf>
    <xf numFmtId="3" fontId="35" fillId="51" borderId="39" xfId="587" applyNumberFormat="1" applyFont="1" applyFill="1" applyBorder="1" applyAlignment="1">
      <alignment horizontal="left"/>
      <protection/>
    </xf>
    <xf numFmtId="3" fontId="35" fillId="51" borderId="251" xfId="587" applyNumberFormat="1" applyFont="1" applyFill="1" applyBorder="1" applyAlignment="1">
      <alignment horizontal="left"/>
      <protection/>
    </xf>
    <xf numFmtId="3" fontId="34" fillId="57" borderId="251" xfId="587" applyNumberFormat="1" applyFont="1" applyFill="1" applyBorder="1">
      <alignment/>
      <protection/>
    </xf>
    <xf numFmtId="3" fontId="108" fillId="51" borderId="170" xfId="587" applyNumberFormat="1" applyFont="1" applyFill="1" applyBorder="1">
      <alignment/>
      <protection/>
    </xf>
    <xf numFmtId="3" fontId="108" fillId="51" borderId="88" xfId="587" applyNumberFormat="1" applyFont="1" applyFill="1" applyBorder="1">
      <alignment/>
      <protection/>
    </xf>
    <xf numFmtId="3" fontId="108" fillId="51" borderId="88" xfId="587" applyNumberFormat="1" applyFont="1" applyFill="1" applyBorder="1" applyAlignment="1">
      <alignment horizontal="left"/>
      <protection/>
    </xf>
    <xf numFmtId="3" fontId="107" fillId="51" borderId="88" xfId="587" applyNumberFormat="1" applyFont="1" applyFill="1" applyBorder="1" applyAlignment="1">
      <alignment horizontal="left"/>
      <protection/>
    </xf>
    <xf numFmtId="3" fontId="114" fillId="50" borderId="90" xfId="589" applyNumberFormat="1" applyFont="1" applyFill="1" applyBorder="1" applyAlignment="1">
      <alignment horizontal="right"/>
    </xf>
    <xf numFmtId="3" fontId="114" fillId="51" borderId="170" xfId="587" applyNumberFormat="1" applyFont="1" applyFill="1" applyBorder="1">
      <alignment/>
      <protection/>
    </xf>
    <xf numFmtId="3" fontId="114" fillId="51" borderId="89" xfId="587" applyNumberFormat="1" applyFont="1" applyFill="1" applyBorder="1" applyAlignment="1">
      <alignment horizontal="left"/>
      <protection/>
    </xf>
    <xf numFmtId="3" fontId="35" fillId="51" borderId="167" xfId="587" applyNumberFormat="1" applyFont="1" applyFill="1" applyBorder="1" applyAlignment="1">
      <alignment horizontal="left"/>
      <protection/>
    </xf>
    <xf numFmtId="3" fontId="36" fillId="50" borderId="0" xfId="587" applyNumberFormat="1" applyFont="1" applyFill="1" applyBorder="1" applyAlignment="1">
      <alignment horizontal="right"/>
      <protection/>
    </xf>
    <xf numFmtId="3" fontId="111" fillId="52" borderId="90" xfId="584" applyNumberFormat="1" applyFont="1" applyFill="1" applyBorder="1" applyAlignment="1">
      <alignment/>
    </xf>
    <xf numFmtId="3" fontId="35" fillId="51" borderId="170" xfId="587" applyNumberFormat="1" applyFont="1" applyFill="1" applyBorder="1" applyAlignment="1">
      <alignment horizontal="left"/>
      <protection/>
    </xf>
    <xf numFmtId="3" fontId="110" fillId="51" borderId="88" xfId="587" applyNumberFormat="1" applyFont="1" applyFill="1" applyBorder="1" applyAlignment="1">
      <alignment horizontal="right"/>
      <protection/>
    </xf>
    <xf numFmtId="3" fontId="110" fillId="51" borderId="121" xfId="587" applyNumberFormat="1" applyFont="1" applyFill="1" applyBorder="1" applyAlignment="1">
      <alignment horizontal="right"/>
      <protection/>
    </xf>
    <xf numFmtId="3" fontId="107" fillId="51" borderId="220" xfId="587" applyNumberFormat="1" applyFont="1" applyFill="1" applyBorder="1" applyAlignment="1">
      <alignment horizontal="left"/>
      <protection/>
    </xf>
    <xf numFmtId="3" fontId="107" fillId="51" borderId="90" xfId="587" applyNumberFormat="1" applyFont="1" applyFill="1" applyBorder="1" applyAlignment="1">
      <alignment horizontal="left"/>
      <protection/>
    </xf>
    <xf numFmtId="3" fontId="108" fillId="51" borderId="170" xfId="587" applyNumberFormat="1" applyFont="1" applyFill="1" applyBorder="1" applyAlignment="1">
      <alignment horizontal="right"/>
      <protection/>
    </xf>
    <xf numFmtId="3" fontId="35" fillId="51" borderId="88" xfId="587" applyNumberFormat="1" applyFont="1" applyFill="1" applyBorder="1" applyAlignment="1">
      <alignment horizontal="left"/>
      <protection/>
    </xf>
    <xf numFmtId="3" fontId="108" fillId="51" borderId="88" xfId="587" applyNumberFormat="1" applyFont="1" applyFill="1" applyBorder="1" applyAlignment="1">
      <alignment horizontal="right"/>
      <protection/>
    </xf>
    <xf numFmtId="3" fontId="108" fillId="51" borderId="89" xfId="587" applyNumberFormat="1" applyFont="1" applyFill="1" applyBorder="1" applyAlignment="1">
      <alignment horizontal="left"/>
      <protection/>
    </xf>
    <xf numFmtId="3" fontId="68" fillId="51" borderId="89" xfId="587" applyNumberFormat="1" applyFont="1" applyFill="1" applyBorder="1" applyAlignment="1">
      <alignment horizontal="left"/>
      <protection/>
    </xf>
    <xf numFmtId="3" fontId="35" fillId="51" borderId="89" xfId="587" applyNumberFormat="1" applyFont="1" applyFill="1" applyBorder="1" applyAlignment="1">
      <alignment horizontal="left"/>
      <protection/>
    </xf>
    <xf numFmtId="3" fontId="35" fillId="51" borderId="121" xfId="587" applyNumberFormat="1" applyFont="1" applyFill="1" applyBorder="1" applyAlignment="1">
      <alignment horizontal="left"/>
      <protection/>
    </xf>
    <xf numFmtId="3" fontId="108" fillId="51" borderId="87" xfId="587" applyNumberFormat="1" applyFont="1" applyFill="1" applyBorder="1" applyAlignment="1">
      <alignment horizontal="left"/>
      <protection/>
    </xf>
    <xf numFmtId="3" fontId="68" fillId="51" borderId="90" xfId="587" applyNumberFormat="1" applyFont="1" applyFill="1" applyBorder="1" applyAlignment="1">
      <alignment horizontal="left"/>
      <protection/>
    </xf>
    <xf numFmtId="3" fontId="68" fillId="51" borderId="89" xfId="587" applyNumberFormat="1" applyFont="1" applyFill="1" applyBorder="1" applyAlignment="1">
      <alignment horizontal="right"/>
      <protection/>
    </xf>
    <xf numFmtId="3" fontId="68" fillId="51" borderId="90" xfId="587" applyNumberFormat="1" applyFont="1" applyFill="1" applyBorder="1" applyAlignment="1">
      <alignment horizontal="right"/>
      <protection/>
    </xf>
    <xf numFmtId="3" fontId="68" fillId="51" borderId="87" xfId="587" applyNumberFormat="1" applyFont="1" applyFill="1" applyBorder="1" applyAlignment="1">
      <alignment horizontal="right"/>
      <protection/>
    </xf>
    <xf numFmtId="3" fontId="66" fillId="51" borderId="87" xfId="587" applyNumberFormat="1" applyFont="1" applyFill="1" applyBorder="1" applyAlignment="1">
      <alignment horizontal="left"/>
      <protection/>
    </xf>
    <xf numFmtId="0" fontId="5" fillId="50" borderId="87" xfId="587" applyFont="1" applyFill="1" applyBorder="1">
      <alignment/>
      <protection/>
    </xf>
    <xf numFmtId="3" fontId="35" fillId="51" borderId="121" xfId="587" applyNumberFormat="1" applyFont="1" applyFill="1" applyBorder="1" applyAlignment="1">
      <alignment horizontal="left"/>
      <protection/>
    </xf>
    <xf numFmtId="3" fontId="35" fillId="51" borderId="88" xfId="587" applyNumberFormat="1" applyFont="1" applyFill="1" applyBorder="1">
      <alignment/>
      <protection/>
    </xf>
    <xf numFmtId="3" fontId="35" fillId="51" borderId="88" xfId="587" applyNumberFormat="1" applyFont="1" applyFill="1" applyBorder="1" applyAlignment="1">
      <alignment horizontal="right"/>
      <protection/>
    </xf>
    <xf numFmtId="3" fontId="68" fillId="51" borderId="88" xfId="587" applyNumberFormat="1" applyFont="1" applyFill="1" applyBorder="1">
      <alignment/>
      <protection/>
    </xf>
    <xf numFmtId="3" fontId="69" fillId="51" borderId="88" xfId="587" applyNumberFormat="1" applyFont="1" applyFill="1" applyBorder="1" applyAlignment="1">
      <alignment horizontal="right"/>
      <protection/>
    </xf>
    <xf numFmtId="3" fontId="69" fillId="51" borderId="89" xfId="587" applyNumberFormat="1" applyFont="1" applyFill="1" applyBorder="1" applyAlignment="1">
      <alignment horizontal="right"/>
      <protection/>
    </xf>
    <xf numFmtId="4" fontId="30" fillId="50" borderId="0" xfId="587" applyNumberFormat="1" applyFont="1" applyFill="1" applyBorder="1">
      <alignment/>
      <protection/>
    </xf>
    <xf numFmtId="3" fontId="35" fillId="52" borderId="90" xfId="587" applyNumberFormat="1" applyFont="1" applyFill="1" applyBorder="1" applyAlignment="1">
      <alignment horizontal="right"/>
      <protection/>
    </xf>
    <xf numFmtId="3" fontId="35" fillId="50" borderId="90" xfId="587" applyNumberFormat="1" applyFont="1" applyFill="1" applyBorder="1">
      <alignment/>
      <protection/>
    </xf>
    <xf numFmtId="3" fontId="66" fillId="51" borderId="90" xfId="587" applyNumberFormat="1" applyFont="1" applyFill="1" applyBorder="1" applyAlignment="1">
      <alignment horizontal="left"/>
      <protection/>
    </xf>
    <xf numFmtId="3" fontId="5" fillId="50" borderId="90" xfId="587" applyNumberFormat="1" applyFont="1" applyFill="1" applyBorder="1">
      <alignment/>
      <protection/>
    </xf>
    <xf numFmtId="3" fontId="37" fillId="50" borderId="90" xfId="587" applyNumberFormat="1" applyFont="1" applyFill="1" applyBorder="1">
      <alignment/>
      <protection/>
    </xf>
    <xf numFmtId="3" fontId="84" fillId="51" borderId="90" xfId="587" applyNumberFormat="1" applyFont="1" applyFill="1" applyBorder="1">
      <alignment/>
      <protection/>
    </xf>
    <xf numFmtId="4" fontId="35" fillId="50" borderId="90" xfId="587" applyNumberFormat="1" applyFont="1" applyFill="1" applyBorder="1">
      <alignment/>
      <protection/>
    </xf>
    <xf numFmtId="3" fontId="107" fillId="50" borderId="90" xfId="587" applyNumberFormat="1" applyFont="1" applyFill="1" applyBorder="1" applyAlignment="1">
      <alignment horizontal="left"/>
      <protection/>
    </xf>
    <xf numFmtId="3" fontId="35" fillId="50" borderId="90" xfId="587" applyNumberFormat="1" applyFont="1" applyFill="1" applyBorder="1" applyAlignment="1">
      <alignment horizontal="left"/>
      <protection/>
    </xf>
    <xf numFmtId="3" fontId="84" fillId="51" borderId="90" xfId="587" applyNumberFormat="1" applyFont="1" applyFill="1" applyBorder="1">
      <alignment/>
      <protection/>
    </xf>
    <xf numFmtId="3" fontId="42" fillId="50" borderId="90" xfId="587" applyNumberFormat="1" applyFont="1" applyFill="1" applyBorder="1" applyAlignment="1">
      <alignment horizontal="center" vertical="center"/>
      <protection/>
    </xf>
    <xf numFmtId="3" fontId="35" fillId="50" borderId="90" xfId="587" applyNumberFormat="1" applyFont="1" applyFill="1" applyBorder="1" applyAlignment="1">
      <alignment horizontal="center" vertical="center"/>
      <protection/>
    </xf>
    <xf numFmtId="3" fontId="35" fillId="50" borderId="90" xfId="587" applyNumberFormat="1" applyFont="1" applyFill="1" applyBorder="1">
      <alignment/>
      <protection/>
    </xf>
    <xf numFmtId="3" fontId="117" fillId="51" borderId="90" xfId="587" applyNumberFormat="1" applyFont="1" applyFill="1" applyBorder="1" applyAlignment="1">
      <alignment horizontal="left"/>
      <protection/>
    </xf>
    <xf numFmtId="3" fontId="35" fillId="50" borderId="166" xfId="587" applyNumberFormat="1" applyFont="1" applyFill="1" applyBorder="1">
      <alignment/>
      <protection/>
    </xf>
    <xf numFmtId="3" fontId="35" fillId="51" borderId="257" xfId="587" applyNumberFormat="1" applyFont="1" applyFill="1" applyBorder="1">
      <alignment/>
      <protection/>
    </xf>
    <xf numFmtId="4" fontId="35" fillId="50" borderId="0" xfId="587" applyNumberFormat="1" applyFont="1" applyFill="1" applyBorder="1">
      <alignment/>
      <protection/>
    </xf>
    <xf numFmtId="3" fontId="35" fillId="51" borderId="42" xfId="587" applyNumberFormat="1" applyFont="1" applyFill="1" applyBorder="1" applyAlignment="1">
      <alignment horizontal="right"/>
      <protection/>
    </xf>
    <xf numFmtId="3" fontId="35" fillId="51" borderId="44" xfId="587" applyNumberFormat="1" applyFont="1" applyFill="1" applyBorder="1" applyAlignment="1">
      <alignment horizontal="right"/>
      <protection/>
    </xf>
    <xf numFmtId="3" fontId="35" fillId="51" borderId="41" xfId="587" applyNumberFormat="1" applyFont="1" applyFill="1" applyBorder="1" applyAlignment="1">
      <alignment horizontal="right"/>
      <protection/>
    </xf>
    <xf numFmtId="1" fontId="42" fillId="58" borderId="46" xfId="587" applyNumberFormat="1" applyFont="1" applyFill="1" applyBorder="1" applyAlignment="1">
      <alignment horizontal="center"/>
      <protection/>
    </xf>
    <xf numFmtId="3" fontId="34" fillId="34" borderId="44" xfId="587" applyNumberFormat="1" applyFont="1" applyFill="1" applyBorder="1" applyAlignment="1">
      <alignment horizontal="right"/>
      <protection/>
    </xf>
    <xf numFmtId="3" fontId="34" fillId="34" borderId="52" xfId="587" applyNumberFormat="1" applyFont="1" applyFill="1" applyBorder="1" applyAlignment="1">
      <alignment horizontal="right"/>
      <protection/>
    </xf>
    <xf numFmtId="3" fontId="34" fillId="34" borderId="225" xfId="587" applyNumberFormat="1" applyFont="1" applyFill="1" applyBorder="1" applyAlignment="1">
      <alignment horizontal="right"/>
      <protection/>
    </xf>
    <xf numFmtId="3" fontId="36" fillId="34" borderId="52" xfId="587" applyNumberFormat="1" applyFont="1" applyFill="1" applyBorder="1">
      <alignment/>
      <protection/>
    </xf>
    <xf numFmtId="3" fontId="34" fillId="34" borderId="88" xfId="587" applyNumberFormat="1" applyFont="1" applyFill="1" applyBorder="1">
      <alignment/>
      <protection/>
    </xf>
    <xf numFmtId="3" fontId="34" fillId="34" borderId="86" xfId="587" applyNumberFormat="1" applyFont="1" applyFill="1" applyBorder="1">
      <alignment/>
      <protection/>
    </xf>
    <xf numFmtId="3" fontId="34" fillId="34" borderId="89" xfId="587" applyNumberFormat="1" applyFont="1" applyFill="1" applyBorder="1">
      <alignment/>
      <protection/>
    </xf>
    <xf numFmtId="3" fontId="34" fillId="34" borderId="171" xfId="587" applyNumberFormat="1" applyFont="1" applyFill="1" applyBorder="1">
      <alignment/>
      <protection/>
    </xf>
    <xf numFmtId="3" fontId="34" fillId="34" borderId="108" xfId="587" applyNumberFormat="1" applyFont="1" applyFill="1" applyBorder="1">
      <alignment/>
      <protection/>
    </xf>
    <xf numFmtId="3" fontId="34" fillId="34" borderId="51" xfId="587" applyNumberFormat="1" applyFont="1" applyFill="1" applyBorder="1">
      <alignment/>
      <protection/>
    </xf>
    <xf numFmtId="3" fontId="34" fillId="34" borderId="52" xfId="587" applyNumberFormat="1" applyFont="1" applyFill="1" applyBorder="1">
      <alignment/>
      <protection/>
    </xf>
    <xf numFmtId="3" fontId="36" fillId="34" borderId="46" xfId="587" applyNumberFormat="1" applyFont="1" applyFill="1" applyBorder="1" applyAlignment="1">
      <alignment horizontal="right"/>
      <protection/>
    </xf>
    <xf numFmtId="3" fontId="34" fillId="34" borderId="41" xfId="587" applyNumberFormat="1" applyFont="1" applyFill="1" applyBorder="1">
      <alignment/>
      <protection/>
    </xf>
    <xf numFmtId="3" fontId="34" fillId="34" borderId="250" xfId="587" applyNumberFormat="1" applyFont="1" applyFill="1" applyBorder="1">
      <alignment/>
      <protection/>
    </xf>
    <xf numFmtId="3" fontId="34" fillId="34" borderId="132" xfId="587" applyNumberFormat="1" applyFont="1" applyFill="1" applyBorder="1">
      <alignment/>
      <protection/>
    </xf>
    <xf numFmtId="3" fontId="36" fillId="53" borderId="88" xfId="587" applyNumberFormat="1" applyFont="1" applyFill="1" applyBorder="1" applyAlignment="1">
      <alignment horizontal="right"/>
      <protection/>
    </xf>
    <xf numFmtId="3" fontId="36" fillId="47" borderId="56" xfId="587" applyNumberFormat="1" applyFont="1" applyFill="1" applyBorder="1" applyAlignment="1">
      <alignment horizontal="right"/>
      <protection/>
    </xf>
    <xf numFmtId="3" fontId="36" fillId="47" borderId="56" xfId="587" applyNumberFormat="1" applyFont="1" applyFill="1" applyBorder="1">
      <alignment/>
      <protection/>
    </xf>
    <xf numFmtId="3" fontId="36" fillId="47" borderId="91" xfId="587" applyNumberFormat="1" applyFont="1" applyFill="1" applyBorder="1" applyAlignment="1">
      <alignment horizontal="right"/>
      <protection/>
    </xf>
    <xf numFmtId="3" fontId="36" fillId="47" borderId="167" xfId="587" applyNumberFormat="1" applyFont="1" applyFill="1" applyBorder="1" applyAlignment="1">
      <alignment horizontal="right"/>
      <protection/>
    </xf>
    <xf numFmtId="3" fontId="36" fillId="47" borderId="59" xfId="587" applyNumberFormat="1" applyFont="1" applyFill="1" applyBorder="1" applyAlignment="1">
      <alignment horizontal="right"/>
      <protection/>
    </xf>
    <xf numFmtId="3" fontId="34" fillId="47" borderId="61" xfId="587" applyNumberFormat="1" applyFont="1" applyFill="1" applyBorder="1">
      <alignment/>
      <protection/>
    </xf>
    <xf numFmtId="3" fontId="34" fillId="47" borderId="91" xfId="587" applyNumberFormat="1" applyFont="1" applyFill="1" applyBorder="1">
      <alignment/>
      <protection/>
    </xf>
    <xf numFmtId="3" fontId="34" fillId="47" borderId="166" xfId="587" applyNumberFormat="1" applyFont="1" applyFill="1" applyBorder="1">
      <alignment/>
      <protection/>
    </xf>
    <xf numFmtId="3" fontId="36" fillId="47" borderId="61" xfId="587" applyNumberFormat="1" applyFont="1" applyFill="1" applyBorder="1" applyAlignment="1">
      <alignment horizontal="right"/>
      <protection/>
    </xf>
    <xf numFmtId="3" fontId="36" fillId="59" borderId="33" xfId="587" applyNumberFormat="1" applyFont="1" applyFill="1" applyBorder="1">
      <alignment/>
      <protection/>
    </xf>
    <xf numFmtId="3" fontId="36" fillId="59" borderId="56" xfId="587" applyNumberFormat="1" applyFont="1" applyFill="1" applyBorder="1" applyAlignment="1">
      <alignment horizontal="right"/>
      <protection/>
    </xf>
    <xf numFmtId="0" fontId="30" fillId="59" borderId="36" xfId="587" applyFont="1" applyFill="1" applyBorder="1">
      <alignment/>
      <protection/>
    </xf>
    <xf numFmtId="0" fontId="5" fillId="59" borderId="58" xfId="587" applyFont="1" applyFill="1" applyBorder="1">
      <alignment/>
      <protection/>
    </xf>
    <xf numFmtId="0" fontId="30" fillId="59" borderId="59" xfId="587" applyFont="1" applyFill="1" applyBorder="1">
      <alignment/>
      <protection/>
    </xf>
    <xf numFmtId="3" fontId="36" fillId="59" borderId="59" xfId="587" applyNumberFormat="1" applyFont="1" applyFill="1" applyBorder="1" applyAlignment="1">
      <alignment horizontal="right"/>
      <protection/>
    </xf>
    <xf numFmtId="3" fontId="36" fillId="59" borderId="36" xfId="587" applyNumberFormat="1" applyFont="1" applyFill="1" applyBorder="1" applyAlignment="1">
      <alignment horizontal="right"/>
      <protection/>
    </xf>
    <xf numFmtId="0" fontId="30" fillId="59" borderId="58" xfId="587" applyFont="1" applyFill="1" applyBorder="1">
      <alignment/>
      <protection/>
    </xf>
    <xf numFmtId="3" fontId="36" fillId="59" borderId="319" xfId="587" applyNumberFormat="1" applyFont="1" applyFill="1" applyBorder="1">
      <alignment/>
      <protection/>
    </xf>
    <xf numFmtId="3" fontId="36" fillId="59" borderId="320" xfId="587" applyNumberFormat="1" applyFont="1" applyFill="1" applyBorder="1" applyAlignment="1">
      <alignment horizontal="right"/>
      <protection/>
    </xf>
    <xf numFmtId="0" fontId="30" fillId="59" borderId="26" xfId="587" applyFont="1" applyFill="1" applyBorder="1">
      <alignment/>
      <protection/>
    </xf>
    <xf numFmtId="0" fontId="5" fillId="59" borderId="32" xfId="587" applyFont="1" applyFill="1" applyBorder="1">
      <alignment/>
      <protection/>
    </xf>
    <xf numFmtId="0" fontId="30" fillId="59" borderId="27" xfId="587" applyFont="1" applyFill="1" applyBorder="1">
      <alignment/>
      <protection/>
    </xf>
    <xf numFmtId="3" fontId="36" fillId="59" borderId="27" xfId="587" applyNumberFormat="1" applyFont="1" applyFill="1" applyBorder="1">
      <alignment/>
      <protection/>
    </xf>
    <xf numFmtId="3" fontId="36" fillId="59" borderId="26" xfId="587" applyNumberFormat="1" applyFont="1" applyFill="1" applyBorder="1">
      <alignment/>
      <protection/>
    </xf>
    <xf numFmtId="3" fontId="36" fillId="47" borderId="220" xfId="587" applyNumberFormat="1" applyFont="1" applyFill="1" applyBorder="1">
      <alignment/>
      <protection/>
    </xf>
    <xf numFmtId="3" fontId="30" fillId="7" borderId="233" xfId="587" applyNumberFormat="1" applyFont="1" applyFill="1" applyBorder="1" applyAlignment="1">
      <alignment horizontal="center" vertical="center" wrapText="1"/>
      <protection/>
    </xf>
    <xf numFmtId="171" fontId="43" fillId="0" borderId="0" xfId="423" applyFont="1" applyBorder="1" applyAlignment="1">
      <alignment horizontal="center"/>
    </xf>
    <xf numFmtId="171" fontId="43" fillId="0" borderId="0" xfId="423" applyFont="1" applyFill="1" applyBorder="1" applyAlignment="1">
      <alignment horizontal="center"/>
    </xf>
    <xf numFmtId="171" fontId="43" fillId="0" borderId="35" xfId="423" applyFont="1" applyFill="1" applyBorder="1" applyAlignment="1">
      <alignment horizontal="center"/>
    </xf>
    <xf numFmtId="171" fontId="43" fillId="0" borderId="55" xfId="423" applyFont="1" applyFill="1" applyBorder="1" applyAlignment="1">
      <alignment horizontal="center"/>
    </xf>
    <xf numFmtId="171" fontId="43" fillId="0" borderId="55" xfId="423" applyFont="1" applyBorder="1" applyAlignment="1">
      <alignment horizontal="center"/>
    </xf>
    <xf numFmtId="171" fontId="43" fillId="0" borderId="35" xfId="423" applyFont="1" applyBorder="1" applyAlignment="1">
      <alignment horizontal="center"/>
    </xf>
    <xf numFmtId="171" fontId="43" fillId="0" borderId="34" xfId="423" applyFont="1" applyBorder="1" applyAlignment="1">
      <alignment horizontal="center"/>
    </xf>
    <xf numFmtId="171" fontId="43" fillId="0" borderId="321" xfId="423" applyFont="1" applyBorder="1" applyAlignment="1">
      <alignment horizontal="center"/>
    </xf>
    <xf numFmtId="171" fontId="43" fillId="50" borderId="35" xfId="423" applyFont="1" applyFill="1" applyBorder="1" applyAlignment="1">
      <alignment horizontal="center"/>
    </xf>
    <xf numFmtId="171" fontId="43" fillId="0" borderId="103" xfId="423" applyFont="1" applyBorder="1" applyAlignment="1">
      <alignment horizontal="center"/>
    </xf>
    <xf numFmtId="171" fontId="43" fillId="0" borderId="40" xfId="423" applyFont="1" applyFill="1" applyBorder="1" applyAlignment="1">
      <alignment horizontal="center"/>
    </xf>
    <xf numFmtId="171" fontId="43" fillId="0" borderId="74" xfId="423" applyFont="1" applyBorder="1" applyAlignment="1">
      <alignment horizontal="center"/>
    </xf>
    <xf numFmtId="171" fontId="43" fillId="0" borderId="63" xfId="423" applyFont="1" applyFill="1" applyBorder="1" applyAlignment="1">
      <alignment horizontal="center"/>
    </xf>
    <xf numFmtId="171" fontId="43" fillId="0" borderId="261" xfId="423" applyFont="1" applyFill="1" applyBorder="1" applyAlignment="1">
      <alignment horizontal="center"/>
    </xf>
    <xf numFmtId="171" fontId="43" fillId="0" borderId="321" xfId="423" applyFont="1" applyFill="1" applyBorder="1" applyAlignment="1">
      <alignment horizontal="center"/>
    </xf>
    <xf numFmtId="171" fontId="43" fillId="0" borderId="74" xfId="423" applyFont="1" applyFill="1" applyBorder="1" applyAlignment="1">
      <alignment horizontal="center"/>
    </xf>
    <xf numFmtId="171" fontId="43" fillId="0" borderId="34" xfId="423" applyFont="1" applyFill="1" applyBorder="1" applyAlignment="1">
      <alignment horizontal="center"/>
    </xf>
    <xf numFmtId="171" fontId="43" fillId="0" borderId="15" xfId="423" applyFont="1" applyBorder="1" applyAlignment="1">
      <alignment horizontal="center"/>
    </xf>
    <xf numFmtId="171" fontId="43" fillId="0" borderId="22" xfId="423" applyFont="1" applyBorder="1" applyAlignment="1">
      <alignment horizontal="center"/>
    </xf>
    <xf numFmtId="171" fontId="43" fillId="4" borderId="19" xfId="423" applyFont="1" applyFill="1" applyBorder="1" applyAlignment="1">
      <alignment horizontal="center"/>
    </xf>
    <xf numFmtId="171" fontId="43" fillId="50" borderId="15" xfId="423" applyFont="1" applyFill="1" applyBorder="1" applyAlignment="1">
      <alignment horizontal="center"/>
    </xf>
    <xf numFmtId="171" fontId="43" fillId="54" borderId="15" xfId="423" applyFont="1" applyFill="1" applyBorder="1" applyAlignment="1">
      <alignment horizontal="center"/>
    </xf>
    <xf numFmtId="171" fontId="43" fillId="0" borderId="74" xfId="423" applyFont="1" applyFill="1" applyBorder="1" applyAlignment="1">
      <alignment horizontal="center" vertical="center"/>
    </xf>
    <xf numFmtId="171" fontId="43" fillId="0" borderId="40" xfId="423" applyFont="1" applyBorder="1" applyAlignment="1">
      <alignment horizontal="center"/>
    </xf>
    <xf numFmtId="171" fontId="43" fillId="4" borderId="15" xfId="423" applyFont="1" applyFill="1" applyBorder="1" applyAlignment="1">
      <alignment horizontal="center"/>
    </xf>
    <xf numFmtId="171" fontId="43" fillId="0" borderId="113" xfId="423" applyFont="1" applyBorder="1" applyAlignment="1">
      <alignment horizontal="center"/>
    </xf>
    <xf numFmtId="171" fontId="43" fillId="0" borderId="120" xfId="423" applyFont="1" applyBorder="1" applyAlignment="1">
      <alignment horizontal="center"/>
    </xf>
    <xf numFmtId="171" fontId="43" fillId="0" borderId="85" xfId="423" applyFont="1" applyBorder="1" applyAlignment="1">
      <alignment horizontal="center"/>
    </xf>
    <xf numFmtId="171" fontId="43" fillId="0" borderId="131" xfId="423" applyFont="1" applyBorder="1" applyAlignment="1">
      <alignment horizontal="center"/>
    </xf>
    <xf numFmtId="171" fontId="54" fillId="7" borderId="29" xfId="423" applyFont="1" applyFill="1" applyBorder="1" applyAlignment="1">
      <alignment horizontal="center" vertical="center"/>
    </xf>
    <xf numFmtId="171" fontId="43" fillId="0" borderId="149" xfId="423" applyNumberFormat="1" applyFont="1" applyFill="1" applyBorder="1" applyAlignment="1">
      <alignment/>
    </xf>
    <xf numFmtId="171" fontId="43" fillId="0" borderId="35" xfId="423" applyFont="1" applyBorder="1" applyAlignment="1">
      <alignment/>
    </xf>
    <xf numFmtId="171" fontId="43" fillId="0" borderId="199" xfId="423" applyNumberFormat="1" applyFont="1" applyBorder="1" applyAlignment="1">
      <alignment/>
    </xf>
    <xf numFmtId="171" fontId="43" fillId="15" borderId="51" xfId="423" applyNumberFormat="1" applyFont="1" applyFill="1" applyBorder="1" applyAlignment="1">
      <alignment horizontal="left" vertical="top"/>
    </xf>
    <xf numFmtId="180" fontId="43" fillId="0" borderId="190" xfId="423" applyNumberFormat="1" applyFont="1" applyFill="1" applyBorder="1" applyAlignment="1">
      <alignment horizontal="left"/>
    </xf>
    <xf numFmtId="180" fontId="43" fillId="15" borderId="170" xfId="423" applyNumberFormat="1" applyFont="1" applyFill="1" applyBorder="1" applyAlignment="1">
      <alignment horizontal="left"/>
    </xf>
    <xf numFmtId="180" fontId="43" fillId="0" borderId="35" xfId="423" applyNumberFormat="1" applyFont="1" applyFill="1" applyBorder="1" applyAlignment="1">
      <alignment horizontal="center"/>
    </xf>
    <xf numFmtId="180" fontId="43" fillId="0" borderId="133" xfId="423" applyNumberFormat="1" applyFont="1" applyFill="1" applyBorder="1" applyAlignment="1">
      <alignment horizontal="left"/>
    </xf>
    <xf numFmtId="180" fontId="43" fillId="0" borderId="199" xfId="423" applyNumberFormat="1" applyFont="1" applyFill="1" applyBorder="1" applyAlignment="1">
      <alignment horizontal="left"/>
    </xf>
    <xf numFmtId="180" fontId="43" fillId="0" borderId="63" xfId="423" applyNumberFormat="1" applyFont="1" applyFill="1" applyBorder="1" applyAlignment="1">
      <alignment horizontal="left"/>
    </xf>
    <xf numFmtId="180" fontId="43" fillId="0" borderId="15" xfId="423" applyNumberFormat="1" applyFont="1" applyFill="1" applyBorder="1" applyAlignment="1">
      <alignment horizontal="right"/>
    </xf>
    <xf numFmtId="180" fontId="43" fillId="0" borderId="22" xfId="423" applyNumberFormat="1" applyFont="1" applyFill="1" applyBorder="1" applyAlignment="1">
      <alignment horizontal="right"/>
    </xf>
    <xf numFmtId="180" fontId="43" fillId="15" borderId="89" xfId="423" applyNumberFormat="1" applyFont="1" applyFill="1" applyBorder="1" applyAlignment="1">
      <alignment horizontal="right"/>
    </xf>
    <xf numFmtId="180" fontId="43" fillId="0" borderId="55" xfId="423" applyNumberFormat="1" applyFont="1" applyFill="1" applyBorder="1" applyAlignment="1">
      <alignment horizontal="center"/>
    </xf>
    <xf numFmtId="180" fontId="43" fillId="0" borderId="224" xfId="423" applyNumberFormat="1" applyFont="1" applyFill="1" applyBorder="1" applyAlignment="1">
      <alignment horizontal="right"/>
    </xf>
    <xf numFmtId="180" fontId="43" fillId="0" borderId="22" xfId="423" applyNumberFormat="1" applyFont="1" applyFill="1" applyBorder="1" applyAlignment="1">
      <alignment horizontal="left"/>
    </xf>
    <xf numFmtId="180" fontId="43" fillId="15" borderId="89" xfId="423" applyNumberFormat="1" applyFont="1" applyFill="1" applyBorder="1" applyAlignment="1">
      <alignment horizontal="left"/>
    </xf>
    <xf numFmtId="180" fontId="43" fillId="0" borderId="55" xfId="423" applyNumberFormat="1" applyFont="1" applyBorder="1" applyAlignment="1">
      <alignment horizontal="center"/>
    </xf>
    <xf numFmtId="180" fontId="43" fillId="0" borderId="224" xfId="423" applyNumberFormat="1" applyFont="1" applyBorder="1" applyAlignment="1">
      <alignment horizontal="left"/>
    </xf>
    <xf numFmtId="180" fontId="43" fillId="15" borderId="88" xfId="423" applyNumberFormat="1" applyFont="1" applyFill="1" applyBorder="1" applyAlignment="1">
      <alignment horizontal="right"/>
    </xf>
    <xf numFmtId="180" fontId="43" fillId="0" borderId="35" xfId="423" applyNumberFormat="1" applyFont="1" applyBorder="1" applyAlignment="1">
      <alignment horizontal="center"/>
    </xf>
    <xf numFmtId="180" fontId="43" fillId="0" borderId="199" xfId="423" applyNumberFormat="1" applyFont="1" applyBorder="1" applyAlignment="1">
      <alignment horizontal="right"/>
    </xf>
    <xf numFmtId="180" fontId="43" fillId="0" borderId="15" xfId="423" applyNumberFormat="1" applyFont="1" applyFill="1" applyBorder="1" applyAlignment="1">
      <alignment horizontal="left"/>
    </xf>
    <xf numFmtId="180" fontId="43" fillId="15" borderId="88" xfId="423" applyNumberFormat="1" applyFont="1" applyFill="1" applyBorder="1" applyAlignment="1">
      <alignment horizontal="left"/>
    </xf>
    <xf numFmtId="180" fontId="43" fillId="0" borderId="199" xfId="423" applyNumberFormat="1" applyFont="1" applyBorder="1" applyAlignment="1">
      <alignment horizontal="left"/>
    </xf>
    <xf numFmtId="180" fontId="43" fillId="0" borderId="105" xfId="423" applyNumberFormat="1" applyFont="1" applyFill="1" applyBorder="1" applyAlignment="1">
      <alignment horizontal="right"/>
    </xf>
    <xf numFmtId="180" fontId="43" fillId="15" borderId="167" xfId="423" applyNumberFormat="1" applyFont="1" applyFill="1" applyBorder="1" applyAlignment="1">
      <alignment horizontal="right"/>
    </xf>
    <xf numFmtId="180" fontId="43" fillId="0" borderId="34" xfId="423" applyNumberFormat="1" applyFont="1" applyBorder="1" applyAlignment="1">
      <alignment horizontal="center"/>
    </xf>
    <xf numFmtId="180" fontId="43" fillId="0" borderId="200" xfId="423" applyNumberFormat="1" applyFont="1" applyBorder="1" applyAlignment="1">
      <alignment horizontal="right"/>
    </xf>
    <xf numFmtId="3" fontId="30" fillId="0" borderId="0" xfId="587" applyNumberFormat="1" applyFont="1" applyBorder="1" applyAlignment="1">
      <alignment horizontal="left"/>
      <protection/>
    </xf>
    <xf numFmtId="171" fontId="49" fillId="15" borderId="122" xfId="423" applyNumberFormat="1" applyFont="1" applyFill="1" applyBorder="1" applyAlignment="1">
      <alignment horizontal="right"/>
    </xf>
    <xf numFmtId="171" fontId="49" fillId="15" borderId="163" xfId="423" applyNumberFormat="1" applyFont="1" applyFill="1" applyBorder="1" applyAlignment="1">
      <alignment horizontal="right"/>
    </xf>
    <xf numFmtId="171" fontId="49" fillId="15" borderId="322" xfId="423" applyFont="1" applyFill="1" applyBorder="1" applyAlignment="1">
      <alignment horizontal="center"/>
    </xf>
    <xf numFmtId="171" fontId="49" fillId="15" borderId="323" xfId="423" applyNumberFormat="1" applyFont="1" applyFill="1" applyBorder="1" applyAlignment="1">
      <alignment horizontal="right"/>
    </xf>
    <xf numFmtId="171" fontId="49" fillId="15" borderId="238" xfId="423" applyNumberFormat="1" applyFont="1" applyFill="1" applyBorder="1" applyAlignment="1">
      <alignment horizontal="right"/>
    </xf>
    <xf numFmtId="171" fontId="49" fillId="15" borderId="219" xfId="423" applyNumberFormat="1" applyFont="1" applyFill="1" applyBorder="1" applyAlignment="1">
      <alignment horizontal="right"/>
    </xf>
    <xf numFmtId="171" fontId="49" fillId="15" borderId="35" xfId="423" applyFont="1" applyFill="1" applyBorder="1" applyAlignment="1">
      <alignment horizontal="center"/>
    </xf>
    <xf numFmtId="171" fontId="49" fillId="15" borderId="199" xfId="423" applyNumberFormat="1" applyFont="1" applyFill="1" applyBorder="1" applyAlignment="1">
      <alignment horizontal="right"/>
    </xf>
    <xf numFmtId="49" fontId="54" fillId="7" borderId="29" xfId="423" applyNumberFormat="1" applyFont="1" applyFill="1" applyBorder="1" applyAlignment="1">
      <alignment horizontal="center" vertical="center"/>
    </xf>
    <xf numFmtId="171" fontId="49" fillId="4" borderId="247" xfId="423" applyNumberFormat="1" applyFont="1" applyFill="1" applyBorder="1" applyAlignment="1">
      <alignment horizontal="right"/>
    </xf>
    <xf numFmtId="171" fontId="49" fillId="4" borderId="59" xfId="423" applyNumberFormat="1" applyFont="1" applyFill="1" applyBorder="1" applyAlignment="1">
      <alignment horizontal="right"/>
    </xf>
    <xf numFmtId="171" fontId="49" fillId="4" borderId="34" xfId="423" applyFont="1" applyFill="1" applyBorder="1" applyAlignment="1">
      <alignment horizontal="center"/>
    </xf>
    <xf numFmtId="171" fontId="49" fillId="4" borderId="200" xfId="423" applyNumberFormat="1" applyFont="1" applyFill="1" applyBorder="1" applyAlignment="1">
      <alignment horizontal="right"/>
    </xf>
    <xf numFmtId="171" fontId="49" fillId="15" borderId="324" xfId="423" applyNumberFormat="1" applyFont="1" applyFill="1" applyBorder="1" applyAlignment="1">
      <alignment horizontal="right"/>
    </xf>
    <xf numFmtId="171" fontId="49" fillId="15" borderId="69" xfId="423" applyNumberFormat="1" applyFont="1" applyFill="1" applyBorder="1" applyAlignment="1">
      <alignment horizontal="right"/>
    </xf>
    <xf numFmtId="171" fontId="49" fillId="15" borderId="29" xfId="423" applyFont="1" applyFill="1" applyBorder="1" applyAlignment="1">
      <alignment horizontal="center"/>
    </xf>
    <xf numFmtId="171" fontId="49" fillId="15" borderId="233" xfId="423" applyNumberFormat="1" applyFont="1" applyFill="1" applyBorder="1" applyAlignment="1">
      <alignment horizontal="right"/>
    </xf>
    <xf numFmtId="171" fontId="43" fillId="30" borderId="87" xfId="423" applyNumberFormat="1" applyFont="1" applyFill="1" applyBorder="1" applyAlignment="1">
      <alignment/>
    </xf>
    <xf numFmtId="171" fontId="49" fillId="0" borderId="53" xfId="423" applyNumberFormat="1" applyFont="1" applyBorder="1" applyAlignment="1">
      <alignment/>
    </xf>
    <xf numFmtId="171" fontId="49" fillId="30" borderId="88" xfId="423" applyNumberFormat="1" applyFont="1" applyFill="1" applyBorder="1" applyAlignment="1">
      <alignment/>
    </xf>
    <xf numFmtId="171" fontId="49" fillId="0" borderId="15" xfId="423" applyFont="1" applyBorder="1" applyAlignment="1">
      <alignment horizontal="center"/>
    </xf>
    <xf numFmtId="171" fontId="49" fillId="0" borderId="239" xfId="423" applyNumberFormat="1" applyFont="1" applyBorder="1" applyAlignment="1">
      <alignment/>
    </xf>
    <xf numFmtId="171" fontId="49" fillId="0" borderId="54" xfId="423" applyNumberFormat="1" applyFont="1" applyBorder="1" applyAlignment="1">
      <alignment/>
    </xf>
    <xf numFmtId="171" fontId="49" fillId="30" borderId="89" xfId="423" applyNumberFormat="1" applyFont="1" applyFill="1" applyBorder="1" applyAlignment="1">
      <alignment/>
    </xf>
    <xf numFmtId="4" fontId="36" fillId="0" borderId="0" xfId="587" applyNumberFormat="1" applyFont="1" applyBorder="1">
      <alignment/>
      <protection/>
    </xf>
    <xf numFmtId="3" fontId="36" fillId="0" borderId="0" xfId="587" applyNumberFormat="1" applyFont="1" applyBorder="1">
      <alignment/>
      <protection/>
    </xf>
    <xf numFmtId="171" fontId="43" fillId="0" borderId="150" xfId="423" applyNumberFormat="1" applyFont="1" applyBorder="1" applyAlignment="1">
      <alignment/>
    </xf>
    <xf numFmtId="171" fontId="43" fillId="50" borderId="0" xfId="423" applyNumberFormat="1" applyFont="1" applyFill="1" applyBorder="1" applyAlignment="1">
      <alignment/>
    </xf>
    <xf numFmtId="171" fontId="43" fillId="51" borderId="0" xfId="423" applyNumberFormat="1" applyFont="1" applyFill="1" applyBorder="1" applyAlignment="1">
      <alignment horizontal="right"/>
    </xf>
    <xf numFmtId="171" fontId="43" fillId="50" borderId="0" xfId="423" applyFont="1" applyFill="1" applyBorder="1" applyAlignment="1">
      <alignment horizontal="center"/>
    </xf>
    <xf numFmtId="3" fontId="107" fillId="0" borderId="92" xfId="587" applyNumberFormat="1" applyFont="1" applyBorder="1">
      <alignment/>
      <protection/>
    </xf>
    <xf numFmtId="2" fontId="73" fillId="0" borderId="0" xfId="587" applyNumberFormat="1" applyFont="1" applyFill="1" applyBorder="1" applyAlignment="1">
      <alignment horizontal="right"/>
      <protection/>
    </xf>
    <xf numFmtId="171" fontId="43" fillId="0" borderId="0" xfId="423" applyFont="1" applyBorder="1" applyAlignment="1">
      <alignment horizontal="right"/>
    </xf>
    <xf numFmtId="171" fontId="43" fillId="0" borderId="55" xfId="423" applyFont="1" applyFill="1" applyBorder="1" applyAlignment="1">
      <alignment horizontal="right"/>
    </xf>
    <xf numFmtId="171" fontId="43" fillId="60" borderId="55" xfId="423" applyFont="1" applyFill="1" applyBorder="1" applyAlignment="1">
      <alignment horizontal="right"/>
    </xf>
    <xf numFmtId="171" fontId="43" fillId="0" borderId="35" xfId="423" applyFont="1" applyFill="1" applyBorder="1" applyAlignment="1">
      <alignment horizontal="right"/>
    </xf>
    <xf numFmtId="171" fontId="43" fillId="0" borderId="35" xfId="423" applyFont="1" applyBorder="1" applyAlignment="1">
      <alignment horizontal="right"/>
    </xf>
    <xf numFmtId="171" fontId="43" fillId="0" borderId="261" xfId="423" applyFont="1" applyFill="1" applyBorder="1" applyAlignment="1">
      <alignment horizontal="right"/>
    </xf>
    <xf numFmtId="171" fontId="43" fillId="0" borderId="325" xfId="423" applyFont="1" applyFill="1" applyBorder="1" applyAlignment="1">
      <alignment horizontal="right" vertical="center"/>
    </xf>
    <xf numFmtId="171" fontId="43" fillId="0" borderId="40" xfId="423" applyFont="1" applyBorder="1" applyAlignment="1">
      <alignment horizontal="right"/>
    </xf>
    <xf numFmtId="171" fontId="43" fillId="0" borderId="261" xfId="423" applyFont="1" applyBorder="1" applyAlignment="1">
      <alignment horizontal="right"/>
    </xf>
    <xf numFmtId="171" fontId="43" fillId="0" borderId="326" xfId="423" applyFont="1" applyFill="1" applyBorder="1" applyAlignment="1">
      <alignment horizontal="right" vertical="center"/>
    </xf>
    <xf numFmtId="171" fontId="43" fillId="0" borderId="35" xfId="423" applyFont="1" applyBorder="1" applyAlignment="1">
      <alignment horizontal="left"/>
    </xf>
    <xf numFmtId="171" fontId="43" fillId="0" borderId="0" xfId="423" applyFont="1" applyFill="1" applyBorder="1" applyAlignment="1">
      <alignment horizontal="right"/>
    </xf>
    <xf numFmtId="171" fontId="43" fillId="0" borderId="34" xfId="423" applyFont="1" applyBorder="1" applyAlignment="1">
      <alignment horizontal="right"/>
    </xf>
    <xf numFmtId="171" fontId="43" fillId="8" borderId="0" xfId="423" applyFont="1" applyFill="1" applyBorder="1" applyAlignment="1">
      <alignment horizontal="right"/>
    </xf>
    <xf numFmtId="171" fontId="43" fillId="0" borderId="60" xfId="423" applyFont="1" applyBorder="1" applyAlignment="1">
      <alignment horizontal="right"/>
    </xf>
    <xf numFmtId="171" fontId="43" fillId="15" borderId="236" xfId="423" applyFont="1" applyFill="1" applyBorder="1" applyAlignment="1">
      <alignment horizontal="right"/>
    </xf>
    <xf numFmtId="171" fontId="43" fillId="0" borderId="50" xfId="423" applyFont="1" applyFill="1" applyBorder="1" applyAlignment="1">
      <alignment horizontal="right"/>
    </xf>
    <xf numFmtId="171" fontId="43" fillId="0" borderId="50" xfId="423" applyFont="1" applyBorder="1" applyAlignment="1">
      <alignment horizontal="right"/>
    </xf>
    <xf numFmtId="171" fontId="43" fillId="0" borderId="54" xfId="423" applyFont="1" applyBorder="1" applyAlignment="1">
      <alignment horizontal="right"/>
    </xf>
    <xf numFmtId="171" fontId="43" fillId="0" borderId="81" xfId="423" applyFont="1" applyBorder="1" applyAlignment="1">
      <alignment horizontal="right"/>
    </xf>
    <xf numFmtId="171" fontId="43" fillId="0" borderId="210" xfId="423" applyFont="1" applyFill="1" applyBorder="1" applyAlignment="1">
      <alignment horizontal="right"/>
    </xf>
    <xf numFmtId="171" fontId="43" fillId="0" borderId="265" xfId="423" applyFont="1" applyFill="1" applyBorder="1" applyAlignment="1">
      <alignment horizontal="right" vertical="center"/>
    </xf>
    <xf numFmtId="171" fontId="43" fillId="0" borderId="55" xfId="423" applyFont="1" applyBorder="1" applyAlignment="1">
      <alignment horizontal="right"/>
    </xf>
    <xf numFmtId="171" fontId="43" fillId="0" borderId="141" xfId="423" applyFont="1" applyBorder="1" applyAlignment="1">
      <alignment horizontal="right"/>
    </xf>
    <xf numFmtId="171" fontId="43" fillId="15" borderId="327" xfId="423" applyFont="1" applyFill="1" applyBorder="1" applyAlignment="1">
      <alignment horizontal="right"/>
    </xf>
    <xf numFmtId="171" fontId="43" fillId="0" borderId="103" xfId="423" applyFont="1" applyBorder="1" applyAlignment="1">
      <alignment horizontal="right"/>
    </xf>
    <xf numFmtId="171" fontId="43" fillId="50" borderId="35" xfId="423" applyFont="1" applyFill="1" applyBorder="1" applyAlignment="1">
      <alignment horizontal="right"/>
    </xf>
    <xf numFmtId="171" fontId="43" fillId="50" borderId="34" xfId="423" applyFont="1" applyFill="1" applyBorder="1" applyAlignment="1">
      <alignment horizontal="right"/>
    </xf>
    <xf numFmtId="171" fontId="43" fillId="0" borderId="29" xfId="423" applyFont="1" applyFill="1" applyBorder="1" applyAlignment="1">
      <alignment horizontal="right" vertical="center"/>
    </xf>
    <xf numFmtId="171" fontId="43" fillId="0" borderId="74" xfId="423" applyFont="1" applyBorder="1" applyAlignment="1">
      <alignment horizontal="right"/>
    </xf>
    <xf numFmtId="171" fontId="43" fillId="53" borderId="113" xfId="423" applyFont="1" applyFill="1" applyBorder="1" applyAlignment="1">
      <alignment horizontal="right"/>
    </xf>
    <xf numFmtId="171" fontId="43" fillId="0" borderId="113" xfId="423" applyFont="1" applyFill="1" applyBorder="1" applyAlignment="1">
      <alignment horizontal="right"/>
    </xf>
    <xf numFmtId="171" fontId="43" fillId="0" borderId="85" xfId="423" applyFont="1" applyBorder="1" applyAlignment="1">
      <alignment horizontal="right"/>
    </xf>
    <xf numFmtId="171" fontId="43" fillId="0" borderId="15" xfId="423" applyFont="1" applyFill="1" applyBorder="1" applyAlignment="1">
      <alignment horizontal="right"/>
    </xf>
    <xf numFmtId="171" fontId="43" fillId="0" borderId="22" xfId="423" applyFont="1" applyFill="1" applyBorder="1" applyAlignment="1">
      <alignment horizontal="right"/>
    </xf>
    <xf numFmtId="171" fontId="43" fillId="0" borderId="120" xfId="423" applyFont="1" applyFill="1" applyBorder="1" applyAlignment="1">
      <alignment horizontal="right"/>
    </xf>
    <xf numFmtId="171" fontId="43" fillId="0" borderId="140" xfId="423" applyFont="1" applyBorder="1" applyAlignment="1">
      <alignment horizontal="right"/>
    </xf>
    <xf numFmtId="171" fontId="43" fillId="4" borderId="115" xfId="423" applyFont="1" applyFill="1" applyBorder="1" applyAlignment="1">
      <alignment horizontal="right"/>
    </xf>
    <xf numFmtId="171" fontId="43" fillId="0" borderId="113" xfId="423" applyFont="1" applyBorder="1" applyAlignment="1">
      <alignment horizontal="right"/>
    </xf>
    <xf numFmtId="171" fontId="43" fillId="4" borderId="113" xfId="423" applyFont="1" applyFill="1" applyBorder="1" applyAlignment="1">
      <alignment horizontal="right"/>
    </xf>
    <xf numFmtId="171" fontId="43" fillId="47" borderId="113" xfId="423" applyFont="1" applyFill="1" applyBorder="1" applyAlignment="1">
      <alignment horizontal="right"/>
    </xf>
    <xf numFmtId="171" fontId="43" fillId="0" borderId="113" xfId="423" applyFont="1" applyBorder="1" applyAlignment="1">
      <alignment horizontal="left"/>
    </xf>
    <xf numFmtId="171" fontId="43" fillId="0" borderId="113" xfId="423" applyFont="1" applyFill="1" applyBorder="1" applyAlignment="1">
      <alignment horizontal="right" vertical="center"/>
    </xf>
    <xf numFmtId="171" fontId="43" fillId="50" borderId="113" xfId="423" applyFont="1" applyFill="1" applyBorder="1" applyAlignment="1">
      <alignment horizontal="right" vertical="center"/>
    </xf>
    <xf numFmtId="171" fontId="43" fillId="48" borderId="113" xfId="423" applyFont="1" applyFill="1" applyBorder="1" applyAlignment="1">
      <alignment horizontal="right"/>
    </xf>
    <xf numFmtId="171" fontId="43" fillId="0" borderId="211" xfId="423" applyFont="1" applyBorder="1" applyAlignment="1">
      <alignment horizontal="right"/>
    </xf>
    <xf numFmtId="171" fontId="43" fillId="0" borderId="175" xfId="423" applyFont="1" applyBorder="1" applyAlignment="1">
      <alignment horizontal="right"/>
    </xf>
    <xf numFmtId="171" fontId="43" fillId="0" borderId="24" xfId="423" applyFont="1" applyBorder="1" applyAlignment="1">
      <alignment/>
    </xf>
    <xf numFmtId="171" fontId="43" fillId="0" borderId="29" xfId="423" applyFont="1" applyBorder="1" applyAlignment="1">
      <alignment horizontal="right"/>
    </xf>
    <xf numFmtId="171" fontId="43" fillId="52" borderId="0" xfId="423" applyFont="1" applyFill="1" applyBorder="1" applyAlignment="1">
      <alignment horizontal="right"/>
    </xf>
    <xf numFmtId="171" fontId="43" fillId="51" borderId="0" xfId="423" applyFont="1" applyFill="1" applyBorder="1" applyAlignment="1">
      <alignment horizontal="right"/>
    </xf>
    <xf numFmtId="171" fontId="43" fillId="50" borderId="0" xfId="423" applyFont="1" applyFill="1" applyBorder="1" applyAlignment="1">
      <alignment horizontal="right"/>
    </xf>
    <xf numFmtId="171" fontId="121" fillId="0" borderId="35" xfId="423" applyFont="1" applyFill="1" applyBorder="1" applyAlignment="1">
      <alignment horizontal="right"/>
    </xf>
    <xf numFmtId="3" fontId="122" fillId="0" borderId="140" xfId="587" applyNumberFormat="1" applyFont="1" applyFill="1" applyBorder="1" applyAlignment="1">
      <alignment horizontal="left"/>
      <protection/>
    </xf>
    <xf numFmtId="3" fontId="122" fillId="30" borderId="52" xfId="587" applyNumberFormat="1" applyFont="1" applyFill="1" applyBorder="1" applyAlignment="1">
      <alignment horizontal="left"/>
      <protection/>
    </xf>
    <xf numFmtId="171" fontId="123" fillId="0" borderId="35" xfId="423" applyFont="1" applyBorder="1" applyAlignment="1">
      <alignment horizontal="right"/>
    </xf>
    <xf numFmtId="3" fontId="122" fillId="0" borderId="199" xfId="587" applyNumberFormat="1" applyFont="1" applyBorder="1" applyAlignment="1">
      <alignment horizontal="left"/>
      <protection/>
    </xf>
    <xf numFmtId="171" fontId="49" fillId="15" borderId="321" xfId="423" applyFont="1" applyFill="1" applyBorder="1" applyAlignment="1">
      <alignment horizontal="right"/>
    </xf>
    <xf numFmtId="171" fontId="49" fillId="15" borderId="35" xfId="423" applyFont="1" applyFill="1" applyBorder="1" applyAlignment="1">
      <alignment horizontal="right"/>
    </xf>
    <xf numFmtId="171" fontId="49" fillId="4" borderId="60" xfId="423" applyFont="1" applyFill="1" applyBorder="1" applyAlignment="1">
      <alignment horizontal="right"/>
    </xf>
    <xf numFmtId="171" fontId="49" fillId="15" borderId="29" xfId="423" applyFont="1" applyFill="1" applyBorder="1" applyAlignment="1">
      <alignment horizontal="right"/>
    </xf>
    <xf numFmtId="171" fontId="49" fillId="15" borderId="55" xfId="423" applyFont="1" applyFill="1" applyBorder="1" applyAlignment="1">
      <alignment horizontal="right"/>
    </xf>
    <xf numFmtId="171" fontId="49" fillId="15" borderId="236" xfId="423" applyFont="1" applyFill="1" applyBorder="1" applyAlignment="1">
      <alignment horizontal="right"/>
    </xf>
    <xf numFmtId="171" fontId="49" fillId="4" borderId="34" xfId="423" applyFont="1" applyFill="1" applyBorder="1" applyAlignment="1">
      <alignment horizontal="right"/>
    </xf>
    <xf numFmtId="171" fontId="49" fillId="15" borderId="265" xfId="423" applyFont="1" applyFill="1" applyBorder="1" applyAlignment="1">
      <alignment horizontal="right"/>
    </xf>
    <xf numFmtId="171" fontId="49" fillId="4" borderId="103" xfId="423" applyFont="1" applyFill="1" applyBorder="1" applyAlignment="1">
      <alignment horizontal="right"/>
    </xf>
    <xf numFmtId="171" fontId="49" fillId="35" borderId="140" xfId="423" applyFont="1" applyFill="1" applyBorder="1" applyAlignment="1">
      <alignment horizontal="right"/>
    </xf>
    <xf numFmtId="171" fontId="49" fillId="26" borderId="35" xfId="423" applyFont="1" applyFill="1" applyBorder="1" applyAlignment="1">
      <alignment horizontal="right"/>
    </xf>
    <xf numFmtId="171" fontId="123" fillId="0" borderId="35" xfId="423" applyFont="1" applyFill="1" applyBorder="1" applyAlignment="1">
      <alignment horizontal="right"/>
    </xf>
    <xf numFmtId="3" fontId="35" fillId="50" borderId="0" xfId="587" applyNumberFormat="1" applyFont="1" applyFill="1" applyBorder="1" applyAlignment="1">
      <alignment horizontal="left" vertical="center"/>
      <protection/>
    </xf>
    <xf numFmtId="171" fontId="49" fillId="59" borderId="58" xfId="423" applyFont="1" applyFill="1" applyBorder="1" applyAlignment="1">
      <alignment horizontal="right"/>
    </xf>
    <xf numFmtId="171" fontId="124" fillId="0" borderId="74" xfId="423" applyFont="1" applyBorder="1" applyAlignment="1">
      <alignment horizontal="right"/>
    </xf>
    <xf numFmtId="171" fontId="121" fillId="0" borderId="74" xfId="423" applyFont="1" applyBorder="1" applyAlignment="1">
      <alignment horizontal="right"/>
    </xf>
    <xf numFmtId="171" fontId="121" fillId="0" borderId="35" xfId="423" applyFont="1" applyBorder="1" applyAlignment="1">
      <alignment horizontal="right"/>
    </xf>
    <xf numFmtId="171" fontId="121" fillId="0" borderId="85" xfId="423" applyFont="1" applyFill="1" applyBorder="1" applyAlignment="1">
      <alignment horizontal="right"/>
    </xf>
    <xf numFmtId="171" fontId="121" fillId="0" borderId="55" xfId="423" applyFont="1" applyBorder="1" applyAlignment="1">
      <alignment horizontal="right"/>
    </xf>
    <xf numFmtId="171" fontId="121" fillId="0" borderId="113" xfId="423" applyFont="1" applyFill="1" applyBorder="1" applyAlignment="1">
      <alignment horizontal="right"/>
    </xf>
    <xf numFmtId="171" fontId="121" fillId="0" borderId="15" xfId="423" applyFont="1" applyFill="1" applyBorder="1" applyAlignment="1">
      <alignment horizontal="right"/>
    </xf>
    <xf numFmtId="171" fontId="121" fillId="0" borderId="22" xfId="423" applyFont="1" applyFill="1" applyBorder="1" applyAlignment="1">
      <alignment horizontal="right"/>
    </xf>
    <xf numFmtId="171" fontId="121" fillId="0" borderId="0" xfId="423" applyFont="1" applyFill="1" applyBorder="1" applyAlignment="1">
      <alignment horizontal="right"/>
    </xf>
    <xf numFmtId="3" fontId="114" fillId="0" borderId="85" xfId="589" applyNumberFormat="1" applyFont="1" applyFill="1" applyBorder="1" applyAlignment="1">
      <alignment horizontal="right"/>
    </xf>
    <xf numFmtId="171" fontId="49" fillId="53" borderId="113" xfId="423" applyFont="1" applyFill="1" applyBorder="1" applyAlignment="1">
      <alignment horizontal="right"/>
    </xf>
    <xf numFmtId="3" fontId="114" fillId="35" borderId="90" xfId="589" applyNumberFormat="1" applyFont="1" applyFill="1" applyBorder="1" applyAlignment="1">
      <alignment horizontal="right"/>
    </xf>
    <xf numFmtId="49" fontId="35" fillId="0" borderId="0" xfId="587" applyNumberFormat="1" applyFont="1" applyFill="1" applyBorder="1" applyAlignment="1">
      <alignment horizontal="center" wrapText="1"/>
      <protection/>
    </xf>
    <xf numFmtId="0" fontId="35" fillId="0" borderId="270" xfId="587" applyFont="1" applyBorder="1">
      <alignment/>
      <protection/>
    </xf>
    <xf numFmtId="0" fontId="35" fillId="0" borderId="141" xfId="587" applyFont="1" applyFill="1" applyBorder="1" applyAlignment="1">
      <alignment horizontal="right"/>
      <protection/>
    </xf>
    <xf numFmtId="3" fontId="68" fillId="0" borderId="120" xfId="587" applyNumberFormat="1" applyFont="1" applyBorder="1">
      <alignment/>
      <protection/>
    </xf>
    <xf numFmtId="3" fontId="35" fillId="0" borderId="120" xfId="587" applyNumberFormat="1" applyFont="1" applyFill="1" applyBorder="1" applyAlignment="1">
      <alignment horizontal="left"/>
      <protection/>
    </xf>
    <xf numFmtId="3" fontId="35" fillId="0" borderId="284" xfId="587" applyNumberFormat="1" applyFont="1" applyBorder="1" applyAlignment="1">
      <alignment horizontal="left"/>
      <protection/>
    </xf>
    <xf numFmtId="171" fontId="49" fillId="8" borderId="35" xfId="423" applyFont="1" applyFill="1" applyBorder="1" applyAlignment="1">
      <alignment horizontal="right"/>
    </xf>
    <xf numFmtId="171" fontId="49" fillId="0" borderId="22" xfId="423" applyFont="1" applyBorder="1" applyAlignment="1">
      <alignment horizontal="center"/>
    </xf>
    <xf numFmtId="171" fontId="49" fillId="15" borderId="324" xfId="423" applyNumberFormat="1" applyFont="1" applyFill="1" applyBorder="1" applyAlignment="1">
      <alignment horizontal="center"/>
    </xf>
    <xf numFmtId="171" fontId="49" fillId="15" borderId="27" xfId="423" applyNumberFormat="1" applyFont="1" applyFill="1" applyBorder="1" applyAlignment="1">
      <alignment horizontal="right"/>
    </xf>
    <xf numFmtId="171" fontId="49" fillId="15" borderId="69" xfId="423" applyNumberFormat="1" applyFont="1" applyFill="1" applyBorder="1" applyAlignment="1">
      <alignment horizontal="right" vertical="top"/>
    </xf>
    <xf numFmtId="171" fontId="49" fillId="15" borderId="35" xfId="423" applyFont="1" applyFill="1" applyBorder="1" applyAlignment="1">
      <alignment horizontal="center" vertical="top"/>
    </xf>
    <xf numFmtId="171" fontId="49" fillId="15" borderId="199" xfId="423" applyNumberFormat="1" applyFont="1" applyFill="1" applyBorder="1" applyAlignment="1">
      <alignment horizontal="right" vertical="top"/>
    </xf>
    <xf numFmtId="171" fontId="49" fillId="4" borderId="113" xfId="423" applyFont="1" applyFill="1" applyBorder="1" applyAlignment="1">
      <alignment horizontal="right"/>
    </xf>
    <xf numFmtId="171" fontId="49" fillId="59" borderId="59" xfId="423" applyFont="1" applyFill="1" applyBorder="1" applyAlignment="1">
      <alignment horizontal="right"/>
    </xf>
    <xf numFmtId="171" fontId="49" fillId="59" borderId="38" xfId="423" applyFont="1" applyFill="1" applyBorder="1" applyAlignment="1">
      <alignment horizontal="right"/>
    </xf>
    <xf numFmtId="3" fontId="36" fillId="4" borderId="172" xfId="587" applyNumberFormat="1" applyFont="1" applyFill="1" applyBorder="1">
      <alignment/>
      <protection/>
    </xf>
    <xf numFmtId="3" fontId="36" fillId="4" borderId="328" xfId="587" applyNumberFormat="1" applyFont="1" applyFill="1" applyBorder="1">
      <alignment/>
      <protection/>
    </xf>
    <xf numFmtId="3" fontId="36" fillId="47" borderId="200" xfId="587" applyNumberFormat="1" applyFont="1" applyFill="1" applyBorder="1" applyAlignment="1">
      <alignment horizontal="right"/>
      <protection/>
    </xf>
    <xf numFmtId="3" fontId="36" fillId="4" borderId="272" xfId="587" applyNumberFormat="1" applyFont="1" applyFill="1" applyBorder="1">
      <alignment/>
      <protection/>
    </xf>
    <xf numFmtId="3" fontId="36" fillId="4" borderId="329" xfId="587" applyNumberFormat="1" applyFont="1" applyFill="1" applyBorder="1">
      <alignment/>
      <protection/>
    </xf>
    <xf numFmtId="171" fontId="49" fillId="47" borderId="34" xfId="423" applyFont="1" applyFill="1" applyBorder="1" applyAlignment="1">
      <alignment horizontal="right"/>
    </xf>
    <xf numFmtId="171" fontId="51" fillId="7" borderId="236" xfId="423" applyFont="1" applyFill="1" applyBorder="1" applyAlignment="1">
      <alignment horizontal="center"/>
    </xf>
    <xf numFmtId="1" fontId="42" fillId="7" borderId="237" xfId="587" applyNumberFormat="1" applyFont="1" applyFill="1" applyBorder="1" applyAlignment="1">
      <alignment horizontal="center" wrapText="1"/>
      <protection/>
    </xf>
    <xf numFmtId="171" fontId="49" fillId="56" borderId="236" xfId="423" applyFont="1" applyFill="1" applyBorder="1" applyAlignment="1">
      <alignment horizontal="center"/>
    </xf>
    <xf numFmtId="171" fontId="49" fillId="4" borderId="247" xfId="423" applyNumberFormat="1" applyFont="1" applyFill="1" applyBorder="1" applyAlignment="1">
      <alignment horizontal="center"/>
    </xf>
    <xf numFmtId="171" fontId="49" fillId="15" borderId="284" xfId="423" applyNumberFormat="1" applyFont="1" applyFill="1" applyBorder="1" applyAlignment="1">
      <alignment horizontal="right"/>
    </xf>
    <xf numFmtId="171" fontId="49" fillId="15" borderId="164" xfId="423" applyNumberFormat="1" applyFont="1" applyFill="1" applyBorder="1" applyAlignment="1">
      <alignment horizontal="right"/>
    </xf>
    <xf numFmtId="3" fontId="35" fillId="50" borderId="199" xfId="587" applyNumberFormat="1" applyFont="1" applyFill="1" applyBorder="1">
      <alignment/>
      <protection/>
    </xf>
    <xf numFmtId="180" fontId="49" fillId="50" borderId="15" xfId="423" applyNumberFormat="1" applyFont="1" applyFill="1" applyBorder="1" applyAlignment="1">
      <alignment horizontal="right"/>
    </xf>
    <xf numFmtId="180" fontId="49" fillId="0" borderId="15" xfId="423" applyNumberFormat="1" applyFont="1" applyFill="1" applyBorder="1" applyAlignment="1">
      <alignment horizontal="right"/>
    </xf>
    <xf numFmtId="180" fontId="49" fillId="15" borderId="170" xfId="423" applyNumberFormat="1" applyFont="1" applyFill="1" applyBorder="1" applyAlignment="1">
      <alignment horizontal="right"/>
    </xf>
    <xf numFmtId="180" fontId="49" fillId="0" borderId="35" xfId="423" applyNumberFormat="1" applyFont="1" applyFill="1" applyBorder="1" applyAlignment="1">
      <alignment horizontal="center"/>
    </xf>
    <xf numFmtId="180" fontId="49" fillId="0" borderId="199" xfId="423" applyNumberFormat="1" applyFont="1" applyFill="1" applyBorder="1" applyAlignment="1">
      <alignment horizontal="right"/>
    </xf>
    <xf numFmtId="171" fontId="49" fillId="4" borderId="70" xfId="423" applyNumberFormat="1" applyFont="1" applyFill="1" applyBorder="1" applyAlignment="1">
      <alignment/>
    </xf>
    <xf numFmtId="171" fontId="49" fillId="4" borderId="45" xfId="423" applyNumberFormat="1" applyFont="1" applyFill="1" applyBorder="1" applyAlignment="1">
      <alignment horizontal="right"/>
    </xf>
    <xf numFmtId="171" fontId="49" fillId="4" borderId="55" xfId="423" applyFont="1" applyFill="1" applyBorder="1" applyAlignment="1">
      <alignment horizontal="center"/>
    </xf>
    <xf numFmtId="171" fontId="49" fillId="4" borderId="224" xfId="423" applyNumberFormat="1" applyFont="1" applyFill="1" applyBorder="1" applyAlignment="1">
      <alignment horizontal="right"/>
    </xf>
    <xf numFmtId="171" fontId="49" fillId="3" borderId="329" xfId="423" applyNumberFormat="1" applyFont="1" applyFill="1" applyBorder="1" applyAlignment="1">
      <alignment horizontal="right"/>
    </xf>
    <xf numFmtId="171" fontId="49" fillId="3" borderId="33" xfId="423" applyNumberFormat="1" applyFont="1" applyFill="1" applyBorder="1" applyAlignment="1">
      <alignment horizontal="right"/>
    </xf>
    <xf numFmtId="171" fontId="49" fillId="3" borderId="32" xfId="423" applyFont="1" applyFill="1" applyBorder="1" applyAlignment="1">
      <alignment horizontal="center"/>
    </xf>
    <xf numFmtId="171" fontId="49" fillId="3" borderId="330" xfId="423" applyNumberFormat="1" applyFont="1" applyFill="1" applyBorder="1" applyAlignment="1">
      <alignment horizontal="right"/>
    </xf>
    <xf numFmtId="3" fontId="36" fillId="15" borderId="266" xfId="587" applyNumberFormat="1" applyFont="1" applyFill="1" applyBorder="1" applyAlignment="1">
      <alignment horizontal="right"/>
      <protection/>
    </xf>
    <xf numFmtId="3" fontId="36" fillId="15" borderId="274" xfId="587" applyNumberFormat="1" applyFont="1" applyFill="1" applyBorder="1" applyAlignment="1">
      <alignment horizontal="right"/>
      <protection/>
    </xf>
    <xf numFmtId="171" fontId="49" fillId="15" borderId="47" xfId="423" applyNumberFormat="1" applyFont="1" applyFill="1" applyBorder="1" applyAlignment="1">
      <alignment horizontal="right"/>
    </xf>
    <xf numFmtId="171" fontId="49" fillId="4" borderId="54" xfId="423" applyNumberFormat="1" applyFont="1" applyFill="1" applyBorder="1" applyAlignment="1">
      <alignment/>
    </xf>
    <xf numFmtId="171" fontId="49" fillId="4" borderId="44" xfId="423" applyNumberFormat="1" applyFont="1" applyFill="1" applyBorder="1" applyAlignment="1">
      <alignment horizontal="right"/>
    </xf>
    <xf numFmtId="171" fontId="49" fillId="4" borderId="22" xfId="423" applyFont="1" applyFill="1" applyBorder="1" applyAlignment="1">
      <alignment horizontal="center"/>
    </xf>
    <xf numFmtId="171" fontId="49" fillId="4" borderId="224" xfId="423" applyNumberFormat="1" applyFont="1" applyFill="1" applyBorder="1" applyAlignment="1">
      <alignment/>
    </xf>
    <xf numFmtId="171" fontId="49" fillId="3" borderId="26" xfId="423" applyNumberFormat="1" applyFont="1" applyFill="1" applyBorder="1" applyAlignment="1">
      <alignment/>
    </xf>
    <xf numFmtId="171" fontId="49" fillId="3" borderId="33" xfId="423" applyNumberFormat="1" applyFont="1" applyFill="1" applyBorder="1" applyAlignment="1">
      <alignment/>
    </xf>
    <xf numFmtId="171" fontId="49" fillId="4" borderId="167" xfId="423" applyNumberFormat="1" applyFont="1" applyFill="1" applyBorder="1" applyAlignment="1">
      <alignment/>
    </xf>
    <xf numFmtId="171" fontId="49" fillId="4" borderId="200" xfId="423" applyNumberFormat="1" applyFont="1" applyFill="1" applyBorder="1" applyAlignment="1">
      <alignment/>
    </xf>
    <xf numFmtId="171" fontId="49" fillId="3" borderId="210" xfId="423" applyNumberFormat="1" applyFont="1" applyFill="1" applyBorder="1" applyAlignment="1">
      <alignment/>
    </xf>
    <xf numFmtId="171" fontId="49" fillId="3" borderId="91" xfId="423" applyNumberFormat="1" applyFont="1" applyFill="1" applyBorder="1" applyAlignment="1">
      <alignment/>
    </xf>
    <xf numFmtId="171" fontId="49" fillId="3" borderId="101" xfId="423" applyFont="1" applyFill="1" applyBorder="1" applyAlignment="1">
      <alignment horizontal="center"/>
    </xf>
    <xf numFmtId="171" fontId="49" fillId="3" borderId="212" xfId="423" applyNumberFormat="1" applyFont="1" applyFill="1" applyBorder="1" applyAlignment="1">
      <alignment/>
    </xf>
    <xf numFmtId="3" fontId="36" fillId="4" borderId="66" xfId="587" applyNumberFormat="1" applyFont="1" applyFill="1" applyBorder="1">
      <alignment/>
      <protection/>
    </xf>
    <xf numFmtId="171" fontId="49" fillId="4" borderId="66" xfId="423" applyNumberFormat="1" applyFont="1" applyFill="1" applyBorder="1" applyAlignment="1">
      <alignment/>
    </xf>
    <xf numFmtId="171" fontId="49" fillId="4" borderId="56" xfId="423" applyNumberFormat="1" applyFont="1" applyFill="1" applyBorder="1" applyAlignment="1">
      <alignment/>
    </xf>
    <xf numFmtId="171" fontId="49" fillId="4" borderId="19" xfId="423" applyFont="1" applyFill="1" applyBorder="1" applyAlignment="1">
      <alignment horizontal="center"/>
    </xf>
    <xf numFmtId="171" fontId="49" fillId="4" borderId="227" xfId="423" applyNumberFormat="1" applyFont="1" applyFill="1" applyBorder="1" applyAlignment="1">
      <alignment/>
    </xf>
    <xf numFmtId="3" fontId="35" fillId="61" borderId="88" xfId="587" applyNumberFormat="1" applyFont="1" applyFill="1" applyBorder="1">
      <alignment/>
      <protection/>
    </xf>
    <xf numFmtId="3" fontId="35" fillId="61" borderId="90" xfId="587" applyNumberFormat="1" applyFont="1" applyFill="1" applyBorder="1">
      <alignment/>
      <protection/>
    </xf>
    <xf numFmtId="3" fontId="37" fillId="54" borderId="90" xfId="587" applyNumberFormat="1" applyFont="1" applyFill="1" applyBorder="1">
      <alignment/>
      <protection/>
    </xf>
    <xf numFmtId="3" fontId="125" fillId="54" borderId="90" xfId="587" applyNumberFormat="1" applyFont="1" applyFill="1" applyBorder="1">
      <alignment/>
      <protection/>
    </xf>
    <xf numFmtId="171" fontId="43" fillId="61" borderId="52" xfId="423" applyNumberFormat="1" applyFont="1" applyFill="1" applyBorder="1" applyAlignment="1">
      <alignment horizontal="right"/>
    </xf>
    <xf numFmtId="171" fontId="43" fillId="54" borderId="87" xfId="423" applyNumberFormat="1" applyFont="1" applyFill="1" applyBorder="1" applyAlignment="1">
      <alignment horizontal="right" vertical="center"/>
    </xf>
    <xf numFmtId="180" fontId="49" fillId="62" borderId="86" xfId="423" applyNumberFormat="1" applyFont="1" applyFill="1" applyBorder="1" applyAlignment="1">
      <alignment horizontal="right"/>
    </xf>
    <xf numFmtId="171" fontId="43" fillId="62" borderId="51" xfId="423" applyNumberFormat="1" applyFont="1" applyFill="1" applyBorder="1" applyAlignment="1">
      <alignment horizontal="right"/>
    </xf>
    <xf numFmtId="3" fontId="35" fillId="61" borderId="52" xfId="587" applyNumberFormat="1" applyFont="1" applyFill="1" applyBorder="1">
      <alignment/>
      <protection/>
    </xf>
    <xf numFmtId="171" fontId="43" fillId="54" borderId="53" xfId="423" applyNumberFormat="1" applyFont="1" applyFill="1" applyBorder="1" applyAlignment="1">
      <alignment/>
    </xf>
    <xf numFmtId="171" fontId="43" fillId="54" borderId="220" xfId="423" applyNumberFormat="1" applyFont="1" applyFill="1" applyBorder="1" applyAlignment="1">
      <alignment horizontal="right" vertical="center"/>
    </xf>
    <xf numFmtId="171" fontId="43" fillId="35" borderId="220" xfId="423" applyNumberFormat="1" applyFont="1" applyFill="1" applyBorder="1" applyAlignment="1">
      <alignment horizontal="right" vertical="center"/>
    </xf>
    <xf numFmtId="0" fontId="30" fillId="7" borderId="331" xfId="587" applyFont="1" applyFill="1" applyBorder="1" applyAlignment="1">
      <alignment horizontal="center" vertical="center"/>
      <protection/>
    </xf>
    <xf numFmtId="3" fontId="117" fillId="61" borderId="90" xfId="587" applyNumberFormat="1" applyFont="1" applyFill="1" applyBorder="1" applyAlignment="1">
      <alignment horizontal="left"/>
      <protection/>
    </xf>
    <xf numFmtId="3" fontId="35" fillId="54" borderId="92" xfId="587" applyNumberFormat="1" applyFont="1" applyFill="1" applyBorder="1">
      <alignment/>
      <protection/>
    </xf>
    <xf numFmtId="171" fontId="43" fillId="54" borderId="35" xfId="423" applyFont="1" applyFill="1" applyBorder="1" applyAlignment="1">
      <alignment horizontal="right"/>
    </xf>
    <xf numFmtId="3" fontId="35" fillId="54" borderId="199" xfId="587" applyNumberFormat="1" applyFont="1" applyFill="1" applyBorder="1">
      <alignment/>
      <protection/>
    </xf>
    <xf numFmtId="171" fontId="43" fillId="54" borderId="0" xfId="423" applyFont="1" applyFill="1" applyBorder="1" applyAlignment="1">
      <alignment horizontal="right"/>
    </xf>
    <xf numFmtId="3" fontId="35" fillId="54" borderId="332" xfId="587" applyNumberFormat="1" applyFont="1" applyFill="1" applyBorder="1" applyAlignment="1">
      <alignment horizontal="right"/>
      <protection/>
    </xf>
    <xf numFmtId="180" fontId="49" fillId="54" borderId="35" xfId="423" applyNumberFormat="1" applyFont="1" applyFill="1" applyBorder="1" applyAlignment="1">
      <alignment horizontal="center"/>
    </xf>
    <xf numFmtId="180" fontId="49" fillId="54" borderId="199" xfId="423" applyNumberFormat="1" applyFont="1" applyFill="1" applyBorder="1" applyAlignment="1">
      <alignment horizontal="right"/>
    </xf>
    <xf numFmtId="3" fontId="35" fillId="54" borderId="140" xfId="587" applyNumberFormat="1" applyFont="1" applyFill="1" applyBorder="1">
      <alignment/>
      <protection/>
    </xf>
    <xf numFmtId="171" fontId="43" fillId="54" borderId="106" xfId="423" applyNumberFormat="1" applyFont="1" applyFill="1" applyBorder="1" applyAlignment="1">
      <alignment/>
    </xf>
    <xf numFmtId="171" fontId="43" fillId="54" borderId="74" xfId="423" applyFont="1" applyFill="1" applyBorder="1" applyAlignment="1">
      <alignment horizontal="center"/>
    </xf>
    <xf numFmtId="171" fontId="43" fillId="61" borderId="88" xfId="423" applyNumberFormat="1" applyFont="1" applyFill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8" fillId="45" borderId="95" xfId="0" applyFont="1" applyFill="1" applyBorder="1" applyAlignment="1">
      <alignment horizontal="left"/>
    </xf>
    <xf numFmtId="0" fontId="28" fillId="45" borderId="85" xfId="0" applyFont="1" applyFill="1" applyBorder="1" applyAlignment="1">
      <alignment horizontal="left"/>
    </xf>
    <xf numFmtId="0" fontId="28" fillId="45" borderId="113" xfId="0" applyFont="1" applyFill="1" applyBorder="1" applyAlignment="1">
      <alignment horizontal="left"/>
    </xf>
    <xf numFmtId="0" fontId="89" fillId="63" borderId="97" xfId="0" applyFont="1" applyFill="1" applyBorder="1" applyAlignment="1">
      <alignment horizontal="left"/>
    </xf>
    <xf numFmtId="0" fontId="89" fillId="63" borderId="98" xfId="0" applyFont="1" applyFill="1" applyBorder="1" applyAlignment="1">
      <alignment horizontal="left"/>
    </xf>
    <xf numFmtId="0" fontId="89" fillId="63" borderId="211" xfId="0" applyFont="1" applyFill="1" applyBorder="1" applyAlignment="1">
      <alignment horizontal="left"/>
    </xf>
    <xf numFmtId="0" fontId="90" fillId="0" borderId="96" xfId="0" applyFont="1" applyBorder="1" applyAlignment="1">
      <alignment horizontal="left" vertical="top" wrapText="1"/>
    </xf>
    <xf numFmtId="0" fontId="90" fillId="0" borderId="0" xfId="0" applyFont="1" applyBorder="1" applyAlignment="1">
      <alignment horizontal="left" vertical="top" wrapText="1"/>
    </xf>
    <xf numFmtId="0" fontId="90" fillId="0" borderId="15" xfId="0" applyFont="1" applyBorder="1" applyAlignment="1">
      <alignment horizontal="left" wrapText="1"/>
    </xf>
    <xf numFmtId="0" fontId="90" fillId="0" borderId="35" xfId="0" applyFont="1" applyBorder="1" applyAlignment="1">
      <alignment horizontal="left" wrapText="1"/>
    </xf>
    <xf numFmtId="49" fontId="24" fillId="4" borderId="0" xfId="0" applyNumberFormat="1" applyFont="1" applyFill="1" applyBorder="1" applyAlignment="1">
      <alignment horizontal="left"/>
    </xf>
    <xf numFmtId="0" fontId="90" fillId="0" borderId="174" xfId="0" applyFont="1" applyBorder="1" applyAlignment="1">
      <alignment horizontal="justify" vertical="top"/>
    </xf>
    <xf numFmtId="0" fontId="90" fillId="0" borderId="206" xfId="0" applyFont="1" applyBorder="1" applyAlignment="1">
      <alignment horizontal="justify" vertical="top"/>
    </xf>
    <xf numFmtId="0" fontId="24" fillId="45" borderId="92" xfId="0" applyFont="1" applyFill="1" applyBorder="1" applyAlignment="1">
      <alignment horizontal="left"/>
    </xf>
    <xf numFmtId="0" fontId="24" fillId="45" borderId="85" xfId="0" applyFont="1" applyFill="1" applyBorder="1" applyAlignment="1">
      <alignment horizontal="left"/>
    </xf>
    <xf numFmtId="0" fontId="24" fillId="45" borderId="113" xfId="0" applyFont="1" applyFill="1" applyBorder="1" applyAlignment="1">
      <alignment horizontal="left"/>
    </xf>
    <xf numFmtId="0" fontId="24" fillId="42" borderId="140" xfId="0" applyFont="1" applyFill="1" applyBorder="1" applyAlignment="1">
      <alignment horizontal="left"/>
    </xf>
    <xf numFmtId="0" fontId="90" fillId="0" borderId="95" xfId="0" applyFont="1" applyBorder="1" applyAlignment="1">
      <alignment horizontal="justify" vertical="top"/>
    </xf>
    <xf numFmtId="0" fontId="90" fillId="0" borderId="85" xfId="0" applyFont="1" applyBorder="1" applyAlignment="1">
      <alignment horizontal="justify" vertical="top"/>
    </xf>
    <xf numFmtId="0" fontId="90" fillId="0" borderId="113" xfId="0" applyFont="1" applyBorder="1" applyAlignment="1">
      <alignment horizontal="justify" vertical="top"/>
    </xf>
    <xf numFmtId="0" fontId="90" fillId="0" borderId="315" xfId="0" applyFont="1" applyBorder="1" applyAlignment="1">
      <alignment horizontal="justify" vertical="top"/>
    </xf>
    <xf numFmtId="0" fontId="90" fillId="0" borderId="24" xfId="0" applyFont="1" applyBorder="1" applyAlignment="1">
      <alignment horizontal="justify" vertical="top"/>
    </xf>
    <xf numFmtId="49" fontId="28" fillId="41" borderId="85" xfId="0" applyNumberFormat="1" applyFont="1" applyFill="1" applyBorder="1" applyAlignment="1">
      <alignment horizontal="left"/>
    </xf>
    <xf numFmtId="0" fontId="90" fillId="0" borderId="96" xfId="0" applyFont="1" applyBorder="1" applyAlignment="1">
      <alignment horizontal="justify" vertical="top"/>
    </xf>
    <xf numFmtId="0" fontId="90" fillId="0" borderId="53" xfId="0" applyFont="1" applyBorder="1" applyAlignment="1">
      <alignment horizontal="justify" vertical="top"/>
    </xf>
    <xf numFmtId="0" fontId="24" fillId="42" borderId="222" xfId="0" applyFont="1" applyFill="1" applyBorder="1" applyAlignment="1">
      <alignment horizontal="left"/>
    </xf>
    <xf numFmtId="0" fontId="24" fillId="42" borderId="122" xfId="0" applyFont="1" applyFill="1" applyBorder="1" applyAlignment="1">
      <alignment horizontal="left"/>
    </xf>
    <xf numFmtId="0" fontId="24" fillId="42" borderId="123" xfId="0" applyFont="1" applyFill="1" applyBorder="1" applyAlignment="1">
      <alignment horizontal="left"/>
    </xf>
    <xf numFmtId="0" fontId="24" fillId="42" borderId="92" xfId="0" applyFont="1" applyFill="1" applyBorder="1" applyAlignment="1">
      <alignment horizontal="left"/>
    </xf>
    <xf numFmtId="0" fontId="24" fillId="42" borderId="85" xfId="0" applyFont="1" applyFill="1" applyBorder="1" applyAlignment="1">
      <alignment horizontal="left"/>
    </xf>
    <xf numFmtId="0" fontId="24" fillId="42" borderId="113" xfId="0" applyFont="1" applyFill="1" applyBorder="1" applyAlignment="1">
      <alignment horizontal="left"/>
    </xf>
    <xf numFmtId="0" fontId="90" fillId="0" borderId="95" xfId="0" applyFont="1" applyBorder="1" applyAlignment="1">
      <alignment horizontal="left" vertical="top" wrapText="1"/>
    </xf>
    <xf numFmtId="0" fontId="90" fillId="0" borderId="85" xfId="0" applyFont="1" applyBorder="1" applyAlignment="1">
      <alignment horizontal="left" vertical="top" wrapText="1"/>
    </xf>
    <xf numFmtId="0" fontId="90" fillId="0" borderId="333" xfId="0" applyFont="1" applyBorder="1" applyAlignment="1">
      <alignment horizontal="left" vertical="top" wrapText="1"/>
    </xf>
    <xf numFmtId="0" fontId="90" fillId="0" borderId="262" xfId="0" applyFont="1" applyBorder="1" applyAlignment="1">
      <alignment horizontal="left" wrapText="1"/>
    </xf>
    <xf numFmtId="0" fontId="90" fillId="0" borderId="334" xfId="0" applyFont="1" applyBorder="1" applyAlignment="1">
      <alignment horizontal="left" wrapText="1"/>
    </xf>
    <xf numFmtId="0" fontId="90" fillId="0" borderId="95" xfId="0" applyFont="1" applyBorder="1" applyAlignment="1">
      <alignment horizontal="left" wrapText="1"/>
    </xf>
    <xf numFmtId="0" fontId="90" fillId="0" borderId="81" xfId="0" applyFont="1" applyBorder="1" applyAlignment="1">
      <alignment horizontal="left" wrapText="1"/>
    </xf>
    <xf numFmtId="0" fontId="90" fillId="0" borderId="174" xfId="0" applyFont="1" applyFill="1" applyBorder="1" applyAlignment="1">
      <alignment horizontal="justify" vertical="top"/>
    </xf>
    <xf numFmtId="0" fontId="90" fillId="0" borderId="206" xfId="0" applyFont="1" applyFill="1" applyBorder="1" applyAlignment="1">
      <alignment horizontal="justify" vertical="top"/>
    </xf>
    <xf numFmtId="0" fontId="90" fillId="0" borderId="335" xfId="0" applyFont="1" applyBorder="1" applyAlignment="1">
      <alignment horizontal="justify" vertical="top"/>
    </xf>
    <xf numFmtId="0" fontId="90" fillId="0" borderId="201" xfId="0" applyFont="1" applyBorder="1" applyAlignment="1">
      <alignment horizontal="justify" vertical="top"/>
    </xf>
    <xf numFmtId="0" fontId="90" fillId="0" borderId="81" xfId="0" applyFont="1" applyBorder="1" applyAlignment="1">
      <alignment horizontal="justify" vertical="top"/>
    </xf>
    <xf numFmtId="0" fontId="90" fillId="0" borderId="95" xfId="0" applyFont="1" applyBorder="1" applyAlignment="1">
      <alignment horizontal="left"/>
    </xf>
    <xf numFmtId="0" fontId="90" fillId="0" borderId="81" xfId="0" applyFont="1" applyBorder="1" applyAlignment="1">
      <alignment horizontal="left"/>
    </xf>
    <xf numFmtId="0" fontId="28" fillId="41" borderId="85" xfId="0" applyFont="1" applyFill="1" applyBorder="1" applyAlignment="1">
      <alignment horizontal="left"/>
    </xf>
    <xf numFmtId="0" fontId="24" fillId="42" borderId="336" xfId="0" applyFont="1" applyFill="1" applyBorder="1" applyAlignment="1">
      <alignment horizontal="left"/>
    </xf>
    <xf numFmtId="0" fontId="24" fillId="42" borderId="337" xfId="0" applyFont="1" applyFill="1" applyBorder="1" applyAlignment="1">
      <alignment horizontal="left"/>
    </xf>
    <xf numFmtId="0" fontId="90" fillId="0" borderId="15" xfId="0" applyFont="1" applyBorder="1" applyAlignment="1">
      <alignment horizontal="left"/>
    </xf>
    <xf numFmtId="0" fontId="90" fillId="0" borderId="35" xfId="0" applyFont="1" applyBorder="1" applyAlignment="1">
      <alignment horizontal="left"/>
    </xf>
    <xf numFmtId="0" fontId="24" fillId="0" borderId="253" xfId="0" applyFont="1" applyBorder="1" applyAlignment="1">
      <alignment horizontal="center"/>
    </xf>
    <xf numFmtId="0" fontId="24" fillId="0" borderId="119" xfId="0" applyFont="1" applyBorder="1" applyAlignment="1">
      <alignment horizontal="center"/>
    </xf>
    <xf numFmtId="0" fontId="24" fillId="0" borderId="263" xfId="0" applyFont="1" applyBorder="1" applyAlignment="1">
      <alignment horizontal="center"/>
    </xf>
    <xf numFmtId="0" fontId="28" fillId="46" borderId="95" xfId="0" applyFont="1" applyFill="1" applyBorder="1" applyAlignment="1">
      <alignment horizontal="left"/>
    </xf>
    <xf numFmtId="0" fontId="28" fillId="46" borderId="85" xfId="0" applyFont="1" applyFill="1" applyBorder="1" applyAlignment="1">
      <alignment horizontal="left"/>
    </xf>
    <xf numFmtId="0" fontId="28" fillId="46" borderId="113" xfId="0" applyFont="1" applyFill="1" applyBorder="1" applyAlignment="1">
      <alignment horizontal="left"/>
    </xf>
    <xf numFmtId="0" fontId="26" fillId="0" borderId="85" xfId="0" applyFont="1" applyBorder="1" applyAlignment="1">
      <alignment horizontal="left"/>
    </xf>
    <xf numFmtId="0" fontId="90" fillId="0" borderId="262" xfId="0" applyFont="1" applyBorder="1" applyAlignment="1">
      <alignment horizontal="left"/>
    </xf>
    <xf numFmtId="0" fontId="90" fillId="0" borderId="334" xfId="0" applyFont="1" applyBorder="1" applyAlignment="1">
      <alignment horizontal="left"/>
    </xf>
    <xf numFmtId="0" fontId="90" fillId="0" borderId="120" xfId="0" applyFont="1" applyBorder="1" applyAlignment="1">
      <alignment horizontal="left" wrapText="1"/>
    </xf>
    <xf numFmtId="49" fontId="91" fillId="46" borderId="97" xfId="0" applyNumberFormat="1" applyFont="1" applyFill="1" applyBorder="1" applyAlignment="1">
      <alignment horizontal="left"/>
    </xf>
    <xf numFmtId="49" fontId="91" fillId="46" borderId="98" xfId="0" applyNumberFormat="1" applyFont="1" applyFill="1" applyBorder="1" applyAlignment="1">
      <alignment horizontal="left"/>
    </xf>
    <xf numFmtId="49" fontId="91" fillId="46" borderId="211" xfId="0" applyNumberFormat="1" applyFont="1" applyFill="1" applyBorder="1" applyAlignment="1">
      <alignment horizontal="left"/>
    </xf>
    <xf numFmtId="0" fontId="24" fillId="45" borderId="222" xfId="0" applyFont="1" applyFill="1" applyBorder="1" applyAlignment="1">
      <alignment horizontal="left"/>
    </xf>
    <xf numFmtId="0" fontId="24" fillId="45" borderId="122" xfId="0" applyFont="1" applyFill="1" applyBorder="1" applyAlignment="1">
      <alignment horizontal="left"/>
    </xf>
    <xf numFmtId="0" fontId="89" fillId="0" borderId="0" xfId="0" applyFont="1" applyFill="1" applyBorder="1" applyAlignment="1">
      <alignment horizontal="left"/>
    </xf>
    <xf numFmtId="3" fontId="91" fillId="0" borderId="0" xfId="0" applyNumberFormat="1" applyFont="1" applyFill="1" applyBorder="1" applyAlignment="1">
      <alignment horizontal="right"/>
    </xf>
    <xf numFmtId="49" fontId="24" fillId="46" borderId="0" xfId="0" applyNumberFormat="1" applyFont="1" applyFill="1" applyBorder="1" applyAlignment="1">
      <alignment horizontal="left"/>
    </xf>
    <xf numFmtId="49" fontId="90" fillId="0" borderId="95" xfId="0" applyNumberFormat="1" applyFont="1" applyBorder="1" applyAlignment="1">
      <alignment horizontal="left"/>
    </xf>
    <xf numFmtId="49" fontId="90" fillId="0" borderId="85" xfId="0" applyNumberFormat="1" applyFont="1" applyBorder="1" applyAlignment="1">
      <alignment horizontal="left"/>
    </xf>
    <xf numFmtId="49" fontId="90" fillId="0" borderId="113" xfId="0" applyNumberFormat="1" applyFont="1" applyBorder="1" applyAlignment="1">
      <alignment horizontal="left"/>
    </xf>
    <xf numFmtId="0" fontId="33" fillId="4" borderId="21" xfId="587" applyFont="1" applyFill="1" applyBorder="1" applyAlignment="1">
      <alignment horizontal="left"/>
      <protection/>
    </xf>
    <xf numFmtId="0" fontId="31" fillId="6" borderId="0" xfId="587" applyFont="1" applyFill="1" applyBorder="1" applyAlignment="1">
      <alignment horizontal="center"/>
      <protection/>
    </xf>
    <xf numFmtId="0" fontId="31" fillId="0" borderId="0" xfId="587" applyFont="1" applyBorder="1" applyAlignment="1">
      <alignment horizontal="center"/>
      <protection/>
    </xf>
    <xf numFmtId="2" fontId="30" fillId="4" borderId="0" xfId="587" applyNumberFormat="1" applyFont="1" applyFill="1" applyBorder="1" applyAlignment="1">
      <alignment horizontal="center"/>
      <protection/>
    </xf>
    <xf numFmtId="0" fontId="79" fillId="4" borderId="338" xfId="587" applyFont="1" applyFill="1" applyBorder="1" applyAlignment="1">
      <alignment horizontal="left"/>
      <protection/>
    </xf>
    <xf numFmtId="0" fontId="79" fillId="4" borderId="339" xfId="587" applyFont="1" applyFill="1" applyBorder="1" applyAlignment="1">
      <alignment horizontal="left"/>
      <protection/>
    </xf>
    <xf numFmtId="171" fontId="43" fillId="4" borderId="0" xfId="423" applyNumberFormat="1" applyFont="1" applyFill="1" applyBorder="1" applyAlignment="1">
      <alignment horizontal="center"/>
    </xf>
    <xf numFmtId="0" fontId="33" fillId="4" borderId="338" xfId="587" applyFont="1" applyFill="1" applyBorder="1" applyAlignment="1">
      <alignment horizontal="left"/>
      <protection/>
    </xf>
    <xf numFmtId="0" fontId="33" fillId="4" borderId="339" xfId="587" applyFont="1" applyFill="1" applyBorder="1" applyAlignment="1">
      <alignment horizontal="left"/>
      <protection/>
    </xf>
    <xf numFmtId="0" fontId="36" fillId="0" borderId="340" xfId="587" applyFont="1" applyBorder="1" applyAlignment="1">
      <alignment horizontal="left"/>
      <protection/>
    </xf>
    <xf numFmtId="0" fontId="36" fillId="0" borderId="64" xfId="587" applyFont="1" applyBorder="1" applyAlignment="1">
      <alignment horizontal="left"/>
      <protection/>
    </xf>
    <xf numFmtId="0" fontId="36" fillId="0" borderId="341" xfId="587" applyFont="1" applyBorder="1" applyAlignment="1">
      <alignment horizontal="left"/>
      <protection/>
    </xf>
    <xf numFmtId="0" fontId="36" fillId="0" borderId="342" xfId="587" applyFont="1" applyBorder="1" applyAlignment="1">
      <alignment horizontal="left"/>
      <protection/>
    </xf>
    <xf numFmtId="0" fontId="36" fillId="0" borderId="343" xfId="587" applyFont="1" applyBorder="1" applyAlignment="1">
      <alignment horizontal="left"/>
      <protection/>
    </xf>
    <xf numFmtId="0" fontId="36" fillId="0" borderId="140" xfId="587" applyFont="1" applyBorder="1" applyAlignment="1">
      <alignment horizontal="left"/>
      <protection/>
    </xf>
    <xf numFmtId="0" fontId="33" fillId="4" borderId="174" xfId="587" applyFont="1" applyFill="1" applyBorder="1" applyAlignment="1">
      <alignment horizontal="left"/>
      <protection/>
    </xf>
    <xf numFmtId="0" fontId="33" fillId="4" borderId="276" xfId="587" applyFont="1" applyFill="1" applyBorder="1" applyAlignment="1">
      <alignment horizontal="left"/>
      <protection/>
    </xf>
    <xf numFmtId="0" fontId="33" fillId="4" borderId="344" xfId="587" applyFont="1" applyFill="1" applyBorder="1" applyAlignment="1">
      <alignment horizontal="left"/>
      <protection/>
    </xf>
    <xf numFmtId="0" fontId="0" fillId="9" borderId="33" xfId="0" applyFont="1" applyFill="1" applyBorder="1" applyAlignment="1">
      <alignment horizontal="center" vertical="center"/>
    </xf>
    <xf numFmtId="0" fontId="0" fillId="9" borderId="46" xfId="0" applyFont="1" applyFill="1" applyBorder="1" applyAlignment="1">
      <alignment horizontal="center" vertical="center"/>
    </xf>
    <xf numFmtId="0" fontId="43" fillId="9" borderId="237" xfId="0" applyFont="1" applyFill="1" applyBorder="1" applyAlignment="1">
      <alignment horizontal="center" vertical="center"/>
    </xf>
    <xf numFmtId="0" fontId="43" fillId="9" borderId="345" xfId="0" applyFont="1" applyFill="1" applyBorder="1" applyAlignment="1">
      <alignment horizontal="center" vertical="center"/>
    </xf>
    <xf numFmtId="49" fontId="52" fillId="10" borderId="53" xfId="0" applyNumberFormat="1" applyFont="1" applyFill="1" applyBorder="1" applyAlignment="1">
      <alignment horizontal="left"/>
    </xf>
    <xf numFmtId="0" fontId="49" fillId="7" borderId="0" xfId="0" applyFont="1" applyFill="1" applyBorder="1" applyAlignment="1">
      <alignment horizontal="left"/>
    </xf>
    <xf numFmtId="0" fontId="51" fillId="34" borderId="50" xfId="0" applyFont="1" applyFill="1" applyBorder="1" applyAlignment="1">
      <alignment horizontal="left"/>
    </xf>
    <xf numFmtId="0" fontId="49" fillId="27" borderId="0" xfId="0" applyFont="1" applyFill="1" applyBorder="1" applyAlignment="1">
      <alignment horizontal="left"/>
    </xf>
    <xf numFmtId="49" fontId="49" fillId="15" borderId="50" xfId="0" applyNumberFormat="1" applyFont="1" applyFill="1" applyBorder="1" applyAlignment="1">
      <alignment horizontal="left"/>
    </xf>
    <xf numFmtId="49" fontId="54" fillId="3" borderId="0" xfId="0" applyNumberFormat="1" applyFont="1" applyFill="1" applyBorder="1" applyAlignment="1">
      <alignment horizontal="left"/>
    </xf>
    <xf numFmtId="49" fontId="49" fillId="7" borderId="0" xfId="0" applyNumberFormat="1" applyFont="1" applyFill="1" applyBorder="1" applyAlignment="1">
      <alignment horizontal="left"/>
    </xf>
    <xf numFmtId="0" fontId="0" fillId="9" borderId="346" xfId="0" applyFont="1" applyFill="1" applyBorder="1" applyAlignment="1">
      <alignment horizontal="center" vertical="center"/>
    </xf>
    <xf numFmtId="0" fontId="0" fillId="9" borderId="347" xfId="0" applyFont="1" applyFill="1" applyBorder="1" applyAlignment="1">
      <alignment horizontal="center" vertical="center"/>
    </xf>
    <xf numFmtId="0" fontId="0" fillId="9" borderId="348" xfId="0" applyFont="1" applyFill="1" applyBorder="1" applyAlignment="1">
      <alignment horizontal="center" vertical="center"/>
    </xf>
    <xf numFmtId="0" fontId="43" fillId="0" borderId="186" xfId="0" applyFont="1" applyBorder="1" applyAlignment="1">
      <alignment horizontal="left"/>
    </xf>
    <xf numFmtId="49" fontId="49" fillId="27" borderId="0" xfId="0" applyNumberFormat="1" applyFont="1" applyFill="1" applyBorder="1" applyAlignment="1">
      <alignment horizontal="left"/>
    </xf>
    <xf numFmtId="49" fontId="52" fillId="39" borderId="81" xfId="0" applyNumberFormat="1" applyFont="1" applyFill="1" applyBorder="1" applyAlignment="1">
      <alignment horizontal="left"/>
    </xf>
    <xf numFmtId="49" fontId="52" fillId="39" borderId="85" xfId="0" applyNumberFormat="1" applyFont="1" applyFill="1" applyBorder="1" applyAlignment="1">
      <alignment horizontal="left"/>
    </xf>
    <xf numFmtId="49" fontId="52" fillId="39" borderId="82" xfId="0" applyNumberFormat="1" applyFont="1" applyFill="1" applyBorder="1" applyAlignment="1">
      <alignment horizontal="left"/>
    </xf>
    <xf numFmtId="49" fontId="51" fillId="26" borderId="81" xfId="0" applyNumberFormat="1" applyFont="1" applyFill="1" applyBorder="1" applyAlignment="1">
      <alignment horizontal="left"/>
    </xf>
    <xf numFmtId="49" fontId="51" fillId="26" borderId="85" xfId="0" applyNumberFormat="1" applyFont="1" applyFill="1" applyBorder="1" applyAlignment="1">
      <alignment horizontal="left"/>
    </xf>
    <xf numFmtId="49" fontId="51" fillId="26" borderId="82" xfId="0" applyNumberFormat="1" applyFont="1" applyFill="1" applyBorder="1" applyAlignment="1">
      <alignment horizontal="left"/>
    </xf>
    <xf numFmtId="0" fontId="0" fillId="3" borderId="343" xfId="0" applyFont="1" applyFill="1" applyBorder="1" applyAlignment="1">
      <alignment horizontal="center"/>
    </xf>
    <xf numFmtId="0" fontId="0" fillId="4" borderId="343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54" fillId="7" borderId="26" xfId="0" applyFont="1" applyFill="1" applyBorder="1" applyAlignment="1">
      <alignment horizontal="left"/>
    </xf>
    <xf numFmtId="0" fontId="0" fillId="15" borderId="349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15" borderId="343" xfId="0" applyFont="1" applyFill="1" applyBorder="1" applyAlignment="1">
      <alignment horizontal="center"/>
    </xf>
    <xf numFmtId="0" fontId="0" fillId="4" borderId="344" xfId="0" applyFont="1" applyFill="1" applyBorder="1" applyAlignment="1">
      <alignment horizontal="center"/>
    </xf>
    <xf numFmtId="0" fontId="5" fillId="10" borderId="73" xfId="0" applyFont="1" applyFill="1" applyBorder="1" applyAlignment="1">
      <alignment horizontal="center" vertical="center"/>
    </xf>
    <xf numFmtId="0" fontId="5" fillId="10" borderId="72" xfId="0" applyFont="1" applyFill="1" applyBorder="1" applyAlignment="1">
      <alignment horizontal="center" vertical="center"/>
    </xf>
    <xf numFmtId="0" fontId="5" fillId="10" borderId="236" xfId="0" applyFont="1" applyFill="1" applyBorder="1" applyAlignment="1">
      <alignment horizontal="center" vertical="center"/>
    </xf>
    <xf numFmtId="0" fontId="5" fillId="10" borderId="336" xfId="0" applyFont="1" applyFill="1" applyBorder="1" applyAlignment="1">
      <alignment horizontal="center" vertical="center"/>
    </xf>
    <xf numFmtId="0" fontId="5" fillId="10" borderId="337" xfId="0" applyFont="1" applyFill="1" applyBorder="1" applyAlignment="1">
      <alignment horizontal="center" vertical="center"/>
    </xf>
    <xf numFmtId="0" fontId="5" fillId="10" borderId="219" xfId="0" applyFont="1" applyFill="1" applyBorder="1" applyAlignment="1">
      <alignment horizontal="center" vertical="center"/>
    </xf>
    <xf numFmtId="0" fontId="67" fillId="0" borderId="14" xfId="587" applyFont="1" applyBorder="1" applyAlignment="1">
      <alignment horizontal="left"/>
      <protection/>
    </xf>
    <xf numFmtId="0" fontId="67" fillId="0" borderId="15" xfId="587" applyFont="1" applyBorder="1" applyAlignment="1">
      <alignment horizontal="left"/>
      <protection/>
    </xf>
    <xf numFmtId="0" fontId="67" fillId="0" borderId="350" xfId="587" applyFont="1" applyBorder="1" applyAlignment="1">
      <alignment horizontal="left"/>
      <protection/>
    </xf>
    <xf numFmtId="0" fontId="73" fillId="0" borderId="93" xfId="587" applyFont="1" applyFill="1" applyBorder="1" applyAlignment="1">
      <alignment horizontal="center"/>
      <protection/>
    </xf>
    <xf numFmtId="0" fontId="73" fillId="0" borderId="350" xfId="587" applyFont="1" applyFill="1" applyBorder="1" applyAlignment="1">
      <alignment horizontal="center"/>
      <protection/>
    </xf>
    <xf numFmtId="173" fontId="25" fillId="6" borderId="0" xfId="566" applyFont="1" applyFill="1" applyBorder="1" applyAlignment="1" applyProtection="1">
      <alignment horizontal="center"/>
      <protection/>
    </xf>
    <xf numFmtId="0" fontId="30" fillId="4" borderId="0" xfId="587" applyFont="1" applyFill="1" applyBorder="1" applyAlignment="1">
      <alignment horizontal="center"/>
      <protection/>
    </xf>
    <xf numFmtId="3" fontId="30" fillId="4" borderId="0" xfId="587" applyNumberFormat="1" applyFont="1" applyFill="1" applyBorder="1" applyAlignment="1">
      <alignment horizontal="center"/>
      <protection/>
    </xf>
    <xf numFmtId="0" fontId="36" fillId="53" borderId="93" xfId="589" applyFont="1" applyFill="1" applyBorder="1" applyAlignment="1">
      <alignment horizontal="left"/>
    </xf>
    <xf numFmtId="0" fontId="36" fillId="53" borderId="15" xfId="589" applyFont="1" applyFill="1" applyBorder="1" applyAlignment="1">
      <alignment horizontal="left"/>
    </xf>
    <xf numFmtId="0" fontId="36" fillId="53" borderId="350" xfId="589" applyFont="1" applyFill="1" applyBorder="1" applyAlignment="1">
      <alignment horizontal="left"/>
    </xf>
    <xf numFmtId="0" fontId="34" fillId="4" borderId="130" xfId="587" applyFont="1" applyFill="1" applyBorder="1" applyAlignment="1">
      <alignment horizontal="left"/>
      <protection/>
    </xf>
    <xf numFmtId="0" fontId="34" fillId="4" borderId="140" xfId="587" applyFont="1" applyFill="1" applyBorder="1" applyAlignment="1">
      <alignment horizontal="left"/>
      <protection/>
    </xf>
    <xf numFmtId="0" fontId="35" fillId="0" borderId="93" xfId="587" applyFont="1" applyFill="1" applyBorder="1" applyAlignment="1">
      <alignment horizontal="center" vertical="top"/>
      <protection/>
    </xf>
    <xf numFmtId="0" fontId="35" fillId="0" borderId="350" xfId="587" applyFont="1" applyFill="1" applyBorder="1" applyAlignment="1">
      <alignment horizontal="center" vertical="top"/>
      <protection/>
    </xf>
    <xf numFmtId="0" fontId="35" fillId="0" borderId="93" xfId="587" applyFont="1" applyFill="1" applyBorder="1" applyAlignment="1">
      <alignment horizontal="center"/>
      <protection/>
    </xf>
    <xf numFmtId="0" fontId="35" fillId="0" borderId="350" xfId="587" applyFont="1" applyFill="1" applyBorder="1" applyAlignment="1">
      <alignment horizontal="center"/>
      <protection/>
    </xf>
    <xf numFmtId="0" fontId="37" fillId="0" borderId="93" xfId="587" applyFont="1" applyFill="1" applyBorder="1" applyAlignment="1">
      <alignment horizontal="center" vertical="top"/>
      <protection/>
    </xf>
    <xf numFmtId="0" fontId="37" fillId="0" borderId="350" xfId="587" applyFont="1" applyFill="1" applyBorder="1" applyAlignment="1">
      <alignment horizontal="center" vertical="top"/>
      <protection/>
    </xf>
    <xf numFmtId="0" fontId="66" fillId="0" borderId="93" xfId="587" applyFont="1" applyFill="1" applyBorder="1" applyAlignment="1">
      <alignment horizontal="center" vertical="top"/>
      <protection/>
    </xf>
    <xf numFmtId="0" fontId="66" fillId="0" borderId="350" xfId="587" applyFont="1" applyFill="1" applyBorder="1" applyAlignment="1">
      <alignment horizontal="center" vertical="top"/>
      <protection/>
    </xf>
    <xf numFmtId="0" fontId="37" fillId="0" borderId="93" xfId="587" applyFont="1" applyFill="1" applyBorder="1" applyAlignment="1">
      <alignment horizontal="center"/>
      <protection/>
    </xf>
    <xf numFmtId="0" fontId="37" fillId="0" borderId="350" xfId="587" applyFont="1" applyFill="1" applyBorder="1" applyAlignment="1">
      <alignment horizontal="center"/>
      <protection/>
    </xf>
    <xf numFmtId="0" fontId="108" fillId="0" borderId="95" xfId="587" applyFont="1" applyFill="1" applyBorder="1" applyAlignment="1">
      <alignment horizontal="center"/>
      <protection/>
    </xf>
    <xf numFmtId="0" fontId="108" fillId="0" borderId="113" xfId="587" applyFont="1" applyFill="1" applyBorder="1" applyAlignment="1">
      <alignment horizontal="center"/>
      <protection/>
    </xf>
    <xf numFmtId="49" fontId="35" fillId="0" borderId="157" xfId="587" applyNumberFormat="1" applyFont="1" applyFill="1" applyBorder="1" applyAlignment="1">
      <alignment horizontal="center"/>
      <protection/>
    </xf>
    <xf numFmtId="49" fontId="35" fillId="0" borderId="269" xfId="587" applyNumberFormat="1" applyFont="1" applyFill="1" applyBorder="1" applyAlignment="1">
      <alignment horizontal="center"/>
      <protection/>
    </xf>
    <xf numFmtId="49" fontId="35" fillId="0" borderId="207" xfId="587" applyNumberFormat="1" applyFont="1" applyFill="1" applyBorder="1" applyAlignment="1">
      <alignment horizontal="center" wrapText="1"/>
      <protection/>
    </xf>
    <xf numFmtId="49" fontId="35" fillId="0" borderId="270" xfId="587" applyNumberFormat="1" applyFont="1" applyFill="1" applyBorder="1" applyAlignment="1">
      <alignment horizontal="center" wrapText="1"/>
      <protection/>
    </xf>
    <xf numFmtId="0" fontId="70" fillId="0" borderId="95" xfId="587" applyFont="1" applyFill="1" applyBorder="1" applyAlignment="1">
      <alignment horizontal="center"/>
      <protection/>
    </xf>
    <xf numFmtId="0" fontId="70" fillId="0" borderId="113" xfId="587" applyFont="1" applyFill="1" applyBorder="1" applyAlignment="1">
      <alignment horizontal="center"/>
      <protection/>
    </xf>
    <xf numFmtId="0" fontId="73" fillId="0" borderId="95" xfId="587" applyFont="1" applyFill="1" applyBorder="1" applyAlignment="1">
      <alignment horizontal="center"/>
      <protection/>
    </xf>
    <xf numFmtId="0" fontId="73" fillId="0" borderId="113" xfId="587" applyFont="1" applyFill="1" applyBorder="1" applyAlignment="1">
      <alignment horizontal="center"/>
      <protection/>
    </xf>
    <xf numFmtId="0" fontId="73" fillId="0" borderId="267" xfId="587" applyFont="1" applyFill="1" applyBorder="1" applyAlignment="1">
      <alignment horizontal="center"/>
      <protection/>
    </xf>
    <xf numFmtId="0" fontId="73" fillId="0" borderId="351" xfId="587" applyFont="1" applyFill="1" applyBorder="1" applyAlignment="1">
      <alignment horizontal="center"/>
      <protection/>
    </xf>
    <xf numFmtId="0" fontId="109" fillId="0" borderId="95" xfId="587" applyFont="1" applyFill="1" applyBorder="1" applyAlignment="1">
      <alignment horizontal="center"/>
      <protection/>
    </xf>
    <xf numFmtId="0" fontId="109" fillId="0" borderId="113" xfId="587" applyFont="1" applyFill="1" applyBorder="1" applyAlignment="1">
      <alignment horizontal="center"/>
      <protection/>
    </xf>
    <xf numFmtId="0" fontId="108" fillId="50" borderId="0" xfId="587" applyFont="1" applyFill="1" applyBorder="1" applyAlignment="1">
      <alignment horizontal="center"/>
      <protection/>
    </xf>
    <xf numFmtId="49" fontId="35" fillId="50" borderId="0" xfId="587" applyNumberFormat="1" applyFont="1" applyFill="1" applyBorder="1" applyAlignment="1">
      <alignment horizontal="center"/>
      <protection/>
    </xf>
    <xf numFmtId="0" fontId="70" fillId="50" borderId="0" xfId="587" applyFont="1" applyFill="1" applyBorder="1" applyAlignment="1">
      <alignment horizontal="center"/>
      <protection/>
    </xf>
    <xf numFmtId="0" fontId="73" fillId="50" borderId="0" xfId="587" applyFont="1" applyFill="1" applyBorder="1" applyAlignment="1">
      <alignment horizontal="center"/>
      <protection/>
    </xf>
    <xf numFmtId="0" fontId="109" fillId="50" borderId="0" xfId="587" applyFont="1" applyFill="1" applyBorder="1" applyAlignment="1">
      <alignment horizontal="center"/>
      <protection/>
    </xf>
    <xf numFmtId="0" fontId="119" fillId="0" borderId="0" xfId="0" applyFont="1" applyAlignment="1">
      <alignment horizontal="left"/>
    </xf>
  </cellXfs>
  <cellStyles count="66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1 1" xfId="22"/>
    <cellStyle name="20% - Accent1 10" xfId="23"/>
    <cellStyle name="20% - Accent1 11" xfId="24"/>
    <cellStyle name="20% - Accent1 12" xfId="25"/>
    <cellStyle name="20% - Accent1 13" xfId="26"/>
    <cellStyle name="20% - Accent1 14" xfId="27"/>
    <cellStyle name="20% - Accent1 2" xfId="28"/>
    <cellStyle name="20% - Accent1 3" xfId="29"/>
    <cellStyle name="20% - Accent1 4" xfId="30"/>
    <cellStyle name="20% - Accent1 5" xfId="31"/>
    <cellStyle name="20% - Accent1 6" xfId="32"/>
    <cellStyle name="20% - Accent1 7" xfId="33"/>
    <cellStyle name="20% - Accent1 8" xfId="34"/>
    <cellStyle name="20% - Accent1 9" xfId="35"/>
    <cellStyle name="20% - Accent2" xfId="36"/>
    <cellStyle name="20% - Accent2 1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2" xfId="43"/>
    <cellStyle name="20% - Accent2 3" xfId="44"/>
    <cellStyle name="20% - Accent2 4" xfId="45"/>
    <cellStyle name="20% - Accent2 5" xfId="46"/>
    <cellStyle name="20% - Accent2 6" xfId="47"/>
    <cellStyle name="20% - Accent2 7" xfId="48"/>
    <cellStyle name="20% - Accent2 8" xfId="49"/>
    <cellStyle name="20% - Accent2 9" xfId="50"/>
    <cellStyle name="20% - Accent3" xfId="51"/>
    <cellStyle name="20% - Accent3 1" xfId="52"/>
    <cellStyle name="20% - Accent3 10" xfId="53"/>
    <cellStyle name="20% - Accent3 11" xfId="54"/>
    <cellStyle name="20% - Accent3 12" xfId="55"/>
    <cellStyle name="20% - Accent3 13" xfId="56"/>
    <cellStyle name="20% - Accent3 14" xfId="57"/>
    <cellStyle name="20% - Accent3 2" xfId="58"/>
    <cellStyle name="20% - Accent3 3" xfId="59"/>
    <cellStyle name="20% - Accent3 4" xfId="60"/>
    <cellStyle name="20% - Accent3 5" xfId="61"/>
    <cellStyle name="20% - Accent3 6" xfId="62"/>
    <cellStyle name="20% - Accent3 7" xfId="63"/>
    <cellStyle name="20% - Accent3 8" xfId="64"/>
    <cellStyle name="20% - Accent3 9" xfId="65"/>
    <cellStyle name="20% - Accent4" xfId="66"/>
    <cellStyle name="20% - Accent4 1" xfId="67"/>
    <cellStyle name="20% - Accent4 10" xfId="68"/>
    <cellStyle name="20% - Accent4 11" xfId="69"/>
    <cellStyle name="20% - Accent4 12" xfId="70"/>
    <cellStyle name="20% - Accent4 13" xfId="71"/>
    <cellStyle name="20% - Accent4 14" xfId="72"/>
    <cellStyle name="20% - Accent4 2" xfId="73"/>
    <cellStyle name="20% - Accent4 3" xfId="74"/>
    <cellStyle name="20% - Accent4 4" xfId="75"/>
    <cellStyle name="20% - Accent4 5" xfId="76"/>
    <cellStyle name="20% - Accent4 6" xfId="77"/>
    <cellStyle name="20% - Accent4 7" xfId="78"/>
    <cellStyle name="20% - Accent4 8" xfId="79"/>
    <cellStyle name="20% - Accent4 9" xfId="80"/>
    <cellStyle name="20% - Accent5" xfId="81"/>
    <cellStyle name="20% - Accent5 1" xfId="82"/>
    <cellStyle name="20% - Accent5 10" xfId="83"/>
    <cellStyle name="20% - Accent5 11" xfId="84"/>
    <cellStyle name="20% - Accent5 12" xfId="85"/>
    <cellStyle name="20% - Accent5 13" xfId="86"/>
    <cellStyle name="20% - Accent5 14" xfId="87"/>
    <cellStyle name="20% - Accent5 2" xfId="88"/>
    <cellStyle name="20% - Accent5 3" xfId="89"/>
    <cellStyle name="20% - Accent5 4" xfId="90"/>
    <cellStyle name="20% - Accent5 5" xfId="91"/>
    <cellStyle name="20% - Accent5 6" xfId="92"/>
    <cellStyle name="20% - Accent5 7" xfId="93"/>
    <cellStyle name="20% - Accent5 8" xfId="94"/>
    <cellStyle name="20% - Accent5 9" xfId="95"/>
    <cellStyle name="20% - Accent6" xfId="96"/>
    <cellStyle name="20% - Accent6 1" xfId="97"/>
    <cellStyle name="20% - Accent6 10" xfId="98"/>
    <cellStyle name="20% - Accent6 11" xfId="99"/>
    <cellStyle name="20% - Accent6 12" xfId="100"/>
    <cellStyle name="20% - Accent6 13" xfId="101"/>
    <cellStyle name="20% - Accent6 14" xfId="102"/>
    <cellStyle name="20% - Accent6 2" xfId="103"/>
    <cellStyle name="20% - Accent6 3" xfId="104"/>
    <cellStyle name="20% - Accent6 4" xfId="105"/>
    <cellStyle name="20% - Accent6 5" xfId="106"/>
    <cellStyle name="20% - Accent6 6" xfId="107"/>
    <cellStyle name="20% - Accent6 7" xfId="108"/>
    <cellStyle name="20% - Accent6 8" xfId="109"/>
    <cellStyle name="20% - Accent6 9" xfId="110"/>
    <cellStyle name="40 % - zvýraznenie1" xfId="111"/>
    <cellStyle name="40 % - zvýraznenie2" xfId="112"/>
    <cellStyle name="40 % - zvýraznenie3" xfId="113"/>
    <cellStyle name="40 % - zvýraznenie4" xfId="114"/>
    <cellStyle name="40 % - zvýraznenie5" xfId="115"/>
    <cellStyle name="40 % - zvýraznenie6" xfId="116"/>
    <cellStyle name="40% - Accent1" xfId="117"/>
    <cellStyle name="40% - Accent1 1" xfId="118"/>
    <cellStyle name="40% - Accent1 10" xfId="119"/>
    <cellStyle name="40% - Accent1 11" xfId="120"/>
    <cellStyle name="40% - Accent1 12" xfId="121"/>
    <cellStyle name="40% - Accent1 13" xfId="122"/>
    <cellStyle name="40% - Accent1 14" xfId="123"/>
    <cellStyle name="40% - Accent1 2" xfId="124"/>
    <cellStyle name="40% - Accent1 3" xfId="125"/>
    <cellStyle name="40% - Accent1 4" xfId="126"/>
    <cellStyle name="40% - Accent1 5" xfId="127"/>
    <cellStyle name="40% - Accent1 6" xfId="128"/>
    <cellStyle name="40% - Accent1 7" xfId="129"/>
    <cellStyle name="40% - Accent1 8" xfId="130"/>
    <cellStyle name="40% - Accent1 9" xfId="131"/>
    <cellStyle name="40% - Accent2" xfId="132"/>
    <cellStyle name="40% - Accent2 1" xfId="133"/>
    <cellStyle name="40% - Accent2 10" xfId="134"/>
    <cellStyle name="40% - Accent2 11" xfId="135"/>
    <cellStyle name="40% - Accent2 12" xfId="136"/>
    <cellStyle name="40% - Accent2 13" xfId="137"/>
    <cellStyle name="40% - Accent2 14" xfId="138"/>
    <cellStyle name="40% - Accent2 2" xfId="139"/>
    <cellStyle name="40% - Accent2 3" xfId="140"/>
    <cellStyle name="40% - Accent2 4" xfId="141"/>
    <cellStyle name="40% - Accent2 5" xfId="142"/>
    <cellStyle name="40% - Accent2 6" xfId="143"/>
    <cellStyle name="40% - Accent2 7" xfId="144"/>
    <cellStyle name="40% - Accent2 8" xfId="145"/>
    <cellStyle name="40% - Accent2 9" xfId="146"/>
    <cellStyle name="40% - Accent3" xfId="147"/>
    <cellStyle name="40% - Accent3 1" xfId="148"/>
    <cellStyle name="40% - Accent3 10" xfId="149"/>
    <cellStyle name="40% - Accent3 11" xfId="150"/>
    <cellStyle name="40% - Accent3 12" xfId="151"/>
    <cellStyle name="40% - Accent3 13" xfId="152"/>
    <cellStyle name="40% - Accent3 14" xfId="153"/>
    <cellStyle name="40% - Accent3 2" xfId="154"/>
    <cellStyle name="40% - Accent3 3" xfId="155"/>
    <cellStyle name="40% - Accent3 4" xfId="156"/>
    <cellStyle name="40% - Accent3 5" xfId="157"/>
    <cellStyle name="40% - Accent3 6" xfId="158"/>
    <cellStyle name="40% - Accent3 7" xfId="159"/>
    <cellStyle name="40% - Accent3 8" xfId="160"/>
    <cellStyle name="40% - Accent3 9" xfId="161"/>
    <cellStyle name="40% - Accent4" xfId="162"/>
    <cellStyle name="40% - Accent4 1" xfId="163"/>
    <cellStyle name="40% - Accent4 10" xfId="164"/>
    <cellStyle name="40% - Accent4 11" xfId="165"/>
    <cellStyle name="40% - Accent4 12" xfId="166"/>
    <cellStyle name="40% - Accent4 13" xfId="167"/>
    <cellStyle name="40% - Accent4 14" xfId="168"/>
    <cellStyle name="40% - Accent4 2" xfId="169"/>
    <cellStyle name="40% - Accent4 3" xfId="170"/>
    <cellStyle name="40% - Accent4 4" xfId="171"/>
    <cellStyle name="40% - Accent4 5" xfId="172"/>
    <cellStyle name="40% - Accent4 6" xfId="173"/>
    <cellStyle name="40% - Accent4 7" xfId="174"/>
    <cellStyle name="40% - Accent4 8" xfId="175"/>
    <cellStyle name="40% - Accent4 9" xfId="176"/>
    <cellStyle name="40% - Accent5" xfId="177"/>
    <cellStyle name="40% - Accent5 1" xfId="178"/>
    <cellStyle name="40% - Accent5 10" xfId="179"/>
    <cellStyle name="40% - Accent5 11" xfId="180"/>
    <cellStyle name="40% - Accent5 12" xfId="181"/>
    <cellStyle name="40% - Accent5 13" xfId="182"/>
    <cellStyle name="40% - Accent5 14" xfId="183"/>
    <cellStyle name="40% - Accent5 2" xfId="184"/>
    <cellStyle name="40% - Accent5 3" xfId="185"/>
    <cellStyle name="40% - Accent5 4" xfId="186"/>
    <cellStyle name="40% - Accent5 5" xfId="187"/>
    <cellStyle name="40% - Accent5 6" xfId="188"/>
    <cellStyle name="40% - Accent5 7" xfId="189"/>
    <cellStyle name="40% - Accent5 8" xfId="190"/>
    <cellStyle name="40% - Accent5 9" xfId="191"/>
    <cellStyle name="40% - Accent6" xfId="192"/>
    <cellStyle name="40% - Accent6 1" xfId="193"/>
    <cellStyle name="40% - Accent6 10" xfId="194"/>
    <cellStyle name="40% - Accent6 11" xfId="195"/>
    <cellStyle name="40% - Accent6 12" xfId="196"/>
    <cellStyle name="40% - Accent6 13" xfId="197"/>
    <cellStyle name="40% - Accent6 14" xfId="198"/>
    <cellStyle name="40% - Accent6 2" xfId="199"/>
    <cellStyle name="40% - Accent6 3" xfId="200"/>
    <cellStyle name="40% - Accent6 4" xfId="201"/>
    <cellStyle name="40% - Accent6 5" xfId="202"/>
    <cellStyle name="40% - Accent6 6" xfId="203"/>
    <cellStyle name="40% - Accent6 7" xfId="204"/>
    <cellStyle name="40% - Accent6 8" xfId="205"/>
    <cellStyle name="40% - Accent6 9" xfId="206"/>
    <cellStyle name="60 % - zvýraznenie1" xfId="207"/>
    <cellStyle name="60 % - zvýraznenie2" xfId="208"/>
    <cellStyle name="60 % - zvýraznenie3" xfId="209"/>
    <cellStyle name="60 % - zvýraznenie4" xfId="210"/>
    <cellStyle name="60 % - zvýraznenie5" xfId="211"/>
    <cellStyle name="60 % - zvýraznenie6" xfId="212"/>
    <cellStyle name="60% - Accent1" xfId="213"/>
    <cellStyle name="60% - Accent1 1" xfId="214"/>
    <cellStyle name="60% - Accent1 10" xfId="215"/>
    <cellStyle name="60% - Accent1 11" xfId="216"/>
    <cellStyle name="60% - Accent1 12" xfId="217"/>
    <cellStyle name="60% - Accent1 13" xfId="218"/>
    <cellStyle name="60% - Accent1 14" xfId="219"/>
    <cellStyle name="60% - Accent1 2" xfId="220"/>
    <cellStyle name="60% - Accent1 3" xfId="221"/>
    <cellStyle name="60% - Accent1 4" xfId="222"/>
    <cellStyle name="60% - Accent1 5" xfId="223"/>
    <cellStyle name="60% - Accent1 6" xfId="224"/>
    <cellStyle name="60% - Accent1 7" xfId="225"/>
    <cellStyle name="60% - Accent1 8" xfId="226"/>
    <cellStyle name="60% - Accent1 9" xfId="227"/>
    <cellStyle name="60% - Accent2" xfId="228"/>
    <cellStyle name="60% - Accent2 1" xfId="229"/>
    <cellStyle name="60% - Accent2 10" xfId="230"/>
    <cellStyle name="60% - Accent2 11" xfId="231"/>
    <cellStyle name="60% - Accent2 12" xfId="232"/>
    <cellStyle name="60% - Accent2 13" xfId="233"/>
    <cellStyle name="60% - Accent2 14" xfId="234"/>
    <cellStyle name="60% - Accent2 2" xfId="235"/>
    <cellStyle name="60% - Accent2 3" xfId="236"/>
    <cellStyle name="60% - Accent2 4" xfId="237"/>
    <cellStyle name="60% - Accent2 5" xfId="238"/>
    <cellStyle name="60% - Accent2 6" xfId="239"/>
    <cellStyle name="60% - Accent2 7" xfId="240"/>
    <cellStyle name="60% - Accent2 8" xfId="241"/>
    <cellStyle name="60% - Accent2 9" xfId="242"/>
    <cellStyle name="60% - Accent3" xfId="243"/>
    <cellStyle name="60% - Accent3 1" xfId="244"/>
    <cellStyle name="60% - Accent3 10" xfId="245"/>
    <cellStyle name="60% - Accent3 11" xfId="246"/>
    <cellStyle name="60% - Accent3 12" xfId="247"/>
    <cellStyle name="60% - Accent3 13" xfId="248"/>
    <cellStyle name="60% - Accent3 14" xfId="249"/>
    <cellStyle name="60% - Accent3 2" xfId="250"/>
    <cellStyle name="60% - Accent3 3" xfId="251"/>
    <cellStyle name="60% - Accent3 4" xfId="252"/>
    <cellStyle name="60% - Accent3 5" xfId="253"/>
    <cellStyle name="60% - Accent3 6" xfId="254"/>
    <cellStyle name="60% - Accent3 7" xfId="255"/>
    <cellStyle name="60% - Accent3 8" xfId="256"/>
    <cellStyle name="60% - Accent3 9" xfId="257"/>
    <cellStyle name="60% - Accent4" xfId="258"/>
    <cellStyle name="60% - Accent4 1" xfId="259"/>
    <cellStyle name="60% - Accent4 10" xfId="260"/>
    <cellStyle name="60% - Accent4 11" xfId="261"/>
    <cellStyle name="60% - Accent4 12" xfId="262"/>
    <cellStyle name="60% - Accent4 13" xfId="263"/>
    <cellStyle name="60% - Accent4 14" xfId="264"/>
    <cellStyle name="60% - Accent4 2" xfId="265"/>
    <cellStyle name="60% - Accent4 3" xfId="266"/>
    <cellStyle name="60% - Accent4 4" xfId="267"/>
    <cellStyle name="60% - Accent4 5" xfId="268"/>
    <cellStyle name="60% - Accent4 6" xfId="269"/>
    <cellStyle name="60% - Accent4 7" xfId="270"/>
    <cellStyle name="60% - Accent4 8" xfId="271"/>
    <cellStyle name="60% - Accent4 9" xfId="272"/>
    <cellStyle name="60% - Accent5" xfId="273"/>
    <cellStyle name="60% - Accent5 1" xfId="274"/>
    <cellStyle name="60% - Accent5 10" xfId="275"/>
    <cellStyle name="60% - Accent5 11" xfId="276"/>
    <cellStyle name="60% - Accent5 12" xfId="277"/>
    <cellStyle name="60% - Accent5 13" xfId="278"/>
    <cellStyle name="60% - Accent5 14" xfId="279"/>
    <cellStyle name="60% - Accent5 2" xfId="280"/>
    <cellStyle name="60% - Accent5 3" xfId="281"/>
    <cellStyle name="60% - Accent5 4" xfId="282"/>
    <cellStyle name="60% - Accent5 5" xfId="283"/>
    <cellStyle name="60% - Accent5 6" xfId="284"/>
    <cellStyle name="60% - Accent5 7" xfId="285"/>
    <cellStyle name="60% - Accent5 8" xfId="286"/>
    <cellStyle name="60% - Accent5 9" xfId="287"/>
    <cellStyle name="60% - Accent6" xfId="288"/>
    <cellStyle name="60% - Accent6 1" xfId="289"/>
    <cellStyle name="60% - Accent6 10" xfId="290"/>
    <cellStyle name="60% - Accent6 11" xfId="291"/>
    <cellStyle name="60% - Accent6 12" xfId="292"/>
    <cellStyle name="60% - Accent6 13" xfId="293"/>
    <cellStyle name="60% - Accent6 14" xfId="294"/>
    <cellStyle name="60% - Accent6 2" xfId="295"/>
    <cellStyle name="60% - Accent6 3" xfId="296"/>
    <cellStyle name="60% - Accent6 4" xfId="297"/>
    <cellStyle name="60% - Accent6 5" xfId="298"/>
    <cellStyle name="60% - Accent6 6" xfId="299"/>
    <cellStyle name="60% - Accent6 7" xfId="300"/>
    <cellStyle name="60% - Accent6 8" xfId="301"/>
    <cellStyle name="60% - Accent6 9" xfId="302"/>
    <cellStyle name="Accent1" xfId="303"/>
    <cellStyle name="Accent1 1" xfId="304"/>
    <cellStyle name="Accent1 10" xfId="305"/>
    <cellStyle name="Accent1 11" xfId="306"/>
    <cellStyle name="Accent1 12" xfId="307"/>
    <cellStyle name="Accent1 13" xfId="308"/>
    <cellStyle name="Accent1 14" xfId="309"/>
    <cellStyle name="Accent1 2" xfId="310"/>
    <cellStyle name="Accent1 3" xfId="311"/>
    <cellStyle name="Accent1 4" xfId="312"/>
    <cellStyle name="Accent1 5" xfId="313"/>
    <cellStyle name="Accent1 6" xfId="314"/>
    <cellStyle name="Accent1 7" xfId="315"/>
    <cellStyle name="Accent1 8" xfId="316"/>
    <cellStyle name="Accent1 9" xfId="317"/>
    <cellStyle name="Accent2" xfId="318"/>
    <cellStyle name="Accent2 1" xfId="319"/>
    <cellStyle name="Accent2 10" xfId="320"/>
    <cellStyle name="Accent2 11" xfId="321"/>
    <cellStyle name="Accent2 12" xfId="322"/>
    <cellStyle name="Accent2 13" xfId="323"/>
    <cellStyle name="Accent2 14" xfId="324"/>
    <cellStyle name="Accent2 2" xfId="325"/>
    <cellStyle name="Accent2 3" xfId="326"/>
    <cellStyle name="Accent2 4" xfId="327"/>
    <cellStyle name="Accent2 5" xfId="328"/>
    <cellStyle name="Accent2 6" xfId="329"/>
    <cellStyle name="Accent2 7" xfId="330"/>
    <cellStyle name="Accent2 8" xfId="331"/>
    <cellStyle name="Accent2 9" xfId="332"/>
    <cellStyle name="Accent3" xfId="333"/>
    <cellStyle name="Accent3 1" xfId="334"/>
    <cellStyle name="Accent3 10" xfId="335"/>
    <cellStyle name="Accent3 11" xfId="336"/>
    <cellStyle name="Accent3 12" xfId="337"/>
    <cellStyle name="Accent3 13" xfId="338"/>
    <cellStyle name="Accent3 14" xfId="339"/>
    <cellStyle name="Accent3 2" xfId="340"/>
    <cellStyle name="Accent3 3" xfId="341"/>
    <cellStyle name="Accent3 4" xfId="342"/>
    <cellStyle name="Accent3 5" xfId="343"/>
    <cellStyle name="Accent3 6" xfId="344"/>
    <cellStyle name="Accent3 7" xfId="345"/>
    <cellStyle name="Accent3 8" xfId="346"/>
    <cellStyle name="Accent3 9" xfId="347"/>
    <cellStyle name="Accent4" xfId="348"/>
    <cellStyle name="Accent4 1" xfId="349"/>
    <cellStyle name="Accent4 10" xfId="350"/>
    <cellStyle name="Accent4 11" xfId="351"/>
    <cellStyle name="Accent4 12" xfId="352"/>
    <cellStyle name="Accent4 13" xfId="353"/>
    <cellStyle name="Accent4 14" xfId="354"/>
    <cellStyle name="Accent4 2" xfId="355"/>
    <cellStyle name="Accent4 3" xfId="356"/>
    <cellStyle name="Accent4 4" xfId="357"/>
    <cellStyle name="Accent4 5" xfId="358"/>
    <cellStyle name="Accent4 6" xfId="359"/>
    <cellStyle name="Accent4 7" xfId="360"/>
    <cellStyle name="Accent4 8" xfId="361"/>
    <cellStyle name="Accent4 9" xfId="362"/>
    <cellStyle name="Accent5" xfId="363"/>
    <cellStyle name="Accent5 1" xfId="364"/>
    <cellStyle name="Accent5 10" xfId="365"/>
    <cellStyle name="Accent5 11" xfId="366"/>
    <cellStyle name="Accent5 12" xfId="367"/>
    <cellStyle name="Accent5 13" xfId="368"/>
    <cellStyle name="Accent5 14" xfId="369"/>
    <cellStyle name="Accent5 2" xfId="370"/>
    <cellStyle name="Accent5 3" xfId="371"/>
    <cellStyle name="Accent5 4" xfId="372"/>
    <cellStyle name="Accent5 5" xfId="373"/>
    <cellStyle name="Accent5 6" xfId="374"/>
    <cellStyle name="Accent5 7" xfId="375"/>
    <cellStyle name="Accent5 8" xfId="376"/>
    <cellStyle name="Accent5 9" xfId="377"/>
    <cellStyle name="Accent6" xfId="378"/>
    <cellStyle name="Accent6 1" xfId="379"/>
    <cellStyle name="Accent6 10" xfId="380"/>
    <cellStyle name="Accent6 11" xfId="381"/>
    <cellStyle name="Accent6 12" xfId="382"/>
    <cellStyle name="Accent6 13" xfId="383"/>
    <cellStyle name="Accent6 14" xfId="384"/>
    <cellStyle name="Accent6 2" xfId="385"/>
    <cellStyle name="Accent6 3" xfId="386"/>
    <cellStyle name="Accent6 4" xfId="387"/>
    <cellStyle name="Accent6 5" xfId="388"/>
    <cellStyle name="Accent6 6" xfId="389"/>
    <cellStyle name="Accent6 7" xfId="390"/>
    <cellStyle name="Accent6 8" xfId="391"/>
    <cellStyle name="Accent6 9" xfId="392"/>
    <cellStyle name="Bad" xfId="393"/>
    <cellStyle name="Bad 1" xfId="394"/>
    <cellStyle name="Bad 10" xfId="395"/>
    <cellStyle name="Bad 11" xfId="396"/>
    <cellStyle name="Bad 12" xfId="397"/>
    <cellStyle name="Bad 13" xfId="398"/>
    <cellStyle name="Bad 14" xfId="399"/>
    <cellStyle name="Bad 2" xfId="400"/>
    <cellStyle name="Bad 3" xfId="401"/>
    <cellStyle name="Bad 4" xfId="402"/>
    <cellStyle name="Bad 5" xfId="403"/>
    <cellStyle name="Bad 6" xfId="404"/>
    <cellStyle name="Bad 7" xfId="405"/>
    <cellStyle name="Bad 8" xfId="406"/>
    <cellStyle name="Bad 9" xfId="407"/>
    <cellStyle name="Calculation" xfId="408"/>
    <cellStyle name="Calculation 1" xfId="409"/>
    <cellStyle name="Calculation 10" xfId="410"/>
    <cellStyle name="Calculation 11" xfId="411"/>
    <cellStyle name="Calculation 12" xfId="412"/>
    <cellStyle name="Calculation 13" xfId="413"/>
    <cellStyle name="Calculation 14" xfId="414"/>
    <cellStyle name="Calculation 2" xfId="415"/>
    <cellStyle name="Calculation 3" xfId="416"/>
    <cellStyle name="Calculation 4" xfId="417"/>
    <cellStyle name="Calculation 5" xfId="418"/>
    <cellStyle name="Calculation 6" xfId="419"/>
    <cellStyle name="Calculation 7" xfId="420"/>
    <cellStyle name="Calculation 8" xfId="421"/>
    <cellStyle name="Calculation 9" xfId="422"/>
    <cellStyle name="Comma" xfId="423"/>
    <cellStyle name="Comma [0]" xfId="424"/>
    <cellStyle name="čiarky_Rozpočet_2013_2015" xfId="425"/>
    <cellStyle name="Dobrá" xfId="426"/>
    <cellStyle name="Explanatory Text" xfId="427"/>
    <cellStyle name="Explanatory Text 1" xfId="428"/>
    <cellStyle name="Explanatory Text 10" xfId="429"/>
    <cellStyle name="Explanatory Text 11" xfId="430"/>
    <cellStyle name="Explanatory Text 12" xfId="431"/>
    <cellStyle name="Explanatory Text 13" xfId="432"/>
    <cellStyle name="Explanatory Text 14" xfId="433"/>
    <cellStyle name="Explanatory Text 2" xfId="434"/>
    <cellStyle name="Explanatory Text 3" xfId="435"/>
    <cellStyle name="Explanatory Text 4" xfId="436"/>
    <cellStyle name="Explanatory Text 5" xfId="437"/>
    <cellStyle name="Explanatory Text 6" xfId="438"/>
    <cellStyle name="Explanatory Text 7" xfId="439"/>
    <cellStyle name="Explanatory Text 8" xfId="440"/>
    <cellStyle name="Explanatory Text 9" xfId="441"/>
    <cellStyle name="Good" xfId="442"/>
    <cellStyle name="Good 1" xfId="443"/>
    <cellStyle name="Good 10" xfId="444"/>
    <cellStyle name="Good 11" xfId="445"/>
    <cellStyle name="Good 12" xfId="446"/>
    <cellStyle name="Good 13" xfId="447"/>
    <cellStyle name="Good 14" xfId="448"/>
    <cellStyle name="Good 2" xfId="449"/>
    <cellStyle name="Good 3" xfId="450"/>
    <cellStyle name="Good 4" xfId="451"/>
    <cellStyle name="Good 5" xfId="452"/>
    <cellStyle name="Good 6" xfId="453"/>
    <cellStyle name="Good 7" xfId="454"/>
    <cellStyle name="Good 8" xfId="455"/>
    <cellStyle name="Good 9" xfId="456"/>
    <cellStyle name="Heading 1" xfId="457"/>
    <cellStyle name="Heading 1 1" xfId="458"/>
    <cellStyle name="Heading 1 10" xfId="459"/>
    <cellStyle name="Heading 1 11" xfId="460"/>
    <cellStyle name="Heading 1 12" xfId="461"/>
    <cellStyle name="Heading 1 13" xfId="462"/>
    <cellStyle name="Heading 1 14" xfId="463"/>
    <cellStyle name="Heading 1 2" xfId="464"/>
    <cellStyle name="Heading 1 3" xfId="465"/>
    <cellStyle name="Heading 1 4" xfId="466"/>
    <cellStyle name="Heading 1 5" xfId="467"/>
    <cellStyle name="Heading 1 6" xfId="468"/>
    <cellStyle name="Heading 1 7" xfId="469"/>
    <cellStyle name="Heading 1 8" xfId="470"/>
    <cellStyle name="Heading 1 9" xfId="471"/>
    <cellStyle name="Heading 2" xfId="472"/>
    <cellStyle name="Heading 2 1" xfId="473"/>
    <cellStyle name="Heading 2 10" xfId="474"/>
    <cellStyle name="Heading 2 11" xfId="475"/>
    <cellStyle name="Heading 2 12" xfId="476"/>
    <cellStyle name="Heading 2 13" xfId="477"/>
    <cellStyle name="Heading 2 14" xfId="478"/>
    <cellStyle name="Heading 2 2" xfId="479"/>
    <cellStyle name="Heading 2 3" xfId="480"/>
    <cellStyle name="Heading 2 4" xfId="481"/>
    <cellStyle name="Heading 2 5" xfId="482"/>
    <cellStyle name="Heading 2 6" xfId="483"/>
    <cellStyle name="Heading 2 7" xfId="484"/>
    <cellStyle name="Heading 2 8" xfId="485"/>
    <cellStyle name="Heading 2 9" xfId="486"/>
    <cellStyle name="Heading 3" xfId="487"/>
    <cellStyle name="Heading 3 1" xfId="488"/>
    <cellStyle name="Heading 3 10" xfId="489"/>
    <cellStyle name="Heading 3 11" xfId="490"/>
    <cellStyle name="Heading 3 12" xfId="491"/>
    <cellStyle name="Heading 3 13" xfId="492"/>
    <cellStyle name="Heading 3 14" xfId="493"/>
    <cellStyle name="Heading 3 2" xfId="494"/>
    <cellStyle name="Heading 3 3" xfId="495"/>
    <cellStyle name="Heading 3 4" xfId="496"/>
    <cellStyle name="Heading 3 5" xfId="497"/>
    <cellStyle name="Heading 3 6" xfId="498"/>
    <cellStyle name="Heading 3 7" xfId="499"/>
    <cellStyle name="Heading 3 8" xfId="500"/>
    <cellStyle name="Heading 3 9" xfId="501"/>
    <cellStyle name="Heading 4" xfId="502"/>
    <cellStyle name="Heading 4 1" xfId="503"/>
    <cellStyle name="Heading 4 10" xfId="504"/>
    <cellStyle name="Heading 4 11" xfId="505"/>
    <cellStyle name="Heading 4 12" xfId="506"/>
    <cellStyle name="Heading 4 13" xfId="507"/>
    <cellStyle name="Heading 4 14" xfId="508"/>
    <cellStyle name="Heading 4 2" xfId="509"/>
    <cellStyle name="Heading 4 3" xfId="510"/>
    <cellStyle name="Heading 4 4" xfId="511"/>
    <cellStyle name="Heading 4 5" xfId="512"/>
    <cellStyle name="Heading 4 6" xfId="513"/>
    <cellStyle name="Heading 4 7" xfId="514"/>
    <cellStyle name="Heading 4 8" xfId="515"/>
    <cellStyle name="Heading 4 9" xfId="516"/>
    <cellStyle name="Hyperlink" xfId="517"/>
    <cellStyle name="Check Cell" xfId="518"/>
    <cellStyle name="Check Cell 1" xfId="519"/>
    <cellStyle name="Check Cell 10" xfId="520"/>
    <cellStyle name="Check Cell 11" xfId="521"/>
    <cellStyle name="Check Cell 12" xfId="522"/>
    <cellStyle name="Check Cell 13" xfId="523"/>
    <cellStyle name="Check Cell 14" xfId="524"/>
    <cellStyle name="Check Cell 2" xfId="525"/>
    <cellStyle name="Check Cell 3" xfId="526"/>
    <cellStyle name="Check Cell 4" xfId="527"/>
    <cellStyle name="Check Cell 5" xfId="528"/>
    <cellStyle name="Check Cell 6" xfId="529"/>
    <cellStyle name="Check Cell 7" xfId="530"/>
    <cellStyle name="Check Cell 8" xfId="531"/>
    <cellStyle name="Check Cell 9" xfId="532"/>
    <cellStyle name="Input" xfId="533"/>
    <cellStyle name="Input 1" xfId="534"/>
    <cellStyle name="Input 10" xfId="535"/>
    <cellStyle name="Input 11" xfId="536"/>
    <cellStyle name="Input 12" xfId="537"/>
    <cellStyle name="Input 13" xfId="538"/>
    <cellStyle name="Input 14" xfId="539"/>
    <cellStyle name="Input 2" xfId="540"/>
    <cellStyle name="Input 3" xfId="541"/>
    <cellStyle name="Input 4" xfId="542"/>
    <cellStyle name="Input 5" xfId="543"/>
    <cellStyle name="Input 6" xfId="544"/>
    <cellStyle name="Input 7" xfId="545"/>
    <cellStyle name="Input 8" xfId="546"/>
    <cellStyle name="Input 9" xfId="547"/>
    <cellStyle name="Kontrolná bunka" xfId="548"/>
    <cellStyle name="Linked Cell" xfId="549"/>
    <cellStyle name="Linked Cell 1" xfId="550"/>
    <cellStyle name="Linked Cell 10" xfId="551"/>
    <cellStyle name="Linked Cell 11" xfId="552"/>
    <cellStyle name="Linked Cell 12" xfId="553"/>
    <cellStyle name="Linked Cell 13" xfId="554"/>
    <cellStyle name="Linked Cell 14" xfId="555"/>
    <cellStyle name="Linked Cell 2" xfId="556"/>
    <cellStyle name="Linked Cell 3" xfId="557"/>
    <cellStyle name="Linked Cell 4" xfId="558"/>
    <cellStyle name="Linked Cell 5" xfId="559"/>
    <cellStyle name="Linked Cell 6" xfId="560"/>
    <cellStyle name="Linked Cell 7" xfId="561"/>
    <cellStyle name="Linked Cell 8" xfId="562"/>
    <cellStyle name="Linked Cell 9" xfId="563"/>
    <cellStyle name="Currency" xfId="564"/>
    <cellStyle name="Currency [0]" xfId="565"/>
    <cellStyle name="meny_Rozpočet_2013_2015" xfId="566"/>
    <cellStyle name="Nadpis 1" xfId="567"/>
    <cellStyle name="Nadpis 2" xfId="568"/>
    <cellStyle name="Nadpis 3" xfId="569"/>
    <cellStyle name="Nadpis 4" xfId="570"/>
    <cellStyle name="Neutral" xfId="571"/>
    <cellStyle name="Neutral 1" xfId="572"/>
    <cellStyle name="Neutral 10" xfId="573"/>
    <cellStyle name="Neutral 11" xfId="574"/>
    <cellStyle name="Neutral 12" xfId="575"/>
    <cellStyle name="Neutral 13" xfId="576"/>
    <cellStyle name="Neutral 14" xfId="577"/>
    <cellStyle name="Neutral 2" xfId="578"/>
    <cellStyle name="Neutral 3" xfId="579"/>
    <cellStyle name="Neutral 4" xfId="580"/>
    <cellStyle name="Neutral 5" xfId="581"/>
    <cellStyle name="Neutral 6" xfId="582"/>
    <cellStyle name="Neutral 7" xfId="583"/>
    <cellStyle name="Neutral 8" xfId="584"/>
    <cellStyle name="Neutral 9" xfId="585"/>
    <cellStyle name="Neutrálna" xfId="586"/>
    <cellStyle name="normálne_Rozpočet_2013_2015" xfId="587"/>
    <cellStyle name="Note" xfId="588"/>
    <cellStyle name="Note 1" xfId="589"/>
    <cellStyle name="Note 10" xfId="590"/>
    <cellStyle name="Note 11" xfId="591"/>
    <cellStyle name="Note 12" xfId="592"/>
    <cellStyle name="Note 13" xfId="593"/>
    <cellStyle name="Note 14" xfId="594"/>
    <cellStyle name="Note 2" xfId="595"/>
    <cellStyle name="Note 3" xfId="596"/>
    <cellStyle name="Note 4" xfId="597"/>
    <cellStyle name="Note 5" xfId="598"/>
    <cellStyle name="Note 6" xfId="599"/>
    <cellStyle name="Note 7" xfId="600"/>
    <cellStyle name="Note 8" xfId="601"/>
    <cellStyle name="Note 9" xfId="602"/>
    <cellStyle name="Output" xfId="603"/>
    <cellStyle name="Output 1" xfId="604"/>
    <cellStyle name="Output 10" xfId="605"/>
    <cellStyle name="Output 11" xfId="606"/>
    <cellStyle name="Output 12" xfId="607"/>
    <cellStyle name="Output 13" xfId="608"/>
    <cellStyle name="Output 14" xfId="609"/>
    <cellStyle name="Output 2" xfId="610"/>
    <cellStyle name="Output 3" xfId="611"/>
    <cellStyle name="Output 4" xfId="612"/>
    <cellStyle name="Output 5" xfId="613"/>
    <cellStyle name="Output 6" xfId="614"/>
    <cellStyle name="Output 7" xfId="615"/>
    <cellStyle name="Output 8" xfId="616"/>
    <cellStyle name="Output 9" xfId="617"/>
    <cellStyle name="Percent" xfId="618"/>
    <cellStyle name="Followed Hyperlink" xfId="619"/>
    <cellStyle name="Poznámka" xfId="620"/>
    <cellStyle name="Prepojená bunka" xfId="621"/>
    <cellStyle name="Spolu" xfId="622"/>
    <cellStyle name="Text upozornenia" xfId="623"/>
    <cellStyle name="Title" xfId="624"/>
    <cellStyle name="Title 1" xfId="625"/>
    <cellStyle name="Title 10" xfId="626"/>
    <cellStyle name="Title 11" xfId="627"/>
    <cellStyle name="Title 12" xfId="628"/>
    <cellStyle name="Title 13" xfId="629"/>
    <cellStyle name="Title 14" xfId="630"/>
    <cellStyle name="Title 2" xfId="631"/>
    <cellStyle name="Title 3" xfId="632"/>
    <cellStyle name="Title 4" xfId="633"/>
    <cellStyle name="Title 5" xfId="634"/>
    <cellStyle name="Title 6" xfId="635"/>
    <cellStyle name="Title 7" xfId="636"/>
    <cellStyle name="Title 8" xfId="637"/>
    <cellStyle name="Title 9" xfId="638"/>
    <cellStyle name="Titul" xfId="639"/>
    <cellStyle name="Total" xfId="640"/>
    <cellStyle name="Total 1" xfId="641"/>
    <cellStyle name="Total 10" xfId="642"/>
    <cellStyle name="Total 11" xfId="643"/>
    <cellStyle name="Total 12" xfId="644"/>
    <cellStyle name="Total 13" xfId="645"/>
    <cellStyle name="Total 14" xfId="646"/>
    <cellStyle name="Total 2" xfId="647"/>
    <cellStyle name="Total 3" xfId="648"/>
    <cellStyle name="Total 4" xfId="649"/>
    <cellStyle name="Total 5" xfId="650"/>
    <cellStyle name="Total 6" xfId="651"/>
    <cellStyle name="Total 7" xfId="652"/>
    <cellStyle name="Total 8" xfId="653"/>
    <cellStyle name="Total 9" xfId="654"/>
    <cellStyle name="Vstup" xfId="655"/>
    <cellStyle name="Výpočet" xfId="656"/>
    <cellStyle name="Výstup" xfId="657"/>
    <cellStyle name="Vysvetľujúci text" xfId="658"/>
    <cellStyle name="Warning Text" xfId="659"/>
    <cellStyle name="Warning Text 1" xfId="660"/>
    <cellStyle name="Warning Text 10" xfId="661"/>
    <cellStyle name="Warning Text 11" xfId="662"/>
    <cellStyle name="Warning Text 12" xfId="663"/>
    <cellStyle name="Warning Text 13" xfId="664"/>
    <cellStyle name="Warning Text 14" xfId="665"/>
    <cellStyle name="Warning Text 2" xfId="666"/>
    <cellStyle name="Warning Text 3" xfId="667"/>
    <cellStyle name="Warning Text 4" xfId="668"/>
    <cellStyle name="Warning Text 5" xfId="669"/>
    <cellStyle name="Warning Text 6" xfId="670"/>
    <cellStyle name="Warning Text 7" xfId="671"/>
    <cellStyle name="Warning Text 8" xfId="672"/>
    <cellStyle name="Warning Text 9" xfId="673"/>
    <cellStyle name="Zlá" xfId="674"/>
    <cellStyle name="Zvýraznenie1" xfId="675"/>
    <cellStyle name="Zvýraznenie2" xfId="676"/>
    <cellStyle name="Zvýraznenie3" xfId="677"/>
    <cellStyle name="Zvýraznenie4" xfId="678"/>
    <cellStyle name="Zvýraznenie5" xfId="679"/>
    <cellStyle name="Zvýraznenie6" xfId="6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Červenofialová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5"/>
  <sheetViews>
    <sheetView view="pageLayout" workbookViewId="0" topLeftCell="A65">
      <selection activeCell="R54" sqref="R54:R55"/>
    </sheetView>
  </sheetViews>
  <sheetFormatPr defaultColWidth="8.421875" defaultRowHeight="12.75"/>
  <cols>
    <col min="1" max="1" width="4.140625" style="1" customWidth="1"/>
    <col min="2" max="8" width="4.140625" style="0" customWidth="1"/>
    <col min="9" max="9" width="9.57421875" style="2" customWidth="1"/>
    <col min="10" max="12" width="10.00390625" style="0" bestFit="1" customWidth="1"/>
    <col min="13" max="13" width="11.28125" style="0" bestFit="1" customWidth="1"/>
    <col min="14" max="15" width="10.00390625" style="0" bestFit="1" customWidth="1"/>
  </cols>
  <sheetData>
    <row r="1" spans="1:15" ht="18">
      <c r="A1" s="3106" t="s">
        <v>0</v>
      </c>
      <c r="B1" s="3106"/>
      <c r="C1" s="3106"/>
      <c r="D1" s="3106"/>
      <c r="E1" s="3106"/>
      <c r="F1" s="3106"/>
      <c r="G1" s="3106"/>
      <c r="H1" s="3106"/>
      <c r="I1" s="3106"/>
      <c r="J1" s="3106"/>
      <c r="K1" s="3106"/>
      <c r="L1" s="3106"/>
      <c r="M1" s="3106"/>
      <c r="N1" s="3106"/>
      <c r="O1" s="3106"/>
    </row>
    <row r="2" ht="13.5" thickBot="1"/>
    <row r="3" spans="1:15" ht="15.75" thickBot="1">
      <c r="A3" s="3120" t="s">
        <v>1</v>
      </c>
      <c r="B3" s="3121"/>
      <c r="C3" s="3121"/>
      <c r="D3" s="3121"/>
      <c r="E3" s="3121"/>
      <c r="F3" s="3121"/>
      <c r="G3" s="3121"/>
      <c r="H3" s="3122"/>
      <c r="I3" s="1472" t="e">
        <f aca="true" t="shared" si="0" ref="I3:O3">I5+I27+I67</f>
        <v>#REF!</v>
      </c>
      <c r="J3" s="1468" t="e">
        <f t="shared" si="0"/>
        <v>#REF!</v>
      </c>
      <c r="K3" s="1468" t="e">
        <f t="shared" si="0"/>
        <v>#REF!</v>
      </c>
      <c r="L3" s="1469" t="e">
        <f t="shared" si="0"/>
        <v>#REF!</v>
      </c>
      <c r="M3" s="1470" t="e">
        <f t="shared" si="0"/>
        <v>#REF!</v>
      </c>
      <c r="N3" s="1471" t="e">
        <f t="shared" si="0"/>
        <v>#REF!</v>
      </c>
      <c r="O3" s="1468" t="e">
        <f t="shared" si="0"/>
        <v>#REF!</v>
      </c>
    </row>
    <row r="4" spans="1:9" ht="15.75" thickBot="1">
      <c r="A4" s="3"/>
      <c r="B4" s="4"/>
      <c r="C4" s="4"/>
      <c r="D4" s="4"/>
      <c r="E4" s="4"/>
      <c r="F4" s="4"/>
      <c r="G4" s="4"/>
      <c r="H4" s="4"/>
      <c r="I4" s="5"/>
    </row>
    <row r="5" spans="1:15" ht="15.75" thickBot="1">
      <c r="A5" s="3123" t="s">
        <v>2</v>
      </c>
      <c r="B5" s="3123"/>
      <c r="C5" s="3123"/>
      <c r="D5" s="3123"/>
      <c r="E5" s="3123"/>
      <c r="F5" s="3123"/>
      <c r="G5" s="3123"/>
      <c r="H5" s="3123"/>
      <c r="I5" s="1421">
        <f aca="true" t="shared" si="1" ref="I5:O5">I8+I10+I12+I14+I16+I18+I20</f>
        <v>960301</v>
      </c>
      <c r="J5" s="1422">
        <f t="shared" si="1"/>
        <v>1078446.58</v>
      </c>
      <c r="K5" s="1422">
        <f t="shared" si="1"/>
        <v>1118051</v>
      </c>
      <c r="L5" s="1423">
        <f t="shared" si="1"/>
        <v>1186295</v>
      </c>
      <c r="M5" s="1424">
        <f t="shared" si="1"/>
        <v>1272974</v>
      </c>
      <c r="N5" s="1425">
        <f t="shared" si="1"/>
        <v>1318552</v>
      </c>
      <c r="O5" s="1422">
        <f t="shared" si="1"/>
        <v>1381306</v>
      </c>
    </row>
    <row r="6" spans="1:15" ht="15">
      <c r="A6" s="1383"/>
      <c r="B6" s="1384"/>
      <c r="C6" s="1384"/>
      <c r="D6" s="1384"/>
      <c r="E6" s="1384"/>
      <c r="F6" s="1384"/>
      <c r="G6" s="1384"/>
      <c r="H6" s="1385"/>
      <c r="I6" s="1427">
        <v>2016</v>
      </c>
      <c r="J6" s="1427">
        <v>2017</v>
      </c>
      <c r="K6" s="1427">
        <v>2018</v>
      </c>
      <c r="L6" s="1428" t="s">
        <v>790</v>
      </c>
      <c r="M6" s="1466">
        <v>2019</v>
      </c>
      <c r="N6" s="1429">
        <v>2020</v>
      </c>
      <c r="O6" s="1430">
        <v>2021</v>
      </c>
    </row>
    <row r="7" spans="1:15" ht="12.75">
      <c r="A7" s="1362" t="s">
        <v>3</v>
      </c>
      <c r="B7" s="1351" t="s">
        <v>4</v>
      </c>
      <c r="C7" s="1351"/>
      <c r="D7" s="1351"/>
      <c r="E7" s="1351"/>
      <c r="F7" s="1351"/>
      <c r="G7" s="1351"/>
      <c r="H7" s="1351"/>
      <c r="I7" s="1352"/>
      <c r="J7" s="1353"/>
      <c r="K7" s="1354"/>
      <c r="L7" s="1354"/>
      <c r="M7" s="1360"/>
      <c r="N7" s="1354"/>
      <c r="O7" s="1363"/>
    </row>
    <row r="8" spans="1:15" ht="45" customHeight="1">
      <c r="A8" s="3113" t="s">
        <v>5</v>
      </c>
      <c r="B8" s="3114"/>
      <c r="C8" s="3114"/>
      <c r="D8" s="3114"/>
      <c r="E8" s="3114"/>
      <c r="F8" s="3114"/>
      <c r="G8" s="3114"/>
      <c r="H8" s="3114"/>
      <c r="I8" s="1399">
        <f>príjmy!J10</f>
        <v>769907</v>
      </c>
      <c r="J8" s="1399">
        <f>príjmy!K10</f>
        <v>852522.05</v>
      </c>
      <c r="K8" s="1399">
        <f>príjmy!L10</f>
        <v>884520</v>
      </c>
      <c r="L8" s="1400">
        <f>príjmy!M10</f>
        <v>963000</v>
      </c>
      <c r="M8" s="1894">
        <f>príjmy!N10</f>
        <v>950963</v>
      </c>
      <c r="N8" s="1401">
        <f>príjmy!O10</f>
        <v>994541</v>
      </c>
      <c r="O8" s="1402">
        <f>príjmy!P10</f>
        <v>1057295</v>
      </c>
    </row>
    <row r="9" spans="1:15" ht="12.75">
      <c r="A9" s="1362" t="s">
        <v>6</v>
      </c>
      <c r="B9" s="1351" t="s">
        <v>7</v>
      </c>
      <c r="C9" s="1351"/>
      <c r="D9" s="1351"/>
      <c r="E9" s="1351"/>
      <c r="F9" s="1351"/>
      <c r="G9" s="1351"/>
      <c r="H9" s="1351"/>
      <c r="I9" s="1355"/>
      <c r="J9" s="1354"/>
      <c r="K9" s="1354"/>
      <c r="L9" s="1354"/>
      <c r="M9" s="1361"/>
      <c r="N9" s="1354"/>
      <c r="O9" s="1363"/>
    </row>
    <row r="10" spans="1:15" ht="118.5" customHeight="1">
      <c r="A10" s="3113" t="s">
        <v>8</v>
      </c>
      <c r="B10" s="3114"/>
      <c r="C10" s="3114"/>
      <c r="D10" s="3114"/>
      <c r="E10" s="3114"/>
      <c r="F10" s="3114"/>
      <c r="G10" s="3114"/>
      <c r="H10" s="3114"/>
      <c r="I10" s="1399">
        <f>príjmy!J15</f>
        <v>123075</v>
      </c>
      <c r="J10" s="1399">
        <f>príjmy!K15</f>
        <v>162641.87</v>
      </c>
      <c r="K10" s="1399">
        <f>príjmy!L15</f>
        <v>163270</v>
      </c>
      <c r="L10" s="1400">
        <f>príjmy!M15</f>
        <v>161684</v>
      </c>
      <c r="M10" s="1894">
        <f>príjmy!N15</f>
        <v>223400</v>
      </c>
      <c r="N10" s="1403">
        <f>príjmy!O15</f>
        <v>223400</v>
      </c>
      <c r="O10" s="1404">
        <f>príjmy!P15</f>
        <v>223400</v>
      </c>
    </row>
    <row r="11" spans="1:15" ht="12.75">
      <c r="A11" s="1362" t="s">
        <v>9</v>
      </c>
      <c r="B11" s="1351" t="s">
        <v>10</v>
      </c>
      <c r="C11" s="1351"/>
      <c r="D11" s="1351"/>
      <c r="E11" s="1351"/>
      <c r="F11" s="1351"/>
      <c r="G11" s="1351"/>
      <c r="H11" s="1351"/>
      <c r="I11" s="1356"/>
      <c r="J11" s="1354"/>
      <c r="K11" s="1354"/>
      <c r="L11" s="1354"/>
      <c r="M11" s="1361"/>
      <c r="N11" s="1354"/>
      <c r="O11" s="1363"/>
    </row>
    <row r="12" spans="1:15" ht="99" customHeight="1">
      <c r="A12" s="3127" t="s">
        <v>11</v>
      </c>
      <c r="B12" s="3128"/>
      <c r="C12" s="3128"/>
      <c r="D12" s="3128"/>
      <c r="E12" s="3128"/>
      <c r="F12" s="3128"/>
      <c r="G12" s="3128"/>
      <c r="H12" s="3128"/>
      <c r="I12" s="1405">
        <f>príjmy!J26</f>
        <v>1473</v>
      </c>
      <c r="J12" s="1406">
        <f>príjmy!K26</f>
        <v>1608.29</v>
      </c>
      <c r="K12" s="1406">
        <f>príjmy!L26</f>
        <v>1400</v>
      </c>
      <c r="L12" s="1407">
        <f>príjmy!M26</f>
        <v>1400</v>
      </c>
      <c r="M12" s="1895">
        <f>príjmy!N26</f>
        <v>1400</v>
      </c>
      <c r="N12" s="1408">
        <f>príjmy!O26</f>
        <v>1400</v>
      </c>
      <c r="O12" s="1409">
        <f>príjmy!P26</f>
        <v>1400</v>
      </c>
    </row>
    <row r="13" spans="1:15" ht="12.75">
      <c r="A13" s="1362" t="s">
        <v>12</v>
      </c>
      <c r="B13" s="3129" t="s">
        <v>13</v>
      </c>
      <c r="C13" s="3129"/>
      <c r="D13" s="3129"/>
      <c r="E13" s="3129"/>
      <c r="F13" s="3129"/>
      <c r="G13" s="3129"/>
      <c r="H13" s="3129"/>
      <c r="I13" s="1355"/>
      <c r="J13" s="1354"/>
      <c r="K13" s="1354"/>
      <c r="L13" s="1354"/>
      <c r="M13" s="1361"/>
      <c r="N13" s="1354"/>
      <c r="O13" s="1363"/>
    </row>
    <row r="14" spans="1:15" ht="56.25" customHeight="1">
      <c r="A14" s="3130" t="s">
        <v>14</v>
      </c>
      <c r="B14" s="3131"/>
      <c r="C14" s="3131"/>
      <c r="D14" s="3131"/>
      <c r="E14" s="3131"/>
      <c r="F14" s="3131"/>
      <c r="G14" s="3131"/>
      <c r="H14" s="3131"/>
      <c r="I14" s="1405">
        <f>príjmy!J23</f>
        <v>2806</v>
      </c>
      <c r="J14" s="1412">
        <f>príjmy!K23</f>
        <v>2617.3</v>
      </c>
      <c r="K14" s="1412">
        <f>príjmy!L23</f>
        <v>2500</v>
      </c>
      <c r="L14" s="1413">
        <f>príjmy!M23</f>
        <v>2850</v>
      </c>
      <c r="M14" s="1895">
        <f>príjmy!N23</f>
        <v>2850</v>
      </c>
      <c r="N14" s="1408">
        <f>príjmy!O23</f>
        <v>2850</v>
      </c>
      <c r="O14" s="1409">
        <f>príjmy!P23</f>
        <v>2850</v>
      </c>
    </row>
    <row r="15" spans="1:15" ht="12.75">
      <c r="A15" s="1362" t="s">
        <v>15</v>
      </c>
      <c r="B15" s="3129" t="s">
        <v>16</v>
      </c>
      <c r="C15" s="3129"/>
      <c r="D15" s="3129"/>
      <c r="E15" s="3129"/>
      <c r="F15" s="3129"/>
      <c r="G15" s="3129"/>
      <c r="H15" s="3129"/>
      <c r="I15" s="1355"/>
      <c r="J15" s="1354"/>
      <c r="K15" s="1354"/>
      <c r="L15" s="1354"/>
      <c r="M15" s="1361"/>
      <c r="N15" s="1350"/>
      <c r="O15" s="1364"/>
    </row>
    <row r="16" spans="1:15" ht="48" customHeight="1">
      <c r="A16" s="3130" t="s">
        <v>17</v>
      </c>
      <c r="B16" s="3131"/>
      <c r="C16" s="3131"/>
      <c r="D16" s="3131"/>
      <c r="E16" s="3131"/>
      <c r="F16" s="3131"/>
      <c r="G16" s="3131"/>
      <c r="H16" s="3131"/>
      <c r="I16" s="1405">
        <f>príjmy!J25</f>
        <v>0</v>
      </c>
      <c r="J16" s="1412">
        <f>príjmy!K25</f>
        <v>0</v>
      </c>
      <c r="K16" s="1412">
        <f>príjmy!L25</f>
        <v>0</v>
      </c>
      <c r="L16" s="1413">
        <f>príjmy!M25</f>
        <v>0</v>
      </c>
      <c r="M16" s="1895">
        <f>príjmy!N25</f>
        <v>0</v>
      </c>
      <c r="N16" s="1408">
        <f>príjmy!O25</f>
        <v>0</v>
      </c>
      <c r="O16" s="1409">
        <f>príjmy!P25</f>
        <v>0</v>
      </c>
    </row>
    <row r="17" spans="1:15" ht="12.75">
      <c r="A17" s="1362" t="s">
        <v>18</v>
      </c>
      <c r="B17" s="1357" t="s">
        <v>19</v>
      </c>
      <c r="C17" s="1357"/>
      <c r="D17" s="1357"/>
      <c r="E17" s="1357"/>
      <c r="F17" s="1357"/>
      <c r="G17" s="1357"/>
      <c r="H17" s="1357"/>
      <c r="I17" s="1356"/>
      <c r="J17" s="1354"/>
      <c r="K17" s="1354"/>
      <c r="L17" s="1354"/>
      <c r="M17" s="1361"/>
      <c r="N17" s="1354"/>
      <c r="O17" s="1363"/>
    </row>
    <row r="18" spans="1:15" ht="129.75" customHeight="1">
      <c r="A18" s="3124" t="s">
        <v>697</v>
      </c>
      <c r="B18" s="3125"/>
      <c r="C18" s="3125"/>
      <c r="D18" s="3125"/>
      <c r="E18" s="3125"/>
      <c r="F18" s="3125"/>
      <c r="G18" s="3125"/>
      <c r="H18" s="3126"/>
      <c r="I18" s="1414">
        <f>príjmy!J29</f>
        <v>26361</v>
      </c>
      <c r="J18" s="1414">
        <f>príjmy!K29</f>
        <v>26361.31</v>
      </c>
      <c r="K18" s="1414">
        <f>príjmy!L29</f>
        <v>26361</v>
      </c>
      <c r="L18" s="1415">
        <f>príjmy!M29</f>
        <v>26361</v>
      </c>
      <c r="M18" s="1895">
        <f>príjmy!N29</f>
        <v>26361</v>
      </c>
      <c r="N18" s="1408">
        <f>príjmy!O29</f>
        <v>26361</v>
      </c>
      <c r="O18" s="1409">
        <f>príjmy!P29</f>
        <v>26361</v>
      </c>
    </row>
    <row r="19" spans="1:15" ht="12.75">
      <c r="A19" s="1365" t="s">
        <v>20</v>
      </c>
      <c r="B19" s="1358" t="s">
        <v>21</v>
      </c>
      <c r="C19" s="1351"/>
      <c r="D19" s="1351"/>
      <c r="E19" s="1351"/>
      <c r="F19" s="1351"/>
      <c r="G19" s="1351"/>
      <c r="H19" s="1351"/>
      <c r="I19" s="1359"/>
      <c r="J19" s="1354"/>
      <c r="K19" s="1354"/>
      <c r="L19" s="1354"/>
      <c r="M19" s="1361"/>
      <c r="N19" s="1354"/>
      <c r="O19" s="1363"/>
    </row>
    <row r="20" spans="1:15" ht="78.75" customHeight="1" thickBot="1">
      <c r="A20" s="3118" t="s">
        <v>22</v>
      </c>
      <c r="B20" s="3119"/>
      <c r="C20" s="3119"/>
      <c r="D20" s="3119"/>
      <c r="E20" s="3119"/>
      <c r="F20" s="3119"/>
      <c r="G20" s="3119"/>
      <c r="H20" s="3119"/>
      <c r="I20" s="1416">
        <f>príjmy!J27</f>
        <v>36679</v>
      </c>
      <c r="J20" s="1417">
        <f>príjmy!K27</f>
        <v>32695.76</v>
      </c>
      <c r="K20" s="1417">
        <f>príjmy!L27</f>
        <v>40000</v>
      </c>
      <c r="L20" s="1418">
        <f>príjmy!M27</f>
        <v>31000</v>
      </c>
      <c r="M20" s="1896">
        <f>príjmy!N27</f>
        <v>68000</v>
      </c>
      <c r="N20" s="1419">
        <f>príjmy!O27</f>
        <v>70000</v>
      </c>
      <c r="O20" s="1420">
        <f>príjmy!P27</f>
        <v>70000</v>
      </c>
    </row>
    <row r="21" spans="1:9" ht="15">
      <c r="A21" s="6"/>
      <c r="B21" s="7"/>
      <c r="C21" s="7"/>
      <c r="D21" s="7"/>
      <c r="E21" s="7"/>
      <c r="F21" s="7"/>
      <c r="G21" s="7"/>
      <c r="H21" s="7"/>
      <c r="I21" s="8"/>
    </row>
    <row r="22" spans="1:9" ht="15">
      <c r="A22" s="6"/>
      <c r="B22" s="7"/>
      <c r="C22" s="7"/>
      <c r="D22" s="7"/>
      <c r="E22" s="7"/>
      <c r="F22" s="7"/>
      <c r="G22" s="7"/>
      <c r="H22" s="7"/>
      <c r="I22" s="8"/>
    </row>
    <row r="23" spans="1:9" ht="15">
      <c r="A23" s="6"/>
      <c r="B23" s="7"/>
      <c r="C23" s="7"/>
      <c r="D23" s="7"/>
      <c r="E23" s="7"/>
      <c r="F23" s="7"/>
      <c r="G23" s="7"/>
      <c r="H23" s="7"/>
      <c r="I23" s="8"/>
    </row>
    <row r="24" spans="1:9" ht="15">
      <c r="A24" s="6"/>
      <c r="B24" s="7"/>
      <c r="C24" s="7"/>
      <c r="D24" s="7"/>
      <c r="E24" s="7"/>
      <c r="F24" s="7"/>
      <c r="G24" s="7"/>
      <c r="H24" s="7"/>
      <c r="I24" s="8"/>
    </row>
    <row r="25" spans="1:9" ht="15">
      <c r="A25" s="6"/>
      <c r="B25" s="7"/>
      <c r="C25" s="7"/>
      <c r="D25" s="7"/>
      <c r="E25" s="7"/>
      <c r="F25" s="7"/>
      <c r="G25" s="7"/>
      <c r="H25" s="7"/>
      <c r="I25" s="8"/>
    </row>
    <row r="26" spans="1:9" ht="15.75" thickBot="1">
      <c r="A26" s="6"/>
      <c r="B26" s="7"/>
      <c r="C26" s="7"/>
      <c r="D26" s="7"/>
      <c r="E26" s="7"/>
      <c r="F26" s="7"/>
      <c r="G26" s="7"/>
      <c r="H26" s="7"/>
      <c r="I26" s="8"/>
    </row>
    <row r="27" spans="1:15" ht="15.75" thickBot="1">
      <c r="A27" s="3135" t="s">
        <v>23</v>
      </c>
      <c r="B27" s="3136"/>
      <c r="C27" s="3136"/>
      <c r="D27" s="3136"/>
      <c r="E27" s="3136"/>
      <c r="F27" s="3136"/>
      <c r="G27" s="3136"/>
      <c r="H27" s="3137"/>
      <c r="I27" s="1426" t="e">
        <f aca="true" t="shared" si="2" ref="I27:O27">I30+I32+I34+I36+I38+I40+I42+I44+I46+I48+I50+I52</f>
        <v>#REF!</v>
      </c>
      <c r="J27" s="1422" t="e">
        <f>J30+J32+J34+J36+J38+J40+J42+J44+J46+J48+J50+J52</f>
        <v>#REF!</v>
      </c>
      <c r="K27" s="1422" t="e">
        <f t="shared" si="2"/>
        <v>#REF!</v>
      </c>
      <c r="L27" s="1423" t="e">
        <f>L30+L32+L34+L36+L38+L40+L42+L44+L46+L48+L50+L52</f>
        <v>#REF!</v>
      </c>
      <c r="M27" s="1424" t="e">
        <f t="shared" si="2"/>
        <v>#REF!</v>
      </c>
      <c r="N27" s="1425" t="e">
        <f t="shared" si="2"/>
        <v>#REF!</v>
      </c>
      <c r="O27" s="1422" t="e">
        <f t="shared" si="2"/>
        <v>#REF!</v>
      </c>
    </row>
    <row r="28" spans="1:15" ht="15">
      <c r="A28" s="1383"/>
      <c r="B28" s="1384"/>
      <c r="C28" s="1384"/>
      <c r="D28" s="1384"/>
      <c r="E28" s="1384"/>
      <c r="F28" s="1384"/>
      <c r="G28" s="1384"/>
      <c r="H28" s="1385"/>
      <c r="I28" s="1427">
        <v>2016</v>
      </c>
      <c r="J28" s="1427">
        <v>2017</v>
      </c>
      <c r="K28" s="1427">
        <v>2018</v>
      </c>
      <c r="L28" s="1428" t="s">
        <v>790</v>
      </c>
      <c r="M28" s="1466">
        <v>2019</v>
      </c>
      <c r="N28" s="1429">
        <v>2020</v>
      </c>
      <c r="O28" s="1430">
        <v>2021</v>
      </c>
    </row>
    <row r="29" spans="1:15" ht="12.75">
      <c r="A29" s="1362" t="s">
        <v>24</v>
      </c>
      <c r="B29" s="3129" t="s">
        <v>25</v>
      </c>
      <c r="C29" s="3129"/>
      <c r="D29" s="3129"/>
      <c r="E29" s="3129"/>
      <c r="F29" s="3129"/>
      <c r="G29" s="3129"/>
      <c r="H29" s="3129"/>
      <c r="I29" s="1369"/>
      <c r="J29" s="1431"/>
      <c r="K29" s="1431"/>
      <c r="L29" s="1432"/>
      <c r="M29" s="1433"/>
      <c r="N29" s="1431"/>
      <c r="O29" s="1432"/>
    </row>
    <row r="30" spans="1:15" ht="22.5" customHeight="1">
      <c r="A30" s="3138" t="s">
        <v>26</v>
      </c>
      <c r="B30" s="3139"/>
      <c r="C30" s="3139"/>
      <c r="D30" s="3139"/>
      <c r="E30" s="3139"/>
      <c r="F30" s="3139"/>
      <c r="G30" s="3139"/>
      <c r="H30" s="3140"/>
      <c r="I30" s="1438">
        <f>príjmy!J39</f>
        <v>9296.43</v>
      </c>
      <c r="J30" s="1439">
        <f>príjmy!K39</f>
        <v>82892.78</v>
      </c>
      <c r="K30" s="1440">
        <f>príjmy!L39</f>
        <v>150000</v>
      </c>
      <c r="L30" s="1439">
        <f>príjmy!M39</f>
        <v>123000</v>
      </c>
      <c r="M30" s="1897">
        <f>príjmy!N39</f>
        <v>60000</v>
      </c>
      <c r="N30" s="1439">
        <f>príjmy!O39</f>
        <v>10000</v>
      </c>
      <c r="O30" s="1411">
        <f>príjmy!P39</f>
        <v>10000</v>
      </c>
    </row>
    <row r="31" spans="1:15" ht="12.75">
      <c r="A31" s="1365" t="s">
        <v>27</v>
      </c>
      <c r="B31" s="3129" t="s">
        <v>28</v>
      </c>
      <c r="C31" s="3129"/>
      <c r="D31" s="3129"/>
      <c r="E31" s="3129"/>
      <c r="F31" s="3129"/>
      <c r="G31" s="3129"/>
      <c r="H31" s="3129"/>
      <c r="I31" s="1369"/>
      <c r="J31" s="1431"/>
      <c r="K31" s="1431"/>
      <c r="L31" s="1431"/>
      <c r="M31" s="1433"/>
      <c r="N31" s="1431"/>
      <c r="O31" s="1432"/>
    </row>
    <row r="32" spans="1:15" s="1371" customFormat="1" ht="22.5" customHeight="1">
      <c r="A32" s="3141" t="s">
        <v>29</v>
      </c>
      <c r="B32" s="3142"/>
      <c r="C32" s="3142"/>
      <c r="D32" s="3142"/>
      <c r="E32" s="3142"/>
      <c r="F32" s="3142"/>
      <c r="G32" s="3142"/>
      <c r="H32" s="3142"/>
      <c r="I32" s="1441">
        <f>príjmy!J40</f>
        <v>26634.88</v>
      </c>
      <c r="J32" s="1442">
        <f>príjmy!K40</f>
        <v>27055.64</v>
      </c>
      <c r="K32" s="1443">
        <f>príjmy!L40</f>
        <v>26000</v>
      </c>
      <c r="L32" s="1442">
        <f>príjmy!M40</f>
        <v>26000</v>
      </c>
      <c r="M32" s="1898">
        <f>príjmy!N40</f>
        <v>26000</v>
      </c>
      <c r="N32" s="1442">
        <f>príjmy!O40</f>
        <v>3000</v>
      </c>
      <c r="O32" s="1444">
        <f>príjmy!P40</f>
        <v>30000</v>
      </c>
    </row>
    <row r="33" spans="1:15" ht="12.75">
      <c r="A33" s="1362" t="s">
        <v>30</v>
      </c>
      <c r="B33" s="1357" t="s">
        <v>31</v>
      </c>
      <c r="C33" s="1357"/>
      <c r="D33" s="1357"/>
      <c r="E33" s="1357"/>
      <c r="F33" s="1357"/>
      <c r="G33" s="1357"/>
      <c r="H33" s="1357"/>
      <c r="I33" s="1369"/>
      <c r="J33" s="1431"/>
      <c r="K33" s="1431"/>
      <c r="L33" s="1431"/>
      <c r="M33" s="1433"/>
      <c r="N33" s="1431"/>
      <c r="O33" s="1432"/>
    </row>
    <row r="34" spans="1:15" ht="15" customHeight="1">
      <c r="A34" s="3143" t="s">
        <v>32</v>
      </c>
      <c r="B34" s="3144"/>
      <c r="C34" s="3144"/>
      <c r="D34" s="3144"/>
      <c r="E34" s="3144"/>
      <c r="F34" s="3144"/>
      <c r="G34" s="3144"/>
      <c r="H34" s="3144"/>
      <c r="I34" s="1434">
        <f>príjmy!J41</f>
        <v>14399.39</v>
      </c>
      <c r="J34" s="1436">
        <f>príjmy!K41</f>
        <v>17514</v>
      </c>
      <c r="K34" s="1437">
        <f>príjmy!L41</f>
        <v>15000</v>
      </c>
      <c r="L34" s="1436">
        <f>príjmy!M41</f>
        <v>16000</v>
      </c>
      <c r="M34" s="1899">
        <f>príjmy!N41</f>
        <v>20000</v>
      </c>
      <c r="N34" s="1436">
        <f>príjmy!O41</f>
        <v>10000</v>
      </c>
      <c r="O34" s="1410">
        <f>príjmy!P41</f>
        <v>6000</v>
      </c>
    </row>
    <row r="35" spans="1:15" ht="15" customHeight="1">
      <c r="A35" s="1366">
        <v>42096</v>
      </c>
      <c r="B35" s="1367" t="s">
        <v>31</v>
      </c>
      <c r="C35" s="1367"/>
      <c r="D35" s="1367"/>
      <c r="E35" s="1367"/>
      <c r="F35" s="1367"/>
      <c r="G35" s="1367"/>
      <c r="H35" s="1367"/>
      <c r="I35" s="1435"/>
      <c r="J35" s="1431"/>
      <c r="K35" s="1431"/>
      <c r="L35" s="1431"/>
      <c r="M35" s="1433"/>
      <c r="N35" s="1431"/>
      <c r="O35" s="1432"/>
    </row>
    <row r="36" spans="1:15" ht="15" customHeight="1">
      <c r="A36" s="1372" t="s">
        <v>690</v>
      </c>
      <c r="B36" s="1368"/>
      <c r="C36" s="1368"/>
      <c r="D36" s="1368"/>
      <c r="E36" s="1368"/>
      <c r="F36" s="1368"/>
      <c r="G36" s="1368"/>
      <c r="H36" s="1368"/>
      <c r="I36" s="1434">
        <f>príjmy!J42</f>
        <v>0</v>
      </c>
      <c r="J36" s="1436">
        <f>príjmy!K42</f>
        <v>0</v>
      </c>
      <c r="K36" s="1437">
        <f>príjmy!L42+príjmy!L51</f>
        <v>12000</v>
      </c>
      <c r="L36" s="1436">
        <f>príjmy!M42+príjmy!M51</f>
        <v>12000</v>
      </c>
      <c r="M36" s="1899">
        <f>príjmy!N42</f>
        <v>12000</v>
      </c>
      <c r="N36" s="1436">
        <f>príjmy!O42</f>
        <v>12000</v>
      </c>
      <c r="O36" s="1410">
        <f>príjmy!P42</f>
        <v>12000</v>
      </c>
    </row>
    <row r="37" spans="1:15" ht="12.75">
      <c r="A37" s="1362" t="s">
        <v>36</v>
      </c>
      <c r="B37" s="3129" t="s">
        <v>34</v>
      </c>
      <c r="C37" s="3129"/>
      <c r="D37" s="3129"/>
      <c r="E37" s="3129"/>
      <c r="F37" s="3129"/>
      <c r="G37" s="3129"/>
      <c r="H37" s="3129"/>
      <c r="I37" s="1369"/>
      <c r="J37" s="1431"/>
      <c r="K37" s="1431"/>
      <c r="L37" s="1431"/>
      <c r="M37" s="1433"/>
      <c r="N37" s="1431"/>
      <c r="O37" s="1432"/>
    </row>
    <row r="38" spans="1:15" ht="99" customHeight="1">
      <c r="A38" s="3147" t="s">
        <v>35</v>
      </c>
      <c r="B38" s="3148"/>
      <c r="C38" s="3148"/>
      <c r="D38" s="3148"/>
      <c r="E38" s="3148"/>
      <c r="F38" s="3148"/>
      <c r="G38" s="3148"/>
      <c r="H38" s="3148"/>
      <c r="I38" s="1438">
        <f>príjmy!J46+príjmy!J55</f>
        <v>9727.4</v>
      </c>
      <c r="J38" s="1439">
        <f>príjmy!K46+príjmy!K55</f>
        <v>12164.7</v>
      </c>
      <c r="K38" s="1440">
        <f>príjmy!L46+príjmy!L55</f>
        <v>10000</v>
      </c>
      <c r="L38" s="1439">
        <f>príjmy!M46+príjmy!M55</f>
        <v>10000</v>
      </c>
      <c r="M38" s="1897">
        <f>príjmy!N46+príjmy!N55</f>
        <v>10000</v>
      </c>
      <c r="N38" s="1439">
        <f>príjmy!O46+príjmy!O55</f>
        <v>10000</v>
      </c>
      <c r="O38" s="1411">
        <f>príjmy!P46+príjmy!P55</f>
        <v>10000</v>
      </c>
    </row>
    <row r="39" spans="1:15" ht="12.75">
      <c r="A39" s="1362" t="s">
        <v>39</v>
      </c>
      <c r="B39" s="1357" t="s">
        <v>37</v>
      </c>
      <c r="C39" s="1357"/>
      <c r="D39" s="1357"/>
      <c r="E39" s="1357"/>
      <c r="F39" s="1357"/>
      <c r="G39" s="1357"/>
      <c r="H39" s="1357"/>
      <c r="I39" s="1369"/>
      <c r="J39" s="1431"/>
      <c r="K39" s="1431"/>
      <c r="L39" s="1431"/>
      <c r="M39" s="1433"/>
      <c r="N39" s="1431"/>
      <c r="O39" s="1432"/>
    </row>
    <row r="40" spans="1:15" ht="45" customHeight="1">
      <c r="A40" s="3124" t="s">
        <v>38</v>
      </c>
      <c r="B40" s="3149"/>
      <c r="C40" s="3149"/>
      <c r="D40" s="3149"/>
      <c r="E40" s="3149"/>
      <c r="F40" s="3149"/>
      <c r="G40" s="3149"/>
      <c r="H40" s="3149"/>
      <c r="I40" s="1438">
        <f>príjmy!J47</f>
        <v>4393.98</v>
      </c>
      <c r="J40" s="1439">
        <f>príjmy!K47</f>
        <v>3571.81</v>
      </c>
      <c r="K40" s="1440">
        <f>príjmy!L47</f>
        <v>3000</v>
      </c>
      <c r="L40" s="1439">
        <f>príjmy!M47</f>
        <v>3200</v>
      </c>
      <c r="M40" s="1897">
        <f>príjmy!N47</f>
        <v>3000</v>
      </c>
      <c r="N40" s="1439">
        <f>príjmy!O47</f>
        <v>3000</v>
      </c>
      <c r="O40" s="1411">
        <f>príjmy!P47</f>
        <v>3000</v>
      </c>
    </row>
    <row r="41" spans="1:15" ht="12.75">
      <c r="A41" s="1362" t="s">
        <v>41</v>
      </c>
      <c r="B41" s="1373" t="s">
        <v>31</v>
      </c>
      <c r="C41" s="1373"/>
      <c r="D41" s="1373"/>
      <c r="E41" s="1373"/>
      <c r="F41" s="1373"/>
      <c r="G41" s="1373"/>
      <c r="H41" s="1373"/>
      <c r="I41" s="1369"/>
      <c r="J41" s="1431"/>
      <c r="K41" s="1431"/>
      <c r="L41" s="1431"/>
      <c r="M41" s="1433"/>
      <c r="N41" s="1431"/>
      <c r="O41" s="1432"/>
    </row>
    <row r="42" spans="1:15" ht="12.75">
      <c r="A42" s="3150" t="s">
        <v>40</v>
      </c>
      <c r="B42" s="3151"/>
      <c r="C42" s="3151"/>
      <c r="D42" s="3151"/>
      <c r="E42" s="3151"/>
      <c r="F42" s="3151"/>
      <c r="G42" s="3151"/>
      <c r="H42" s="3151"/>
      <c r="I42" s="1434">
        <f>príjmy!J49</f>
        <v>24985.89</v>
      </c>
      <c r="J42" s="1436">
        <f>príjmy!K49</f>
        <v>8894.87</v>
      </c>
      <c r="K42" s="1437">
        <f>príjmy!L49</f>
        <v>8000</v>
      </c>
      <c r="L42" s="1436">
        <f>príjmy!M49</f>
        <v>8000</v>
      </c>
      <c r="M42" s="1899">
        <f>príjmy!N49</f>
        <v>10000</v>
      </c>
      <c r="N42" s="1436">
        <f>príjmy!O49</f>
        <v>10000</v>
      </c>
      <c r="O42" s="1410">
        <f>príjmy!P49</f>
        <v>10000</v>
      </c>
    </row>
    <row r="43" spans="1:15" ht="12.75">
      <c r="A43" s="1362" t="s">
        <v>44</v>
      </c>
      <c r="B43" s="3152" t="s">
        <v>42</v>
      </c>
      <c r="C43" s="3152"/>
      <c r="D43" s="3152"/>
      <c r="E43" s="3152"/>
      <c r="F43" s="3152"/>
      <c r="G43" s="3152"/>
      <c r="H43" s="3152"/>
      <c r="I43" s="1369"/>
      <c r="J43" s="1431"/>
      <c r="K43" s="1431"/>
      <c r="L43" s="1431"/>
      <c r="M43" s="1433"/>
      <c r="N43" s="1431"/>
      <c r="O43" s="1432"/>
    </row>
    <row r="44" spans="1:15" ht="22.5" customHeight="1">
      <c r="A44" s="3143" t="s">
        <v>43</v>
      </c>
      <c r="B44" s="3144"/>
      <c r="C44" s="3144"/>
      <c r="D44" s="3144"/>
      <c r="E44" s="3144"/>
      <c r="F44" s="3144"/>
      <c r="G44" s="3144"/>
      <c r="H44" s="3144"/>
      <c r="I44" s="1438">
        <f>príjmy!J48</f>
        <v>270</v>
      </c>
      <c r="J44" s="1439">
        <f>príjmy!K48</f>
        <v>114</v>
      </c>
      <c r="K44" s="1440">
        <f>príjmy!L48</f>
        <v>200</v>
      </c>
      <c r="L44" s="1439">
        <f>príjmy!M48</f>
        <v>150</v>
      </c>
      <c r="M44" s="1897">
        <f>príjmy!N48</f>
        <v>200</v>
      </c>
      <c r="N44" s="1439">
        <f>príjmy!O48</f>
        <v>200</v>
      </c>
      <c r="O44" s="1411">
        <f>príjmy!P48</f>
        <v>200</v>
      </c>
    </row>
    <row r="45" spans="1:15" ht="12.75">
      <c r="A45" s="1362" t="s">
        <v>46</v>
      </c>
      <c r="B45" s="3152" t="s">
        <v>45</v>
      </c>
      <c r="C45" s="3152"/>
      <c r="D45" s="3152"/>
      <c r="E45" s="3152"/>
      <c r="F45" s="3152"/>
      <c r="G45" s="3152"/>
      <c r="H45" s="3152"/>
      <c r="I45" s="1369"/>
      <c r="J45" s="1431"/>
      <c r="K45" s="1431"/>
      <c r="L45" s="1431"/>
      <c r="M45" s="1433"/>
      <c r="N45" s="1431"/>
      <c r="O45" s="1432"/>
    </row>
    <row r="46" spans="1:15" ht="15">
      <c r="A46" s="1370"/>
      <c r="B46" s="3163"/>
      <c r="C46" s="3163"/>
      <c r="D46" s="3163"/>
      <c r="E46" s="3163"/>
      <c r="F46" s="3163"/>
      <c r="G46" s="3163"/>
      <c r="H46" s="3163"/>
      <c r="I46" s="1438">
        <f>príjmy!J58+príjmy!J59</f>
        <v>0.95</v>
      </c>
      <c r="J46" s="1439">
        <f>príjmy!K58+príjmy!K59</f>
        <v>0.03</v>
      </c>
      <c r="K46" s="1440">
        <f>príjmy!L58+príjmy!L59</f>
        <v>105</v>
      </c>
      <c r="L46" s="1439">
        <f>príjmy!M58+príjmy!M59</f>
        <v>0</v>
      </c>
      <c r="M46" s="1897">
        <f>príjmy!N58+príjmy!N59</f>
        <v>0</v>
      </c>
      <c r="N46" s="1439">
        <f>príjmy!O58+príjmy!O59</f>
        <v>0</v>
      </c>
      <c r="O46" s="1411">
        <f>príjmy!P58+príjmy!P59</f>
        <v>0</v>
      </c>
    </row>
    <row r="47" spans="1:15" ht="12.75">
      <c r="A47" s="1362" t="s">
        <v>49</v>
      </c>
      <c r="B47" s="3152" t="s">
        <v>47</v>
      </c>
      <c r="C47" s="3152"/>
      <c r="D47" s="3152"/>
      <c r="E47" s="3152"/>
      <c r="F47" s="3152"/>
      <c r="G47" s="3152"/>
      <c r="H47" s="3152"/>
      <c r="I47" s="1369"/>
      <c r="J47" s="1431"/>
      <c r="K47" s="1431"/>
      <c r="L47" s="1431"/>
      <c r="M47" s="1433"/>
      <c r="N47" s="1431"/>
      <c r="O47" s="1432"/>
    </row>
    <row r="48" spans="1:15" ht="24.75" customHeight="1">
      <c r="A48" s="3124" t="s">
        <v>48</v>
      </c>
      <c r="B48" s="3149"/>
      <c r="C48" s="3149"/>
      <c r="D48" s="3149"/>
      <c r="E48" s="3149"/>
      <c r="F48" s="3149"/>
      <c r="G48" s="3149"/>
      <c r="H48" s="3149"/>
      <c r="I48" s="1438">
        <f>príjmy!J52+príjmy!J53+príjmy!J54+príjmy!J50</f>
        <v>52451.95</v>
      </c>
      <c r="J48" s="1439">
        <f>príjmy!K52+príjmy!K53+príjmy!K54+príjmy!K50</f>
        <v>38165.18</v>
      </c>
      <c r="K48" s="1440">
        <f>príjmy!L52+príjmy!L53+príjmy!L54+príjmy!L50</f>
        <v>36500</v>
      </c>
      <c r="L48" s="1439">
        <f>príjmy!M52+príjmy!M53+príjmy!M54+príjmy!M50</f>
        <v>28000</v>
      </c>
      <c r="M48" s="1897">
        <f>príjmy!N52+príjmy!N53+príjmy!N54+príjmy!N50</f>
        <v>16000</v>
      </c>
      <c r="N48" s="1439">
        <f>príjmy!O52+príjmy!O53+príjmy!O54+príjmy!O50</f>
        <v>16000</v>
      </c>
      <c r="O48" s="1411">
        <f>príjmy!P52+príjmy!P53+príjmy!P54+príjmy!P50</f>
        <v>16000</v>
      </c>
    </row>
    <row r="49" spans="1:15" ht="12.75">
      <c r="A49" s="1365" t="s">
        <v>52</v>
      </c>
      <c r="B49" s="3152" t="s">
        <v>50</v>
      </c>
      <c r="C49" s="3152"/>
      <c r="D49" s="3152"/>
      <c r="E49" s="3152"/>
      <c r="F49" s="3152"/>
      <c r="G49" s="3152"/>
      <c r="H49" s="3152"/>
      <c r="I49" s="1369"/>
      <c r="J49" s="1431"/>
      <c r="K49" s="1431"/>
      <c r="L49" s="1431"/>
      <c r="M49" s="1433"/>
      <c r="N49" s="1431"/>
      <c r="O49" s="1432"/>
    </row>
    <row r="50" spans="1:15" ht="12.75">
      <c r="A50" s="3164" t="s">
        <v>51</v>
      </c>
      <c r="B50" s="3165"/>
      <c r="C50" s="3165"/>
      <c r="D50" s="3165"/>
      <c r="E50" s="3165"/>
      <c r="F50" s="3165"/>
      <c r="G50" s="3165"/>
      <c r="H50" s="3165"/>
      <c r="I50" s="1447" t="e">
        <f>príjmy!#REF!</f>
        <v>#REF!</v>
      </c>
      <c r="J50" s="1448" t="e">
        <f>príjmy!#REF!</f>
        <v>#REF!</v>
      </c>
      <c r="K50" s="1437" t="e">
        <f>príjmy!#REF!</f>
        <v>#REF!</v>
      </c>
      <c r="L50" s="1448" t="e">
        <f>príjmy!#REF!</f>
        <v>#REF!</v>
      </c>
      <c r="M50" s="1900" t="e">
        <f>príjmy!#REF!</f>
        <v>#REF!</v>
      </c>
      <c r="N50" s="1448" t="e">
        <f>príjmy!#REF!</f>
        <v>#REF!</v>
      </c>
      <c r="O50" s="1410" t="e">
        <f>príjmy!#REF!</f>
        <v>#REF!</v>
      </c>
    </row>
    <row r="51" spans="1:15" ht="12.75">
      <c r="A51" s="1362" t="s">
        <v>691</v>
      </c>
      <c r="B51" s="3152" t="s">
        <v>53</v>
      </c>
      <c r="C51" s="3152"/>
      <c r="D51" s="3152"/>
      <c r="E51" s="3152"/>
      <c r="F51" s="3152"/>
      <c r="G51" s="3152"/>
      <c r="H51" s="3152"/>
      <c r="I51" s="1369"/>
      <c r="J51" s="1431"/>
      <c r="K51" s="1431"/>
      <c r="L51" s="1431"/>
      <c r="M51" s="1433"/>
      <c r="N51" s="1431"/>
      <c r="O51" s="1432"/>
    </row>
    <row r="52" spans="1:15" ht="33.75" customHeight="1" thickBot="1">
      <c r="A52" s="3145" t="s">
        <v>54</v>
      </c>
      <c r="B52" s="3146"/>
      <c r="C52" s="3146"/>
      <c r="D52" s="3146"/>
      <c r="E52" s="3146"/>
      <c r="F52" s="3146"/>
      <c r="G52" s="3146"/>
      <c r="H52" s="3146"/>
      <c r="I52" s="1449">
        <f>príjmy!J60+príjmy!J61+príjmy!J62+príjmy!J64</f>
        <v>8791.01</v>
      </c>
      <c r="J52" s="1450">
        <f>príjmy!K60+príjmy!K61+príjmy!K62+príjmy!K64+príjmy!K63</f>
        <v>10013.39</v>
      </c>
      <c r="K52" s="1451">
        <f>príjmy!L60+príjmy!L61+príjmy!L62+príjmy!L64</f>
        <v>500</v>
      </c>
      <c r="L52" s="1450">
        <f>príjmy!M60+príjmy!M61+príjmy!M62+príjmy!M64+príjmy!M63</f>
        <v>6786</v>
      </c>
      <c r="M52" s="1901">
        <f>príjmy!N60+príjmy!N61+príjmy!N62+príjmy!N64</f>
        <v>300</v>
      </c>
      <c r="N52" s="1450">
        <f>príjmy!O60+príjmy!O61+príjmy!O62+príjmy!O64</f>
        <v>300</v>
      </c>
      <c r="O52" s="1452">
        <f>príjmy!P60+príjmy!P61+príjmy!P62+príjmy!P64</f>
        <v>300</v>
      </c>
    </row>
    <row r="53" spans="1:9" ht="24.75" customHeight="1">
      <c r="A53" s="768"/>
      <c r="B53" s="768"/>
      <c r="C53" s="768"/>
      <c r="D53" s="768"/>
      <c r="E53" s="768"/>
      <c r="F53" s="768"/>
      <c r="G53" s="768"/>
      <c r="H53" s="768"/>
      <c r="I53" s="769"/>
    </row>
    <row r="54" spans="1:9" ht="24.75" customHeight="1">
      <c r="A54" s="768"/>
      <c r="B54" s="768"/>
      <c r="C54" s="768"/>
      <c r="D54" s="768"/>
      <c r="E54" s="768"/>
      <c r="F54" s="768"/>
      <c r="G54" s="768"/>
      <c r="H54" s="768"/>
      <c r="I54" s="769"/>
    </row>
    <row r="55" spans="1:9" ht="24.75" customHeight="1">
      <c r="A55" s="768"/>
      <c r="B55" s="768"/>
      <c r="C55" s="768"/>
      <c r="D55" s="768"/>
      <c r="E55" s="768"/>
      <c r="F55" s="768"/>
      <c r="G55" s="768"/>
      <c r="H55" s="768"/>
      <c r="I55" s="769"/>
    </row>
    <row r="56" spans="1:9" ht="24.75" customHeight="1">
      <c r="A56" s="768"/>
      <c r="B56" s="768"/>
      <c r="C56" s="768"/>
      <c r="D56" s="768"/>
      <c r="E56" s="768"/>
      <c r="F56" s="768"/>
      <c r="G56" s="768"/>
      <c r="H56" s="768"/>
      <c r="I56" s="769"/>
    </row>
    <row r="57" spans="1:9" ht="24.75" customHeight="1">
      <c r="A57" s="768"/>
      <c r="B57" s="768"/>
      <c r="C57" s="768"/>
      <c r="D57" s="768"/>
      <c r="E57" s="768"/>
      <c r="F57" s="768"/>
      <c r="G57" s="768"/>
      <c r="H57" s="768"/>
      <c r="I57" s="769"/>
    </row>
    <row r="58" spans="1:9" ht="24.75" customHeight="1">
      <c r="A58" s="768"/>
      <c r="B58" s="768"/>
      <c r="C58" s="768"/>
      <c r="D58" s="768"/>
      <c r="E58" s="768"/>
      <c r="F58" s="768"/>
      <c r="G58" s="768"/>
      <c r="H58" s="768"/>
      <c r="I58" s="769"/>
    </row>
    <row r="59" spans="1:9" ht="24.75" customHeight="1">
      <c r="A59" s="768"/>
      <c r="B59" s="768"/>
      <c r="C59" s="768"/>
      <c r="D59" s="768"/>
      <c r="E59" s="768"/>
      <c r="F59" s="768"/>
      <c r="G59" s="768"/>
      <c r="H59" s="768"/>
      <c r="I59" s="769"/>
    </row>
    <row r="60" spans="1:9" ht="24.75" customHeight="1">
      <c r="A60" s="768"/>
      <c r="B60" s="768"/>
      <c r="C60" s="768"/>
      <c r="D60" s="768"/>
      <c r="E60" s="768"/>
      <c r="F60" s="768"/>
      <c r="G60" s="768"/>
      <c r="H60" s="768"/>
      <c r="I60" s="769"/>
    </row>
    <row r="61" spans="1:9" ht="24.75" customHeight="1">
      <c r="A61" s="768"/>
      <c r="B61" s="768"/>
      <c r="C61" s="768"/>
      <c r="D61" s="768"/>
      <c r="E61" s="768"/>
      <c r="F61" s="768"/>
      <c r="G61" s="768"/>
      <c r="H61" s="768"/>
      <c r="I61" s="769"/>
    </row>
    <row r="62" spans="1:9" ht="24.75" customHeight="1">
      <c r="A62" s="768"/>
      <c r="B62" s="768"/>
      <c r="C62" s="768"/>
      <c r="D62" s="768"/>
      <c r="E62" s="768"/>
      <c r="F62" s="768"/>
      <c r="G62" s="768"/>
      <c r="H62" s="768"/>
      <c r="I62" s="769"/>
    </row>
    <row r="63" spans="1:9" ht="24.75" customHeight="1">
      <c r="A63" s="768"/>
      <c r="B63" s="768"/>
      <c r="C63" s="768"/>
      <c r="D63" s="768"/>
      <c r="E63" s="768"/>
      <c r="F63" s="768"/>
      <c r="G63" s="768"/>
      <c r="H63" s="768"/>
      <c r="I63" s="769"/>
    </row>
    <row r="64" spans="1:9" ht="24.75" customHeight="1">
      <c r="A64" s="768"/>
      <c r="B64" s="768"/>
      <c r="C64" s="768"/>
      <c r="D64" s="768"/>
      <c r="E64" s="768"/>
      <c r="F64" s="768"/>
      <c r="G64" s="768"/>
      <c r="H64" s="768"/>
      <c r="I64" s="769"/>
    </row>
    <row r="65" spans="1:9" ht="24.75" customHeight="1" thickBot="1">
      <c r="A65" s="768"/>
      <c r="B65" s="768"/>
      <c r="C65" s="768"/>
      <c r="D65" s="768"/>
      <c r="E65" s="768"/>
      <c r="F65" s="768"/>
      <c r="G65" s="768"/>
      <c r="H65" s="768"/>
      <c r="I65" s="769"/>
    </row>
    <row r="66" spans="1:9" ht="8.25" customHeight="1" thickBot="1">
      <c r="A66" s="768"/>
      <c r="B66" s="768"/>
      <c r="C66" s="768"/>
      <c r="D66" s="768"/>
      <c r="E66" s="768"/>
      <c r="F66" s="768"/>
      <c r="G66" s="768"/>
      <c r="H66" s="768"/>
      <c r="I66" s="769"/>
    </row>
    <row r="67" spans="1:15" ht="15.75" thickBot="1">
      <c r="A67" s="3153" t="s">
        <v>55</v>
      </c>
      <c r="B67" s="3154"/>
      <c r="C67" s="3154"/>
      <c r="D67" s="3154"/>
      <c r="E67" s="3154"/>
      <c r="F67" s="3154"/>
      <c r="G67" s="3154"/>
      <c r="H67" s="3154"/>
      <c r="I67" s="1453">
        <f>I69+I70+I71+I72+I73+I74+I75+I76+I77+I78+I79+I80+I81+I82+I83+I84+I85+I86+I87+I88+I89+I90</f>
        <v>738321.0900000001</v>
      </c>
      <c r="J67" s="1462">
        <f>SUM(J69:J90)+J91+J92+J93</f>
        <v>99861.16</v>
      </c>
      <c r="K67" s="1462">
        <f>SUM(K69:K90)</f>
        <v>42800</v>
      </c>
      <c r="L67" s="1463">
        <f>SUM(L69:L90)+L92</f>
        <v>67962</v>
      </c>
      <c r="M67" s="1424">
        <f>SUM(M69:M90)+M92+M93</f>
        <v>84066</v>
      </c>
      <c r="N67" s="1464">
        <f>SUM(N69:N90)</f>
        <v>79660</v>
      </c>
      <c r="O67" s="1465">
        <f>SUM(O69:O90)</f>
        <v>81660</v>
      </c>
    </row>
    <row r="68" spans="1:15" ht="15">
      <c r="A68" s="1731"/>
      <c r="B68" s="1768"/>
      <c r="C68" s="1768"/>
      <c r="D68" s="1768"/>
      <c r="E68" s="1768"/>
      <c r="F68" s="1768"/>
      <c r="G68" s="1768"/>
      <c r="H68" s="1769"/>
      <c r="I68" s="1427">
        <v>2016</v>
      </c>
      <c r="J68" s="1427">
        <v>2017</v>
      </c>
      <c r="K68" s="1427">
        <v>2018</v>
      </c>
      <c r="L68" s="1428" t="s">
        <v>790</v>
      </c>
      <c r="M68" s="1466">
        <v>2019</v>
      </c>
      <c r="N68" s="1429">
        <v>2020</v>
      </c>
      <c r="O68" s="1430">
        <v>2021</v>
      </c>
    </row>
    <row r="69" spans="1:15" ht="22.5" customHeight="1">
      <c r="A69" s="1377" t="s">
        <v>56</v>
      </c>
      <c r="B69" s="3115" t="s">
        <v>57</v>
      </c>
      <c r="C69" s="3115"/>
      <c r="D69" s="3115"/>
      <c r="E69" s="3115"/>
      <c r="F69" s="3115"/>
      <c r="G69" s="3115"/>
      <c r="H69" s="3116"/>
      <c r="I69" s="1395">
        <f>príjmy!J80</f>
        <v>610382</v>
      </c>
      <c r="J69" s="1445">
        <f>príjmy!K80</f>
        <v>0</v>
      </c>
      <c r="K69" s="1445">
        <f>príjmy!L80</f>
        <v>0</v>
      </c>
      <c r="L69" s="1446">
        <f>príjmy!M80</f>
        <v>0</v>
      </c>
      <c r="M69" s="1902">
        <f>príjmy!N80</f>
        <v>0</v>
      </c>
      <c r="N69" s="1770">
        <f>príjmy!O80</f>
        <v>0</v>
      </c>
      <c r="O69" s="1458">
        <f>príjmy!P80</f>
        <v>0</v>
      </c>
    </row>
    <row r="70" spans="1:15" ht="22.5" customHeight="1">
      <c r="A70" s="1377" t="s">
        <v>58</v>
      </c>
      <c r="B70" s="1374" t="s">
        <v>650</v>
      </c>
      <c r="C70" s="1374"/>
      <c r="D70" s="1374"/>
      <c r="E70" s="1374"/>
      <c r="F70" s="1374"/>
      <c r="G70" s="1374"/>
      <c r="H70" s="1374"/>
      <c r="I70" s="1395">
        <f>príjmy!J81</f>
        <v>0</v>
      </c>
      <c r="J70" s="1445">
        <f>príjmy!K81</f>
        <v>0</v>
      </c>
      <c r="K70" s="1445">
        <f>príjmy!L81</f>
        <v>0</v>
      </c>
      <c r="L70" s="1446">
        <f>príjmy!M81</f>
        <v>0</v>
      </c>
      <c r="M70" s="1902">
        <f>príjmy!N81</f>
        <v>0</v>
      </c>
      <c r="N70" s="1770">
        <f>príjmy!O81</f>
        <v>0</v>
      </c>
      <c r="O70" s="1458">
        <f>príjmy!P81</f>
        <v>0</v>
      </c>
    </row>
    <row r="71" spans="1:15" ht="22.5" customHeight="1">
      <c r="A71" s="1377" t="s">
        <v>60</v>
      </c>
      <c r="B71" s="1374" t="s">
        <v>644</v>
      </c>
      <c r="C71" s="1374"/>
      <c r="D71" s="1374"/>
      <c r="E71" s="1374"/>
      <c r="F71" s="1374"/>
      <c r="G71" s="1374"/>
      <c r="H71" s="1374"/>
      <c r="I71" s="1395">
        <f>príjmy!J82</f>
        <v>140</v>
      </c>
      <c r="J71" s="1445">
        <f>príjmy!K82</f>
        <v>0</v>
      </c>
      <c r="K71" s="1445">
        <f>príjmy!L82</f>
        <v>0</v>
      </c>
      <c r="L71" s="1446">
        <f>príjmy!M82</f>
        <v>0</v>
      </c>
      <c r="M71" s="1902">
        <f>príjmy!N82</f>
        <v>0</v>
      </c>
      <c r="N71" s="1770">
        <f>príjmy!O82</f>
        <v>0</v>
      </c>
      <c r="O71" s="1458">
        <f>príjmy!P82</f>
        <v>0</v>
      </c>
    </row>
    <row r="72" spans="1:15" ht="22.5" customHeight="1">
      <c r="A72" s="1378" t="s">
        <v>62</v>
      </c>
      <c r="B72" s="1375" t="s">
        <v>59</v>
      </c>
      <c r="C72" s="1375"/>
      <c r="D72" s="1375"/>
      <c r="E72" s="1375"/>
      <c r="F72" s="1375"/>
      <c r="G72" s="1375"/>
      <c r="H72" s="1375"/>
      <c r="I72" s="1396">
        <f>príjmy!J83</f>
        <v>3697</v>
      </c>
      <c r="J72" s="1445">
        <f>príjmy!K83</f>
        <v>0</v>
      </c>
      <c r="K72" s="1445">
        <f>príjmy!L83</f>
        <v>0</v>
      </c>
      <c r="L72" s="1446">
        <f>príjmy!M83</f>
        <v>0</v>
      </c>
      <c r="M72" s="1902">
        <f>príjmy!N83</f>
        <v>0</v>
      </c>
      <c r="N72" s="1770">
        <f>príjmy!O83</f>
        <v>0</v>
      </c>
      <c r="O72" s="1458">
        <f>príjmy!P83</f>
        <v>0</v>
      </c>
    </row>
    <row r="73" spans="1:15" ht="22.5" customHeight="1">
      <c r="A73" s="1379" t="s">
        <v>64</v>
      </c>
      <c r="B73" s="1376" t="s">
        <v>61</v>
      </c>
      <c r="C73" s="1376"/>
      <c r="D73" s="1376"/>
      <c r="E73" s="1376"/>
      <c r="F73" s="1376"/>
      <c r="G73" s="1376"/>
      <c r="H73" s="1376"/>
      <c r="I73" s="1397">
        <f>príjmy!J84</f>
        <v>5297.85</v>
      </c>
      <c r="J73" s="1445">
        <f>príjmy!K84</f>
        <v>5456.16</v>
      </c>
      <c r="K73" s="1445">
        <f>príjmy!L84</f>
        <v>5500</v>
      </c>
      <c r="L73" s="1446">
        <f>príjmy!M84</f>
        <v>0</v>
      </c>
      <c r="M73" s="1902">
        <f>príjmy!N84</f>
        <v>0</v>
      </c>
      <c r="N73" s="1770">
        <f>príjmy!O84</f>
        <v>0</v>
      </c>
      <c r="O73" s="1458">
        <f>príjmy!P84</f>
        <v>0</v>
      </c>
    </row>
    <row r="74" spans="1:15" ht="22.5" customHeight="1">
      <c r="A74" s="1378" t="s">
        <v>66</v>
      </c>
      <c r="B74" s="3115" t="s">
        <v>63</v>
      </c>
      <c r="C74" s="3115"/>
      <c r="D74" s="3115"/>
      <c r="E74" s="3115"/>
      <c r="F74" s="3115"/>
      <c r="G74" s="3115"/>
      <c r="H74" s="3116"/>
      <c r="I74" s="1396">
        <f>príjmy!J85</f>
        <v>0</v>
      </c>
      <c r="J74" s="1445">
        <f>príjmy!K85</f>
        <v>6401.6</v>
      </c>
      <c r="K74" s="1445">
        <f>príjmy!L85</f>
        <v>1000</v>
      </c>
      <c r="L74" s="1446">
        <f>príjmy!M85</f>
        <v>0</v>
      </c>
      <c r="M74" s="1902">
        <f>príjmy!N85</f>
        <v>2246</v>
      </c>
      <c r="N74" s="1770">
        <f>príjmy!O85</f>
        <v>0</v>
      </c>
      <c r="O74" s="1458">
        <f>príjmy!P85</f>
        <v>0</v>
      </c>
    </row>
    <row r="75" spans="1:15" ht="22.5" customHeight="1">
      <c r="A75" s="1378" t="s">
        <v>68</v>
      </c>
      <c r="B75" s="3115" t="s">
        <v>65</v>
      </c>
      <c r="C75" s="3115"/>
      <c r="D75" s="3115"/>
      <c r="E75" s="3115"/>
      <c r="F75" s="3115"/>
      <c r="G75" s="3115"/>
      <c r="H75" s="3116"/>
      <c r="I75" s="1396">
        <f>príjmy!J91</f>
        <v>9620</v>
      </c>
      <c r="J75" s="1445">
        <f>príjmy!K91</f>
        <v>0</v>
      </c>
      <c r="K75" s="1445">
        <f>príjmy!L91</f>
        <v>0</v>
      </c>
      <c r="L75" s="1446">
        <f>príjmy!M91</f>
        <v>0</v>
      </c>
      <c r="M75" s="1902">
        <f>príjmy!N91</f>
        <v>0</v>
      </c>
      <c r="N75" s="1770">
        <f>príjmy!O91</f>
        <v>0</v>
      </c>
      <c r="O75" s="1458">
        <f>príjmy!P91</f>
        <v>0</v>
      </c>
    </row>
    <row r="76" spans="1:15" ht="22.5" customHeight="1">
      <c r="A76" s="1378" t="s">
        <v>70</v>
      </c>
      <c r="B76" s="1375" t="s">
        <v>693</v>
      </c>
      <c r="C76" s="1375"/>
      <c r="D76" s="1375"/>
      <c r="E76" s="1375"/>
      <c r="F76" s="1375"/>
      <c r="G76" s="1375"/>
      <c r="H76" s="1375"/>
      <c r="I76" s="1396">
        <f>príjmy!J111</f>
        <v>3000</v>
      </c>
      <c r="J76" s="1445">
        <f>príjmy!K111</f>
        <v>3000</v>
      </c>
      <c r="K76" s="1445">
        <f>príjmy!L111</f>
        <v>3000</v>
      </c>
      <c r="L76" s="1446">
        <f>príjmy!M111</f>
        <v>3000</v>
      </c>
      <c r="M76" s="1902">
        <f>príjmy!N111</f>
        <v>3000</v>
      </c>
      <c r="N76" s="1770">
        <f>príjmy!O105</f>
        <v>330</v>
      </c>
      <c r="O76" s="1458">
        <f>príjmy!P105</f>
        <v>330</v>
      </c>
    </row>
    <row r="77" spans="1:15" ht="22.5" customHeight="1">
      <c r="A77" s="1378" t="s">
        <v>72</v>
      </c>
      <c r="B77" s="1375" t="s">
        <v>67</v>
      </c>
      <c r="C77" s="1375"/>
      <c r="D77" s="1375"/>
      <c r="E77" s="1375"/>
      <c r="F77" s="1375"/>
      <c r="G77" s="1375"/>
      <c r="H77" s="1375"/>
      <c r="I77" s="1396">
        <f>príjmy!J93</f>
        <v>3464</v>
      </c>
      <c r="J77" s="1445">
        <f>príjmy!K93</f>
        <v>0</v>
      </c>
      <c r="K77" s="1445">
        <f>príjmy!L93</f>
        <v>0</v>
      </c>
      <c r="L77" s="1446">
        <f>príjmy!M93+príjmy!M92</f>
        <v>0</v>
      </c>
      <c r="M77" s="1902">
        <f>príjmy!N93</f>
        <v>0</v>
      </c>
      <c r="N77" s="1770">
        <f>príjmy!O93</f>
        <v>0</v>
      </c>
      <c r="O77" s="1458">
        <f>príjmy!P93</f>
        <v>0</v>
      </c>
    </row>
    <row r="78" spans="1:15" ht="22.5" customHeight="1">
      <c r="A78" s="1378" t="s">
        <v>73</v>
      </c>
      <c r="B78" s="1375" t="s">
        <v>69</v>
      </c>
      <c r="C78" s="1375"/>
      <c r="D78" s="1375"/>
      <c r="E78" s="1375"/>
      <c r="F78" s="1375"/>
      <c r="G78" s="1375"/>
      <c r="H78" s="1375"/>
      <c r="I78" s="1396">
        <f>príjmy!J94</f>
        <v>8845</v>
      </c>
      <c r="J78" s="1445">
        <f>príjmy!K94</f>
        <v>0</v>
      </c>
      <c r="K78" s="1445">
        <f>príjmy!L94</f>
        <v>0</v>
      </c>
      <c r="L78" s="1446">
        <f>príjmy!M94</f>
        <v>0</v>
      </c>
      <c r="M78" s="1902">
        <f>príjmy!N94</f>
        <v>0</v>
      </c>
      <c r="N78" s="1770">
        <f>príjmy!O94</f>
        <v>0</v>
      </c>
      <c r="O78" s="1458">
        <f>príjmy!P94</f>
        <v>0</v>
      </c>
    </row>
    <row r="79" spans="1:15" ht="22.5" customHeight="1">
      <c r="A79" s="1378" t="s">
        <v>75</v>
      </c>
      <c r="B79" s="1375" t="s">
        <v>71</v>
      </c>
      <c r="C79" s="1375"/>
      <c r="D79" s="1375"/>
      <c r="E79" s="1375"/>
      <c r="F79" s="1375"/>
      <c r="G79" s="1375"/>
      <c r="H79" s="1375"/>
      <c r="I79" s="1396">
        <f>príjmy!J99</f>
        <v>1427.6</v>
      </c>
      <c r="J79" s="1445">
        <f>príjmy!K99</f>
        <v>0</v>
      </c>
      <c r="K79" s="1445">
        <f>príjmy!L99</f>
        <v>0</v>
      </c>
      <c r="L79" s="1446">
        <f>príjmy!M99</f>
        <v>0</v>
      </c>
      <c r="M79" s="1902">
        <f>príjmy!N99</f>
        <v>0</v>
      </c>
      <c r="N79" s="1770">
        <f>príjmy!O99</f>
        <v>0</v>
      </c>
      <c r="O79" s="1458">
        <f>príjmy!P99</f>
        <v>0</v>
      </c>
    </row>
    <row r="80" spans="1:15" ht="22.5" customHeight="1">
      <c r="A80" s="1378" t="s">
        <v>77</v>
      </c>
      <c r="B80" s="1375" t="s">
        <v>652</v>
      </c>
      <c r="C80" s="1375"/>
      <c r="D80" s="1375"/>
      <c r="E80" s="1375"/>
      <c r="F80" s="1375"/>
      <c r="G80" s="1375"/>
      <c r="H80" s="1375"/>
      <c r="I80" s="1396">
        <f>príjmy!J95</f>
        <v>3855.8</v>
      </c>
      <c r="J80" s="1445">
        <f>príjmy!K95</f>
        <v>3058.14</v>
      </c>
      <c r="K80" s="1445">
        <f>príjmy!L95</f>
        <v>3000</v>
      </c>
      <c r="L80" s="1446">
        <f>príjmy!M95</f>
        <v>5000</v>
      </c>
      <c r="M80" s="1902">
        <f>príjmy!N95</f>
        <v>3000</v>
      </c>
      <c r="N80" s="1770">
        <f>príjmy!O95</f>
        <v>3000</v>
      </c>
      <c r="O80" s="1458">
        <f>príjmy!P95</f>
        <v>3000</v>
      </c>
    </row>
    <row r="81" spans="1:15" ht="22.5" customHeight="1">
      <c r="A81" s="1378" t="s">
        <v>78</v>
      </c>
      <c r="B81" s="1375" t="s">
        <v>653</v>
      </c>
      <c r="C81" s="1375"/>
      <c r="D81" s="1375"/>
      <c r="E81" s="1375"/>
      <c r="F81" s="1375"/>
      <c r="G81" s="1375"/>
      <c r="H81" s="1375"/>
      <c r="I81" s="1396">
        <f>príjmy!J96</f>
        <v>2589.49</v>
      </c>
      <c r="J81" s="1445">
        <f>príjmy!K96</f>
        <v>0</v>
      </c>
      <c r="K81" s="1445">
        <f>príjmy!L96</f>
        <v>2000</v>
      </c>
      <c r="L81" s="1446">
        <f>príjmy!M96</f>
        <v>0</v>
      </c>
      <c r="M81" s="1902">
        <f>príjmy!N96</f>
        <v>1000</v>
      </c>
      <c r="N81" s="1770">
        <f>príjmy!O96</f>
        <v>1000</v>
      </c>
      <c r="O81" s="1458">
        <f>príjmy!P96</f>
        <v>1000</v>
      </c>
    </row>
    <row r="82" spans="1:15" ht="22.5" customHeight="1">
      <c r="A82" s="1378" t="s">
        <v>651</v>
      </c>
      <c r="B82" s="3115" t="s">
        <v>74</v>
      </c>
      <c r="C82" s="3115"/>
      <c r="D82" s="3115"/>
      <c r="E82" s="3115"/>
      <c r="F82" s="3115"/>
      <c r="G82" s="3115"/>
      <c r="H82" s="3116"/>
      <c r="I82" s="1396">
        <f>príjmy!J98</f>
        <v>7994.3</v>
      </c>
      <c r="J82" s="1445">
        <f>príjmy!K98</f>
        <v>5148.44</v>
      </c>
      <c r="K82" s="1445">
        <f>príjmy!L98</f>
        <v>0</v>
      </c>
      <c r="L82" s="1446">
        <f>príjmy!M98</f>
        <v>5437</v>
      </c>
      <c r="M82" s="1902">
        <f>príjmy!N98</f>
        <v>5500</v>
      </c>
      <c r="N82" s="1770">
        <f>príjmy!O98</f>
        <v>5500</v>
      </c>
      <c r="O82" s="1458">
        <f>príjmy!P98</f>
        <v>5500</v>
      </c>
    </row>
    <row r="83" spans="1:15" ht="22.5" customHeight="1">
      <c r="A83" s="1378" t="s">
        <v>654</v>
      </c>
      <c r="B83" s="1375" t="s">
        <v>76</v>
      </c>
      <c r="C83" s="1375"/>
      <c r="D83" s="1375"/>
      <c r="E83" s="1375"/>
      <c r="F83" s="1375"/>
      <c r="G83" s="1375"/>
      <c r="H83" s="1375"/>
      <c r="I83" s="1396">
        <f>príjmy!J79</f>
        <v>3400</v>
      </c>
      <c r="J83" s="1445">
        <f>príjmy!K79</f>
        <v>1500</v>
      </c>
      <c r="K83" s="1445">
        <f>príjmy!L79</f>
        <v>0</v>
      </c>
      <c r="L83" s="1446">
        <f>príjmy!M79</f>
        <v>0</v>
      </c>
      <c r="M83" s="1902">
        <f>príjmy!N79</f>
        <v>1500</v>
      </c>
      <c r="N83" s="1770">
        <f>príjmy!O79</f>
        <v>1500</v>
      </c>
      <c r="O83" s="1458">
        <f>príjmy!P79</f>
        <v>1500</v>
      </c>
    </row>
    <row r="84" spans="1:15" ht="22.5" customHeight="1">
      <c r="A84" s="1378" t="s">
        <v>655</v>
      </c>
      <c r="B84" s="1375" t="s">
        <v>811</v>
      </c>
      <c r="C84" s="1375"/>
      <c r="D84" s="1375"/>
      <c r="E84" s="1375"/>
      <c r="F84" s="1375"/>
      <c r="G84" s="1375"/>
      <c r="H84" s="1375"/>
      <c r="I84" s="1396">
        <f>príjmy!J100</f>
        <v>8250</v>
      </c>
      <c r="J84" s="1445">
        <f>príjmy!K100</f>
        <v>0</v>
      </c>
      <c r="K84" s="1445">
        <f>príjmy!L100</f>
        <v>0</v>
      </c>
      <c r="L84" s="1446">
        <f>príjmy!M100</f>
        <v>0</v>
      </c>
      <c r="M84" s="1902">
        <f>príjmy!N100</f>
        <v>0</v>
      </c>
      <c r="N84" s="1770">
        <f>príjmy!O100</f>
        <v>0</v>
      </c>
      <c r="O84" s="1458">
        <f>príjmy!P100</f>
        <v>0</v>
      </c>
    </row>
    <row r="85" spans="1:15" ht="22.5" customHeight="1">
      <c r="A85" s="1378" t="s">
        <v>656</v>
      </c>
      <c r="B85" s="3155" t="s">
        <v>786</v>
      </c>
      <c r="C85" s="3155"/>
      <c r="D85" s="3155"/>
      <c r="E85" s="3155"/>
      <c r="F85" s="3155"/>
      <c r="G85" s="3155"/>
      <c r="H85" s="3156"/>
      <c r="I85" s="1397">
        <f>príjmy!J101+príjmy!J92</f>
        <v>16500</v>
      </c>
      <c r="J85" s="1445">
        <f>príjmy!K105</f>
        <v>297.97</v>
      </c>
      <c r="K85" s="1445">
        <f>príjmy!L101</f>
        <v>0</v>
      </c>
      <c r="L85" s="1446">
        <f>príjmy!M105</f>
        <v>300</v>
      </c>
      <c r="M85" s="1902">
        <f>príjmy!N105</f>
        <v>320</v>
      </c>
      <c r="N85" s="1770">
        <f>príjmy!O105</f>
        <v>330</v>
      </c>
      <c r="O85" s="1458">
        <f>príjmy!P105</f>
        <v>330</v>
      </c>
    </row>
    <row r="86" spans="1:15" ht="22.5" customHeight="1">
      <c r="A86" s="1380">
        <v>43160</v>
      </c>
      <c r="B86" s="1374" t="s">
        <v>79</v>
      </c>
      <c r="C86" s="1374"/>
      <c r="D86" s="1374"/>
      <c r="E86" s="1374"/>
      <c r="F86" s="1374"/>
      <c r="G86" s="1374"/>
      <c r="H86" s="1374"/>
      <c r="I86" s="1395">
        <f>príjmy!J102</f>
        <v>1849.05</v>
      </c>
      <c r="J86" s="1445">
        <f>príjmy!K102</f>
        <v>2072.44</v>
      </c>
      <c r="K86" s="1445">
        <f>príjmy!L102</f>
        <v>3000</v>
      </c>
      <c r="L86" s="1446">
        <f>príjmy!M102</f>
        <v>5368</v>
      </c>
      <c r="M86" s="1902">
        <f>príjmy!N102</f>
        <v>1500</v>
      </c>
      <c r="N86" s="1770">
        <f>príjmy!O102</f>
        <v>0</v>
      </c>
      <c r="O86" s="1458">
        <f>príjmy!P102</f>
        <v>0</v>
      </c>
    </row>
    <row r="87" spans="1:15" ht="22.5" customHeight="1">
      <c r="A87" s="1380">
        <v>43525</v>
      </c>
      <c r="B87" s="1374" t="s">
        <v>147</v>
      </c>
      <c r="C87" s="1374"/>
      <c r="D87" s="1374"/>
      <c r="E87" s="1374"/>
      <c r="F87" s="1374"/>
      <c r="G87" s="1374"/>
      <c r="H87" s="1374"/>
      <c r="I87" s="1395">
        <f>príjmy!J105</f>
        <v>270</v>
      </c>
      <c r="J87" s="1445">
        <f>príjmy!K105</f>
        <v>297.97</v>
      </c>
      <c r="K87" s="1445">
        <f>príjmy!L105</f>
        <v>300</v>
      </c>
      <c r="L87" s="1446">
        <f>príjmy!M105</f>
        <v>300</v>
      </c>
      <c r="M87" s="1902">
        <v>0</v>
      </c>
      <c r="N87" s="1770">
        <v>0</v>
      </c>
      <c r="O87" s="1458">
        <v>0</v>
      </c>
    </row>
    <row r="88" spans="1:15" ht="22.5" customHeight="1">
      <c r="A88" s="1380">
        <v>43891</v>
      </c>
      <c r="B88" s="1374" t="s">
        <v>658</v>
      </c>
      <c r="C88" s="1374"/>
      <c r="D88" s="1374"/>
      <c r="E88" s="1374"/>
      <c r="F88" s="1374"/>
      <c r="G88" s="1374"/>
      <c r="H88" s="1374"/>
      <c r="I88" s="1395">
        <f>príjmy!J104</f>
        <v>35984.12</v>
      </c>
      <c r="J88" s="1445">
        <f>príjmy!K104</f>
        <v>37286.8</v>
      </c>
      <c r="K88" s="1445">
        <f>príjmy!L104</f>
        <v>15000</v>
      </c>
      <c r="L88" s="1446">
        <f>príjmy!M104</f>
        <v>29389</v>
      </c>
      <c r="M88" s="1902">
        <f>príjmy!N104</f>
        <v>40000</v>
      </c>
      <c r="N88" s="1770">
        <f>príjmy!O104</f>
        <v>41000</v>
      </c>
      <c r="O88" s="1458">
        <f>príjmy!P104</f>
        <v>42000</v>
      </c>
    </row>
    <row r="89" spans="1:15" ht="22.5" customHeight="1">
      <c r="A89" s="1380">
        <v>44256</v>
      </c>
      <c r="B89" s="1374" t="s">
        <v>647</v>
      </c>
      <c r="C89" s="1374"/>
      <c r="D89" s="1374"/>
      <c r="E89" s="1374"/>
      <c r="F89" s="1374"/>
      <c r="G89" s="1374"/>
      <c r="H89" s="1374"/>
      <c r="I89" s="1395">
        <f>príjmy!J112</f>
        <v>483</v>
      </c>
      <c r="J89" s="1445">
        <f>príjmy!K112</f>
        <v>0</v>
      </c>
      <c r="K89" s="1445">
        <f>príjmy!L112</f>
        <v>0</v>
      </c>
      <c r="L89" s="1446">
        <f>príjmy!M103</f>
        <v>0</v>
      </c>
      <c r="M89" s="1902">
        <f>príjmy!N112</f>
        <v>0</v>
      </c>
      <c r="N89" s="1770">
        <f>príjmy!O112</f>
        <v>0</v>
      </c>
      <c r="O89" s="1458">
        <f>príjmy!P112</f>
        <v>0</v>
      </c>
    </row>
    <row r="90" spans="1:15" ht="22.5" customHeight="1">
      <c r="A90" s="1767" t="s">
        <v>657</v>
      </c>
      <c r="B90" s="1764" t="s">
        <v>702</v>
      </c>
      <c r="C90" s="1764"/>
      <c r="D90" s="1764"/>
      <c r="E90" s="1764"/>
      <c r="F90" s="1764"/>
      <c r="G90" s="1764"/>
      <c r="H90" s="1765"/>
      <c r="I90" s="1766">
        <f>príjmy!J108</f>
        <v>11271.88</v>
      </c>
      <c r="J90" s="1445">
        <f>príjmy!K108</f>
        <v>18639.64</v>
      </c>
      <c r="K90" s="1445">
        <f>príjmy!L108</f>
        <v>10000</v>
      </c>
      <c r="L90" s="1446">
        <f>príjmy!M108</f>
        <v>19168</v>
      </c>
      <c r="M90" s="1902">
        <f>príjmy!N108</f>
        <v>26000</v>
      </c>
      <c r="N90" s="1770">
        <f>príjmy!O108</f>
        <v>27000</v>
      </c>
      <c r="O90" s="1458">
        <f>príjmy!P108</f>
        <v>28000</v>
      </c>
    </row>
    <row r="91" spans="1:15" ht="22.5" customHeight="1">
      <c r="A91" s="1398" t="s">
        <v>717</v>
      </c>
      <c r="B91" s="1382" t="s">
        <v>645</v>
      </c>
      <c r="C91" s="1382"/>
      <c r="D91" s="1382"/>
      <c r="E91" s="1382"/>
      <c r="F91" s="1382"/>
      <c r="G91" s="1382"/>
      <c r="H91" s="1455"/>
      <c r="I91" s="1391"/>
      <c r="J91" s="1445">
        <v>72</v>
      </c>
      <c r="K91" s="1445"/>
      <c r="L91" s="1446"/>
      <c r="M91" s="1902"/>
      <c r="N91" s="1770"/>
      <c r="O91" s="1446"/>
    </row>
    <row r="92" spans="1:15" ht="22.5" customHeight="1">
      <c r="A92" s="2393" t="s">
        <v>718</v>
      </c>
      <c r="B92" s="2395" t="s">
        <v>774</v>
      </c>
      <c r="C92" s="2395"/>
      <c r="D92" s="2395"/>
      <c r="E92" s="2395"/>
      <c r="F92" s="2395"/>
      <c r="G92" s="2395"/>
      <c r="H92" s="2396"/>
      <c r="I92" s="1480"/>
      <c r="J92" s="1481">
        <f>príjmy!K107</f>
        <v>0</v>
      </c>
      <c r="K92" s="1481">
        <f>príjmy!L107</f>
        <v>0</v>
      </c>
      <c r="L92" s="1484">
        <f>príjmy!M107</f>
        <v>0</v>
      </c>
      <c r="M92" s="1904">
        <f>príjmy!N107</f>
        <v>0</v>
      </c>
      <c r="N92" s="2397"/>
      <c r="O92" s="1484"/>
    </row>
    <row r="93" spans="1:15" ht="22.5" customHeight="1">
      <c r="A93" s="2394" t="s">
        <v>812</v>
      </c>
      <c r="B93" s="1454" t="s">
        <v>813</v>
      </c>
      <c r="C93" s="1382"/>
      <c r="D93" s="1382"/>
      <c r="E93" s="1382"/>
      <c r="F93" s="1382"/>
      <c r="G93" s="1382"/>
      <c r="H93" s="1455"/>
      <c r="I93" s="1391"/>
      <c r="J93" s="1445">
        <f>príjmy!K92</f>
        <v>16630</v>
      </c>
      <c r="K93" s="1445">
        <f>príjmy!L92</f>
        <v>0</v>
      </c>
      <c r="L93" s="1445"/>
      <c r="M93" s="2398">
        <f>príjmy!N92</f>
        <v>0</v>
      </c>
      <c r="N93" s="1445">
        <f>príjmy!O92</f>
        <v>0</v>
      </c>
      <c r="O93" s="1445">
        <f>príjmy!P92</f>
        <v>0</v>
      </c>
    </row>
    <row r="94" spans="1:15" ht="22.5" customHeight="1">
      <c r="A94" s="1761"/>
      <c r="B94" s="1376"/>
      <c r="C94" s="1376"/>
      <c r="D94" s="1376"/>
      <c r="E94" s="1376"/>
      <c r="F94" s="1376"/>
      <c r="G94" s="1376"/>
      <c r="H94" s="1376"/>
      <c r="I94" s="1762"/>
      <c r="J94" s="1763"/>
      <c r="K94" s="1763"/>
      <c r="L94" s="1763"/>
      <c r="M94" s="1763"/>
      <c r="N94" s="1763"/>
      <c r="O94" s="1763"/>
    </row>
    <row r="95" spans="1:15" ht="22.5" customHeight="1">
      <c r="A95" s="1761"/>
      <c r="B95" s="1376"/>
      <c r="C95" s="1376"/>
      <c r="D95" s="1376"/>
      <c r="E95" s="1376"/>
      <c r="F95" s="1376"/>
      <c r="G95" s="1376"/>
      <c r="H95" s="1376"/>
      <c r="I95" s="1762"/>
      <c r="J95" s="1763"/>
      <c r="K95" s="1763"/>
      <c r="L95" s="1763"/>
      <c r="M95" s="1763"/>
      <c r="N95" s="1763"/>
      <c r="O95" s="1763"/>
    </row>
    <row r="96" spans="1:15" ht="22.5" customHeight="1">
      <c r="A96" s="1761"/>
      <c r="B96" s="1376"/>
      <c r="C96" s="1376"/>
      <c r="D96" s="1376"/>
      <c r="E96" s="1376"/>
      <c r="F96" s="1376"/>
      <c r="G96" s="1376"/>
      <c r="H96" s="1376"/>
      <c r="I96" s="1762"/>
      <c r="J96" s="1763"/>
      <c r="K96" s="1763"/>
      <c r="L96" s="1763"/>
      <c r="M96" s="1763"/>
      <c r="N96" s="1763"/>
      <c r="O96" s="1763"/>
    </row>
    <row r="97" spans="1:15" ht="22.5" customHeight="1">
      <c r="A97" s="1761"/>
      <c r="B97" s="1376"/>
      <c r="C97" s="1376"/>
      <c r="D97" s="1376"/>
      <c r="E97" s="1376"/>
      <c r="F97" s="1376"/>
      <c r="G97" s="1376"/>
      <c r="H97" s="1376"/>
      <c r="I97" s="1762"/>
      <c r="J97" s="1763"/>
      <c r="K97" s="1763"/>
      <c r="L97" s="1763"/>
      <c r="M97" s="1763"/>
      <c r="N97" s="1763"/>
      <c r="O97" s="1763"/>
    </row>
    <row r="98" spans="1:15" ht="22.5" customHeight="1">
      <c r="A98" s="1761"/>
      <c r="B98" s="1376"/>
      <c r="C98" s="1376"/>
      <c r="D98" s="1376"/>
      <c r="E98" s="1376"/>
      <c r="F98" s="1376"/>
      <c r="G98" s="1376"/>
      <c r="H98" s="1376"/>
      <c r="I98" s="1762"/>
      <c r="J98" s="1763"/>
      <c r="K98" s="1763"/>
      <c r="L98" s="1763"/>
      <c r="M98" s="1763"/>
      <c r="N98" s="1763"/>
      <c r="O98" s="1763"/>
    </row>
    <row r="99" spans="1:15" ht="22.5" customHeight="1">
      <c r="A99" s="1761"/>
      <c r="B99" s="1376"/>
      <c r="C99" s="1376"/>
      <c r="D99" s="1376"/>
      <c r="E99" s="1376"/>
      <c r="F99" s="1376"/>
      <c r="G99" s="1376"/>
      <c r="H99" s="1376"/>
      <c r="I99" s="1762"/>
      <c r="J99" s="1763"/>
      <c r="K99" s="1763"/>
      <c r="L99" s="1763"/>
      <c r="M99" s="1763"/>
      <c r="N99" s="1763"/>
      <c r="O99" s="1763"/>
    </row>
    <row r="100" spans="1:15" ht="22.5" customHeight="1">
      <c r="A100" s="1761"/>
      <c r="B100" s="1376"/>
      <c r="C100" s="1376"/>
      <c r="D100" s="1376"/>
      <c r="E100" s="1376"/>
      <c r="F100" s="1376"/>
      <c r="G100" s="1376"/>
      <c r="H100" s="1376"/>
      <c r="I100" s="1762"/>
      <c r="J100" s="1763"/>
      <c r="K100" s="1763"/>
      <c r="L100" s="1763"/>
      <c r="M100" s="1763"/>
      <c r="N100" s="1763"/>
      <c r="O100" s="1763"/>
    </row>
    <row r="101" spans="1:15" ht="22.5" customHeight="1">
      <c r="A101" s="1761"/>
      <c r="B101" s="1376"/>
      <c r="C101" s="1376"/>
      <c r="D101" s="1376"/>
      <c r="E101" s="1376"/>
      <c r="F101" s="1376"/>
      <c r="G101" s="1376"/>
      <c r="H101" s="1376"/>
      <c r="I101" s="1762"/>
      <c r="J101" s="1763"/>
      <c r="K101" s="1763"/>
      <c r="L101" s="1763"/>
      <c r="M101" s="1763"/>
      <c r="N101" s="1763"/>
      <c r="O101" s="1763"/>
    </row>
    <row r="102" spans="1:15" ht="22.5" customHeight="1">
      <c r="A102" s="1761"/>
      <c r="B102" s="1376"/>
      <c r="C102" s="1376"/>
      <c r="D102" s="1376"/>
      <c r="E102" s="1376"/>
      <c r="F102" s="1376"/>
      <c r="G102" s="1376"/>
      <c r="H102" s="1376"/>
      <c r="I102" s="1762"/>
      <c r="J102" s="1763"/>
      <c r="K102" s="1763"/>
      <c r="L102" s="1763"/>
      <c r="M102" s="1763"/>
      <c r="N102" s="1763"/>
      <c r="O102" s="1763"/>
    </row>
    <row r="103" spans="1:15" ht="22.5" customHeight="1">
      <c r="A103" s="1761"/>
      <c r="B103" s="1376"/>
      <c r="C103" s="1376"/>
      <c r="D103" s="1376"/>
      <c r="E103" s="1376"/>
      <c r="F103" s="1376"/>
      <c r="G103" s="1376"/>
      <c r="H103" s="1376"/>
      <c r="I103" s="1762"/>
      <c r="J103" s="1763"/>
      <c r="K103" s="1763"/>
      <c r="L103" s="1763"/>
      <c r="M103" s="1763"/>
      <c r="N103" s="1763"/>
      <c r="O103" s="1763"/>
    </row>
    <row r="104" spans="1:15" ht="22.5" customHeight="1">
      <c r="A104" s="1761"/>
      <c r="B104" s="1376"/>
      <c r="C104" s="1376"/>
      <c r="D104" s="1376"/>
      <c r="E104" s="1376"/>
      <c r="F104" s="1376"/>
      <c r="G104" s="1376"/>
      <c r="H104" s="1376"/>
      <c r="I104" s="1762"/>
      <c r="J104" s="1763"/>
      <c r="K104" s="1763"/>
      <c r="L104" s="1763"/>
      <c r="M104" s="1763"/>
      <c r="N104" s="1763"/>
      <c r="O104" s="1763"/>
    </row>
    <row r="105" spans="1:9" ht="15.75" thickBot="1">
      <c r="A105" s="3"/>
      <c r="B105" s="4"/>
      <c r="C105" s="4"/>
      <c r="D105" s="4"/>
      <c r="E105" s="4"/>
      <c r="F105" s="4"/>
      <c r="G105" s="4"/>
      <c r="H105" s="4"/>
      <c r="I105" s="10"/>
    </row>
    <row r="106" spans="1:15" ht="15.75" thickBot="1">
      <c r="A106" s="3120" t="s">
        <v>80</v>
      </c>
      <c r="B106" s="3121"/>
      <c r="C106" s="3121"/>
      <c r="D106" s="3121"/>
      <c r="E106" s="3121"/>
      <c r="F106" s="3121"/>
      <c r="G106" s="3121"/>
      <c r="H106" s="3122"/>
      <c r="I106" s="1467">
        <f>SUM(I108,I113)</f>
        <v>6310</v>
      </c>
      <c r="J106" s="1473">
        <f aca="true" t="shared" si="3" ref="J106:O106">J108+J113</f>
        <v>2574326.46</v>
      </c>
      <c r="K106" s="2241">
        <f t="shared" si="3"/>
        <v>6968351</v>
      </c>
      <c r="L106" s="1469">
        <f t="shared" si="3"/>
        <v>5778680</v>
      </c>
      <c r="M106" s="1470">
        <f t="shared" si="3"/>
        <v>3875207</v>
      </c>
      <c r="N106" s="1471">
        <f t="shared" si="3"/>
        <v>0</v>
      </c>
      <c r="O106" s="1468">
        <f t="shared" si="3"/>
        <v>0</v>
      </c>
    </row>
    <row r="107" spans="1:9" ht="15.75" thickBot="1">
      <c r="A107" s="3"/>
      <c r="B107" s="4"/>
      <c r="C107" s="4"/>
      <c r="D107" s="4"/>
      <c r="E107" s="4"/>
      <c r="F107" s="4"/>
      <c r="G107" s="4"/>
      <c r="H107" s="4"/>
      <c r="I107" s="13"/>
    </row>
    <row r="108" spans="1:15" ht="15">
      <c r="A108" s="3132" t="s">
        <v>81</v>
      </c>
      <c r="B108" s="3133"/>
      <c r="C108" s="3133"/>
      <c r="D108" s="3133"/>
      <c r="E108" s="3133"/>
      <c r="F108" s="3133"/>
      <c r="G108" s="3133"/>
      <c r="H108" s="3134"/>
      <c r="I108" s="1388">
        <f>SUM(I110,I111)</f>
        <v>6310</v>
      </c>
      <c r="J108" s="1474">
        <f aca="true" t="shared" si="4" ref="J108:O108">J110+J111</f>
        <v>10196.8</v>
      </c>
      <c r="K108" s="1474">
        <f t="shared" si="4"/>
        <v>0</v>
      </c>
      <c r="L108" s="1475">
        <f t="shared" si="4"/>
        <v>3380</v>
      </c>
      <c r="M108" s="1476">
        <f t="shared" si="4"/>
        <v>0</v>
      </c>
      <c r="N108" s="1477">
        <f t="shared" si="4"/>
        <v>0</v>
      </c>
      <c r="O108" s="1475">
        <f t="shared" si="4"/>
        <v>0</v>
      </c>
    </row>
    <row r="109" spans="1:15" ht="15">
      <c r="A109" s="1383"/>
      <c r="B109" s="1384"/>
      <c r="C109" s="1384"/>
      <c r="D109" s="1384"/>
      <c r="E109" s="1384"/>
      <c r="F109" s="1384"/>
      <c r="G109" s="1384"/>
      <c r="H109" s="1384"/>
      <c r="I109" s="1427">
        <v>2016</v>
      </c>
      <c r="J109" s="1427">
        <v>2017</v>
      </c>
      <c r="K109" s="1427">
        <v>2018</v>
      </c>
      <c r="L109" s="1428" t="s">
        <v>790</v>
      </c>
      <c r="M109" s="1466">
        <v>2019</v>
      </c>
      <c r="N109" s="1429">
        <v>2020</v>
      </c>
      <c r="O109" s="1430">
        <v>2021</v>
      </c>
    </row>
    <row r="110" spans="1:15" ht="22.5" customHeight="1">
      <c r="A110" s="1377" t="s">
        <v>3</v>
      </c>
      <c r="B110" s="3166" t="s">
        <v>660</v>
      </c>
      <c r="C110" s="3166"/>
      <c r="D110" s="3166"/>
      <c r="E110" s="3166"/>
      <c r="F110" s="3166"/>
      <c r="G110" s="3166"/>
      <c r="H110" s="3166"/>
      <c r="I110" s="1391">
        <f>príjmy!J127</f>
        <v>500</v>
      </c>
      <c r="J110" s="1445">
        <f>príjmy!K127</f>
        <v>0</v>
      </c>
      <c r="K110" s="1445">
        <f>príjmy!L127</f>
        <v>0</v>
      </c>
      <c r="L110" s="1446">
        <f>príjmy!M127</f>
        <v>0</v>
      </c>
      <c r="M110" s="1902">
        <f>príjmy!N127</f>
        <v>0</v>
      </c>
      <c r="N110" s="1457">
        <f>príjmy!O127</f>
        <v>0</v>
      </c>
      <c r="O110" s="1446">
        <f>príjmy!P127</f>
        <v>0</v>
      </c>
    </row>
    <row r="111" spans="1:15" ht="22.5" customHeight="1" thickBot="1">
      <c r="A111" s="1386" t="s">
        <v>6</v>
      </c>
      <c r="B111" s="1387" t="s">
        <v>659</v>
      </c>
      <c r="C111" s="1387"/>
      <c r="D111" s="1387"/>
      <c r="E111" s="1387"/>
      <c r="F111" s="1387"/>
      <c r="G111" s="1387"/>
      <c r="H111" s="1387"/>
      <c r="I111" s="1394">
        <f>príjmy!J128</f>
        <v>5810</v>
      </c>
      <c r="J111" s="1459">
        <f>príjmy!K128</f>
        <v>10196.8</v>
      </c>
      <c r="K111" s="1459">
        <f>príjmy!L128</f>
        <v>0</v>
      </c>
      <c r="L111" s="1478">
        <f>príjmy!M128</f>
        <v>3380</v>
      </c>
      <c r="M111" s="1903">
        <f>príjmy!N128</f>
        <v>0</v>
      </c>
      <c r="N111" s="1461">
        <f>príjmy!O128</f>
        <v>0</v>
      </c>
      <c r="O111" s="1478">
        <f>príjmy!P128</f>
        <v>0</v>
      </c>
    </row>
    <row r="112" spans="1:9" ht="13.5" thickBot="1">
      <c r="A112" s="11"/>
      <c r="B112" s="12"/>
      <c r="C112" s="12"/>
      <c r="D112" s="12"/>
      <c r="E112" s="12"/>
      <c r="F112" s="12"/>
      <c r="G112" s="12"/>
      <c r="H112" s="12"/>
      <c r="I112" s="13"/>
    </row>
    <row r="113" spans="1:15" ht="15">
      <c r="A113" s="3132" t="s">
        <v>82</v>
      </c>
      <c r="B113" s="3133"/>
      <c r="C113" s="3133"/>
      <c r="D113" s="3133"/>
      <c r="E113" s="3133"/>
      <c r="F113" s="3133"/>
      <c r="G113" s="3133"/>
      <c r="H113" s="3133"/>
      <c r="I113" s="1388">
        <f>SUM(I115,I116,I117,I118,I119,I120,I121)</f>
        <v>0</v>
      </c>
      <c r="J113" s="1474">
        <f aca="true" t="shared" si="5" ref="J113:O113">SUM(J115:J121)</f>
        <v>2564129.66</v>
      </c>
      <c r="K113" s="2240">
        <f t="shared" si="5"/>
        <v>6968351</v>
      </c>
      <c r="L113" s="1479">
        <f t="shared" si="5"/>
        <v>5775300</v>
      </c>
      <c r="M113" s="1476">
        <f t="shared" si="5"/>
        <v>3875207</v>
      </c>
      <c r="N113" s="1477">
        <f t="shared" si="5"/>
        <v>0</v>
      </c>
      <c r="O113" s="1475">
        <f t="shared" si="5"/>
        <v>0</v>
      </c>
    </row>
    <row r="114" spans="1:15" ht="15">
      <c r="A114" s="1383"/>
      <c r="B114" s="1384"/>
      <c r="C114" s="1384"/>
      <c r="D114" s="1384"/>
      <c r="E114" s="1384"/>
      <c r="F114" s="1384"/>
      <c r="G114" s="1384"/>
      <c r="H114" s="1384"/>
      <c r="I114" s="1427">
        <v>2016</v>
      </c>
      <c r="J114" s="1427">
        <v>2017</v>
      </c>
      <c r="K114" s="1427">
        <v>2018</v>
      </c>
      <c r="L114" s="1428" t="s">
        <v>790</v>
      </c>
      <c r="M114" s="1466">
        <v>2019</v>
      </c>
      <c r="N114" s="1429">
        <v>2020</v>
      </c>
      <c r="O114" s="1430">
        <v>2021</v>
      </c>
    </row>
    <row r="115" spans="1:15" ht="12.75">
      <c r="A115" s="1389" t="s">
        <v>24</v>
      </c>
      <c r="B115" s="1375" t="s">
        <v>83</v>
      </c>
      <c r="C115" s="1375"/>
      <c r="D115" s="1375"/>
      <c r="E115" s="1375"/>
      <c r="F115" s="1375"/>
      <c r="G115" s="1375"/>
      <c r="H115" s="1375"/>
      <c r="I115" s="1391">
        <f>príjmy!J134</f>
        <v>0</v>
      </c>
      <c r="J115" s="1445">
        <f>príjmy!K134</f>
        <v>155941.22</v>
      </c>
      <c r="K115" s="1445">
        <f>príjmy!L134</f>
        <v>168351</v>
      </c>
      <c r="L115" s="1456">
        <f>príjmy!M134</f>
        <v>159975</v>
      </c>
      <c r="M115" s="1902">
        <f>príjmy!N134</f>
        <v>0</v>
      </c>
      <c r="N115" s="1457">
        <f>príjmy!O134</f>
        <v>0</v>
      </c>
      <c r="O115" s="1446">
        <f>príjmy!P134</f>
        <v>0</v>
      </c>
    </row>
    <row r="116" spans="1:15" ht="12.75">
      <c r="A116" s="1389" t="s">
        <v>27</v>
      </c>
      <c r="B116" s="1375" t="s">
        <v>84</v>
      </c>
      <c r="C116" s="1375"/>
      <c r="D116" s="1375"/>
      <c r="E116" s="1375"/>
      <c r="F116" s="1375"/>
      <c r="G116" s="1375"/>
      <c r="H116" s="1375"/>
      <c r="I116" s="1391">
        <f>príjmy!J135</f>
        <v>0</v>
      </c>
      <c r="J116" s="1445">
        <f>príjmy!K135</f>
        <v>2393188.44</v>
      </c>
      <c r="K116" s="1445">
        <f>príjmy!L135</f>
        <v>6800000</v>
      </c>
      <c r="L116" s="1456">
        <f>príjmy!M135</f>
        <v>5615325</v>
      </c>
      <c r="M116" s="1902">
        <f>príjmy!N135</f>
        <v>3875207</v>
      </c>
      <c r="N116" s="1457">
        <f>príjmy!O135</f>
        <v>0</v>
      </c>
      <c r="O116" s="1446">
        <f>príjmy!P135</f>
        <v>0</v>
      </c>
    </row>
    <row r="117" spans="1:15" ht="12.75">
      <c r="A117" s="1389" t="s">
        <v>30</v>
      </c>
      <c r="B117" s="1375" t="s">
        <v>85</v>
      </c>
      <c r="C117" s="1375"/>
      <c r="D117" s="1375"/>
      <c r="E117" s="1375"/>
      <c r="F117" s="1375"/>
      <c r="G117" s="1375"/>
      <c r="H117" s="1375"/>
      <c r="I117" s="1391">
        <f>príjmy!J136</f>
        <v>0</v>
      </c>
      <c r="J117" s="1445">
        <f>príjmy!K136</f>
        <v>0</v>
      </c>
      <c r="K117" s="1445">
        <f>príjmy!L136</f>
        <v>0</v>
      </c>
      <c r="L117" s="1456">
        <f>príjmy!M136</f>
        <v>0</v>
      </c>
      <c r="M117" s="1902">
        <f>príjmy!N136</f>
        <v>0</v>
      </c>
      <c r="N117" s="1457">
        <f>príjmy!O136</f>
        <v>0</v>
      </c>
      <c r="O117" s="1446">
        <f>príjmy!P136</f>
        <v>0</v>
      </c>
    </row>
    <row r="118" spans="1:15" ht="12.75">
      <c r="A118" s="1389" t="s">
        <v>33</v>
      </c>
      <c r="B118" s="1375" t="s">
        <v>86</v>
      </c>
      <c r="C118" s="1375"/>
      <c r="D118" s="1375"/>
      <c r="E118" s="1375"/>
      <c r="F118" s="1375"/>
      <c r="G118" s="1375"/>
      <c r="H118" s="1375"/>
      <c r="I118" s="1391">
        <f>príjmy!J140</f>
        <v>0</v>
      </c>
      <c r="J118" s="1445">
        <f>príjmy!K140</f>
        <v>0</v>
      </c>
      <c r="K118" s="1445">
        <f>príjmy!L140</f>
        <v>0</v>
      </c>
      <c r="L118" s="1456">
        <f>príjmy!M140</f>
        <v>0</v>
      </c>
      <c r="M118" s="1902">
        <f>príjmy!N140</f>
        <v>0</v>
      </c>
      <c r="N118" s="1457">
        <f>príjmy!O140</f>
        <v>0</v>
      </c>
      <c r="O118" s="1446">
        <f>príjmy!P140</f>
        <v>0</v>
      </c>
    </row>
    <row r="119" spans="1:15" ht="12.75">
      <c r="A119" s="1389" t="s">
        <v>36</v>
      </c>
      <c r="B119" s="1375" t="s">
        <v>87</v>
      </c>
      <c r="C119" s="1375"/>
      <c r="D119" s="1375"/>
      <c r="E119" s="1375"/>
      <c r="F119" s="1375"/>
      <c r="G119" s="1375"/>
      <c r="H119" s="1375"/>
      <c r="I119" s="1391">
        <f>príjmy!J138</f>
        <v>0</v>
      </c>
      <c r="J119" s="1445">
        <f>príjmy!K138</f>
        <v>10000</v>
      </c>
      <c r="K119" s="1445">
        <f>príjmy!L138</f>
        <v>0</v>
      </c>
      <c r="L119" s="1456">
        <f>príjmy!M138</f>
        <v>0</v>
      </c>
      <c r="M119" s="1902">
        <f>príjmy!N138</f>
        <v>0</v>
      </c>
      <c r="N119" s="1457">
        <f>príjmy!O138</f>
        <v>0</v>
      </c>
      <c r="O119" s="1446">
        <f>príjmy!P138</f>
        <v>0</v>
      </c>
    </row>
    <row r="120" spans="1:15" ht="12.75">
      <c r="A120" s="1389" t="s">
        <v>39</v>
      </c>
      <c r="B120" s="1375" t="s">
        <v>88</v>
      </c>
      <c r="C120" s="1375"/>
      <c r="D120" s="1375"/>
      <c r="E120" s="1375"/>
      <c r="F120" s="1375"/>
      <c r="G120" s="1375"/>
      <c r="H120" s="1375"/>
      <c r="I120" s="1391">
        <f>príjmy!J141</f>
        <v>0</v>
      </c>
      <c r="J120" s="1445">
        <f>príjmy!K141</f>
        <v>0</v>
      </c>
      <c r="K120" s="1445">
        <f>príjmy!L141</f>
        <v>0</v>
      </c>
      <c r="L120" s="1456">
        <f>príjmy!M141</f>
        <v>0</v>
      </c>
      <c r="M120" s="1902">
        <f>príjmy!N141</f>
        <v>0</v>
      </c>
      <c r="N120" s="1457">
        <f>príjmy!O141</f>
        <v>0</v>
      </c>
      <c r="O120" s="1446">
        <f>príjmy!P141</f>
        <v>0</v>
      </c>
    </row>
    <row r="121" spans="1:15" ht="13.5" thickBot="1">
      <c r="A121" s="1390" t="s">
        <v>41</v>
      </c>
      <c r="B121" s="1381" t="s">
        <v>89</v>
      </c>
      <c r="C121" s="1381"/>
      <c r="D121" s="1381"/>
      <c r="E121" s="1381"/>
      <c r="F121" s="1381"/>
      <c r="G121" s="1381"/>
      <c r="H121" s="1381"/>
      <c r="I121" s="1393">
        <f>príjmy!J143+príjmy!J144</f>
        <v>0</v>
      </c>
      <c r="J121" s="1459">
        <f>príjmy!K143</f>
        <v>5000</v>
      </c>
      <c r="K121" s="1459">
        <f>príjmy!L143</f>
        <v>0</v>
      </c>
      <c r="L121" s="1460">
        <f>príjmy!M143</f>
        <v>0</v>
      </c>
      <c r="M121" s="1903">
        <f>príjmy!N143</f>
        <v>0</v>
      </c>
      <c r="N121" s="1461">
        <f>príjmy!O143</f>
        <v>0</v>
      </c>
      <c r="O121" s="1478">
        <f>príjmy!P143</f>
        <v>0</v>
      </c>
    </row>
    <row r="122" spans="1:9" ht="12.75">
      <c r="A122" s="11"/>
      <c r="B122" s="12"/>
      <c r="C122" s="12"/>
      <c r="D122" s="12"/>
      <c r="E122" s="12"/>
      <c r="F122" s="12"/>
      <c r="G122" s="12"/>
      <c r="H122" s="12"/>
      <c r="I122" s="13"/>
    </row>
    <row r="123" spans="1:9" ht="12.75" hidden="1">
      <c r="A123" s="11"/>
      <c r="B123" s="12"/>
      <c r="C123" s="12"/>
      <c r="D123" s="12"/>
      <c r="E123" s="12"/>
      <c r="F123" s="12"/>
      <c r="G123" s="12"/>
      <c r="H123" s="12"/>
      <c r="I123" s="13"/>
    </row>
    <row r="124" spans="1:9" ht="12.75" hidden="1">
      <c r="A124" s="11"/>
      <c r="B124" s="12"/>
      <c r="C124" s="12"/>
      <c r="D124" s="12"/>
      <c r="E124" s="12"/>
      <c r="F124" s="12"/>
      <c r="G124" s="12"/>
      <c r="H124" s="12"/>
      <c r="I124" s="13"/>
    </row>
    <row r="125" spans="1:9" ht="12.75" hidden="1">
      <c r="A125" s="11"/>
      <c r="B125" s="12"/>
      <c r="C125" s="12"/>
      <c r="D125" s="12"/>
      <c r="E125" s="12"/>
      <c r="F125" s="12"/>
      <c r="G125" s="12"/>
      <c r="H125" s="12"/>
      <c r="I125" s="13"/>
    </row>
    <row r="126" spans="1:9" ht="13.5" thickBot="1">
      <c r="A126" s="11"/>
      <c r="B126" s="12"/>
      <c r="C126" s="12"/>
      <c r="D126" s="12"/>
      <c r="E126" s="12"/>
      <c r="F126" s="12"/>
      <c r="G126" s="12"/>
      <c r="H126" s="12"/>
      <c r="I126" s="13"/>
    </row>
    <row r="127" spans="1:15" ht="15">
      <c r="A127" s="3170" t="s">
        <v>90</v>
      </c>
      <c r="B127" s="3171"/>
      <c r="C127" s="3171"/>
      <c r="D127" s="3171"/>
      <c r="E127" s="3171"/>
      <c r="F127" s="3171"/>
      <c r="G127" s="3171"/>
      <c r="H127" s="3171"/>
      <c r="I127" s="2238">
        <f aca="true" t="shared" si="6" ref="I127:O127">SUM(I129:I133)</f>
        <v>2672</v>
      </c>
      <c r="J127" s="1485">
        <f t="shared" si="6"/>
        <v>3463614.42</v>
      </c>
      <c r="K127" s="2239">
        <f t="shared" si="6"/>
        <v>7140350</v>
      </c>
      <c r="L127" s="1486">
        <f t="shared" si="6"/>
        <v>6318600</v>
      </c>
      <c r="M127" s="1893">
        <f t="shared" si="6"/>
        <v>2750973</v>
      </c>
      <c r="N127" s="1487">
        <f t="shared" si="6"/>
        <v>1500</v>
      </c>
      <c r="O127" s="1488">
        <f t="shared" si="6"/>
        <v>1500</v>
      </c>
    </row>
    <row r="128" spans="1:15" ht="15">
      <c r="A128" s="1383"/>
      <c r="B128" s="1384"/>
      <c r="C128" s="1384"/>
      <c r="D128" s="1384"/>
      <c r="E128" s="1384"/>
      <c r="F128" s="1384"/>
      <c r="G128" s="1384"/>
      <c r="H128" s="1384"/>
      <c r="I128" s="1427">
        <v>2016</v>
      </c>
      <c r="J128" s="1427">
        <v>2017</v>
      </c>
      <c r="K128" s="1427">
        <v>2018</v>
      </c>
      <c r="L128" s="1428" t="s">
        <v>790</v>
      </c>
      <c r="M128" s="1466">
        <v>2019</v>
      </c>
      <c r="N128" s="1429">
        <v>2020</v>
      </c>
      <c r="O128" s="1430">
        <v>2021</v>
      </c>
    </row>
    <row r="129" spans="1:15" ht="12.75">
      <c r="A129" s="1377" t="s">
        <v>3</v>
      </c>
      <c r="B129" s="1490" t="s">
        <v>648</v>
      </c>
      <c r="C129" s="1374"/>
      <c r="D129" s="1374"/>
      <c r="E129" s="1374"/>
      <c r="F129" s="1374"/>
      <c r="G129" s="1374"/>
      <c r="H129" s="1374"/>
      <c r="I129" s="1391">
        <f>príjmy!J171</f>
        <v>2672</v>
      </c>
      <c r="J129" s="1445">
        <f>príjmy!K171</f>
        <v>3908.02</v>
      </c>
      <c r="K129" s="1445">
        <f>príjmy!L171</f>
        <v>350</v>
      </c>
      <c r="L129" s="1456">
        <f>príjmy!M171</f>
        <v>2600</v>
      </c>
      <c r="M129" s="1902">
        <f>príjmy!N171</f>
        <v>1500</v>
      </c>
      <c r="N129" s="1457">
        <f>príjmy!O171</f>
        <v>1500</v>
      </c>
      <c r="O129" s="1446">
        <f>príjmy!P171</f>
        <v>1500</v>
      </c>
    </row>
    <row r="130" spans="1:15" ht="12.75">
      <c r="A130" s="1398" t="s">
        <v>6</v>
      </c>
      <c r="B130" s="1454" t="s">
        <v>159</v>
      </c>
      <c r="C130" s="1382"/>
      <c r="D130" s="1382"/>
      <c r="E130" s="1382"/>
      <c r="F130" s="1382"/>
      <c r="G130" s="1382"/>
      <c r="H130" s="1382"/>
      <c r="I130" s="1391">
        <f>príjmy!J173</f>
        <v>0</v>
      </c>
      <c r="J130" s="1445">
        <f>príjmy!K173</f>
        <v>0</v>
      </c>
      <c r="K130" s="1445">
        <f>príjmy!L173</f>
        <v>0</v>
      </c>
      <c r="L130" s="1456">
        <f>príjmy!M173</f>
        <v>0</v>
      </c>
      <c r="M130" s="1902">
        <f>príjmy!N173</f>
        <v>0</v>
      </c>
      <c r="N130" s="1457">
        <f>príjmy!O173</f>
        <v>0</v>
      </c>
      <c r="O130" s="1446">
        <f>príjmy!P173</f>
        <v>0</v>
      </c>
    </row>
    <row r="131" spans="1:15" ht="12.75">
      <c r="A131" s="1398" t="s">
        <v>9</v>
      </c>
      <c r="B131" s="1454" t="s">
        <v>649</v>
      </c>
      <c r="C131" s="1382"/>
      <c r="D131" s="1382"/>
      <c r="E131" s="1382"/>
      <c r="F131" s="1382"/>
      <c r="G131" s="1382"/>
      <c r="H131" s="1455"/>
      <c r="I131" s="1480">
        <f>príjmy!J174</f>
        <v>0</v>
      </c>
      <c r="J131" s="1481">
        <f>príjmy!K174</f>
        <v>16000</v>
      </c>
      <c r="K131" s="1481">
        <f>príjmy!L174</f>
        <v>0</v>
      </c>
      <c r="L131" s="1482">
        <f>príjmy!M174</f>
        <v>0</v>
      </c>
      <c r="M131" s="1904">
        <f>príjmy!N174</f>
        <v>0</v>
      </c>
      <c r="N131" s="1483">
        <f>príjmy!O174</f>
        <v>0</v>
      </c>
      <c r="O131" s="1484">
        <f>príjmy!P174</f>
        <v>0</v>
      </c>
    </row>
    <row r="132" spans="1:15" ht="12.75">
      <c r="A132" s="1379" t="s">
        <v>24</v>
      </c>
      <c r="B132" s="1491" t="s">
        <v>703</v>
      </c>
      <c r="C132" s="1376"/>
      <c r="D132" s="1376"/>
      <c r="E132" s="1376"/>
      <c r="F132" s="1376"/>
      <c r="G132" s="1376"/>
      <c r="H132" s="1376"/>
      <c r="I132" s="1480">
        <f>príjmy!J184</f>
        <v>0</v>
      </c>
      <c r="J132" s="1481">
        <f>príjmy!K184</f>
        <v>3443706.4</v>
      </c>
      <c r="K132" s="1481">
        <f>príjmy!L184</f>
        <v>7140000</v>
      </c>
      <c r="L132" s="1482">
        <f>príjmy!M184</f>
        <v>6316000</v>
      </c>
      <c r="M132" s="1904">
        <f>príjmy!N184</f>
        <v>2749473</v>
      </c>
      <c r="N132" s="1483">
        <f>príjmy!O184</f>
        <v>0</v>
      </c>
      <c r="O132" s="1484">
        <f>príjmy!P184</f>
        <v>0</v>
      </c>
    </row>
    <row r="133" spans="1:15" ht="13.5" thickBot="1">
      <c r="A133" s="1386" t="s">
        <v>27</v>
      </c>
      <c r="B133" s="1239" t="s">
        <v>163</v>
      </c>
      <c r="C133" s="1387"/>
      <c r="D133" s="1387"/>
      <c r="E133" s="1387"/>
      <c r="F133" s="1387"/>
      <c r="G133" s="1387"/>
      <c r="H133" s="1387"/>
      <c r="I133" s="1394">
        <f>príjmy!J185</f>
        <v>0</v>
      </c>
      <c r="J133" s="1459">
        <f>príjmy!K185</f>
        <v>0</v>
      </c>
      <c r="K133" s="1459">
        <f>príjmy!L185</f>
        <v>0</v>
      </c>
      <c r="L133" s="1460">
        <f>príjmy!M185</f>
        <v>0</v>
      </c>
      <c r="M133" s="1903">
        <f>príjmy!N185</f>
        <v>0</v>
      </c>
      <c r="N133" s="1461">
        <f>príjmy!O185</f>
        <v>0</v>
      </c>
      <c r="O133" s="1478">
        <f>príjmy!P185</f>
        <v>0</v>
      </c>
    </row>
    <row r="134" spans="1:9" ht="12.75">
      <c r="A134" s="766"/>
      <c r="B134" s="9"/>
      <c r="C134" s="9"/>
      <c r="D134" s="9"/>
      <c r="E134" s="9"/>
      <c r="F134" s="9"/>
      <c r="G134" s="9"/>
      <c r="H134" s="9"/>
      <c r="I134" s="767"/>
    </row>
    <row r="135" spans="1:9" ht="12.75">
      <c r="A135" s="766"/>
      <c r="B135" s="9"/>
      <c r="C135" s="9"/>
      <c r="D135" s="9"/>
      <c r="E135" s="9"/>
      <c r="F135" s="9"/>
      <c r="G135" s="9"/>
      <c r="H135" s="9"/>
      <c r="I135" s="767"/>
    </row>
    <row r="136" spans="1:11" ht="15.75" thickBot="1">
      <c r="A136" s="3174" t="s">
        <v>165</v>
      </c>
      <c r="B136" s="3174"/>
      <c r="C136" s="3174"/>
      <c r="D136" s="3174"/>
      <c r="E136" s="3174"/>
      <c r="F136" s="3174"/>
      <c r="G136" s="3174"/>
      <c r="H136" s="3174"/>
      <c r="I136" s="3174"/>
      <c r="J136" s="3174"/>
      <c r="K136" s="1489"/>
    </row>
    <row r="137" spans="1:15" ht="15">
      <c r="A137" s="1503"/>
      <c r="B137" s="1504"/>
      <c r="C137" s="1504"/>
      <c r="D137" s="1504"/>
      <c r="E137" s="1504"/>
      <c r="F137" s="1504"/>
      <c r="G137" s="1504"/>
      <c r="H137" s="1505"/>
      <c r="I137" s="1427">
        <v>2016</v>
      </c>
      <c r="J137" s="1427">
        <v>2017</v>
      </c>
      <c r="K137" s="1427">
        <v>2018</v>
      </c>
      <c r="L137" s="1428" t="s">
        <v>790</v>
      </c>
      <c r="M137" s="1466">
        <v>2019</v>
      </c>
      <c r="N137" s="1429">
        <v>2020</v>
      </c>
      <c r="O137" s="1430">
        <v>2021</v>
      </c>
    </row>
    <row r="138" spans="1:15" ht="12.75">
      <c r="A138" s="3175" t="s">
        <v>166</v>
      </c>
      <c r="B138" s="3176"/>
      <c r="C138" s="3176"/>
      <c r="D138" s="3176"/>
      <c r="E138" s="3176"/>
      <c r="F138" s="3176"/>
      <c r="G138" s="3176"/>
      <c r="H138" s="3177"/>
      <c r="I138" s="1391">
        <f>príjmy!J195</f>
        <v>0</v>
      </c>
      <c r="J138" s="1445">
        <f>príjmy!K195</f>
        <v>538965.97</v>
      </c>
      <c r="K138" s="1445">
        <f>príjmy!L195</f>
        <v>579688</v>
      </c>
      <c r="L138" s="1456">
        <f>príjmy!M195</f>
        <v>606661</v>
      </c>
      <c r="M138" s="1902">
        <f>príjmy!N195</f>
        <v>674863</v>
      </c>
      <c r="N138" s="1457">
        <f>príjmy!O195</f>
        <v>704314</v>
      </c>
      <c r="O138" s="1446">
        <f>príjmy!P195</f>
        <v>704314</v>
      </c>
    </row>
    <row r="139" spans="1:15" ht="12.75">
      <c r="A139" s="3175" t="s">
        <v>167</v>
      </c>
      <c r="B139" s="3176"/>
      <c r="C139" s="3176"/>
      <c r="D139" s="3176"/>
      <c r="E139" s="3176"/>
      <c r="F139" s="3176"/>
      <c r="G139" s="3176"/>
      <c r="H139" s="3177"/>
      <c r="I139" s="1391">
        <f>príjmy!J209</f>
        <v>0</v>
      </c>
      <c r="J139" s="1445">
        <f>príjmy!K209</f>
        <v>140836.35</v>
      </c>
      <c r="K139" s="1445">
        <f>príjmy!L209</f>
        <v>154991</v>
      </c>
      <c r="L139" s="1456">
        <f>príjmy!M209</f>
        <v>148785</v>
      </c>
      <c r="M139" s="1902">
        <f>príjmy!N209</f>
        <v>162863</v>
      </c>
      <c r="N139" s="1457">
        <f>príjmy!O209</f>
        <v>162194</v>
      </c>
      <c r="O139" s="1446">
        <f>príjmy!P209</f>
        <v>171393</v>
      </c>
    </row>
    <row r="140" spans="1:15" ht="12.75">
      <c r="A140" s="3175" t="s">
        <v>168</v>
      </c>
      <c r="B140" s="3176"/>
      <c r="C140" s="3176"/>
      <c r="D140" s="3176"/>
      <c r="E140" s="3176"/>
      <c r="F140" s="3176"/>
      <c r="G140" s="3176"/>
      <c r="H140" s="3177"/>
      <c r="I140" s="1391">
        <f>príjmy!J220</f>
        <v>0</v>
      </c>
      <c r="J140" s="1445">
        <f>príjmy!K220</f>
        <v>16205.98</v>
      </c>
      <c r="K140" s="1445">
        <f>príjmy!L220</f>
        <v>23300</v>
      </c>
      <c r="L140" s="1456">
        <f>príjmy!M220</f>
        <v>23810</v>
      </c>
      <c r="M140" s="1902">
        <f>príjmy!N220</f>
        <v>24500</v>
      </c>
      <c r="N140" s="1457">
        <f>príjmy!O220</f>
        <v>28750</v>
      </c>
      <c r="O140" s="1446">
        <f>príjmy!P220</f>
        <v>30550</v>
      </c>
    </row>
    <row r="141" spans="1:15" ht="13.5" thickBot="1">
      <c r="A141" s="3167" t="s">
        <v>165</v>
      </c>
      <c r="B141" s="3168"/>
      <c r="C141" s="3168"/>
      <c r="D141" s="3168"/>
      <c r="E141" s="3168"/>
      <c r="F141" s="3168"/>
      <c r="G141" s="3168"/>
      <c r="H141" s="3169"/>
      <c r="I141" s="1506">
        <f aca="true" t="shared" si="7" ref="I141:O141">SUM(I138:I140)</f>
        <v>0</v>
      </c>
      <c r="J141" s="1507">
        <f t="shared" si="7"/>
        <v>696008.2999999999</v>
      </c>
      <c r="K141" s="1507">
        <f t="shared" si="7"/>
        <v>757979</v>
      </c>
      <c r="L141" s="1508">
        <f t="shared" si="7"/>
        <v>779256</v>
      </c>
      <c r="M141" s="1495">
        <f t="shared" si="7"/>
        <v>862226</v>
      </c>
      <c r="N141" s="1509">
        <f t="shared" si="7"/>
        <v>895258</v>
      </c>
      <c r="O141" s="1510">
        <f t="shared" si="7"/>
        <v>906257</v>
      </c>
    </row>
    <row r="142" spans="1:15" ht="12.75">
      <c r="A142" s="1771"/>
      <c r="B142" s="1771"/>
      <c r="C142" s="1771"/>
      <c r="D142" s="1771"/>
      <c r="E142" s="1771"/>
      <c r="F142" s="1771"/>
      <c r="G142" s="1771"/>
      <c r="H142" s="1771"/>
      <c r="I142" s="1772"/>
      <c r="J142" s="1773"/>
      <c r="K142" s="1773"/>
      <c r="L142" s="1773"/>
      <c r="M142" s="1773"/>
      <c r="N142" s="1773"/>
      <c r="O142" s="1773"/>
    </row>
    <row r="143" spans="1:15" ht="12.75">
      <c r="A143" s="1771"/>
      <c r="B143" s="1771"/>
      <c r="C143" s="1771"/>
      <c r="D143" s="1771"/>
      <c r="E143" s="1771"/>
      <c r="F143" s="1771"/>
      <c r="G143" s="1771"/>
      <c r="H143" s="1771"/>
      <c r="I143" s="1772"/>
      <c r="J143" s="1773"/>
      <c r="K143" s="1773"/>
      <c r="L143" s="1773"/>
      <c r="M143" s="1773"/>
      <c r="N143" s="1773"/>
      <c r="O143" s="1773"/>
    </row>
    <row r="144" spans="1:15" ht="12.75">
      <c r="A144" s="1771"/>
      <c r="B144" s="1771"/>
      <c r="C144" s="1771"/>
      <c r="D144" s="1771"/>
      <c r="E144" s="1771"/>
      <c r="F144" s="1771"/>
      <c r="G144" s="1771"/>
      <c r="H144" s="1771"/>
      <c r="I144" s="1772"/>
      <c r="J144" s="1773"/>
      <c r="K144" s="1773"/>
      <c r="L144" s="1773"/>
      <c r="M144" s="1773"/>
      <c r="N144" s="1773"/>
      <c r="O144" s="1773"/>
    </row>
    <row r="145" spans="1:9" ht="12.75">
      <c r="A145" s="11"/>
      <c r="B145" s="12"/>
      <c r="C145" s="12"/>
      <c r="D145" s="12"/>
      <c r="E145" s="12"/>
      <c r="F145" s="12"/>
      <c r="G145" s="12"/>
      <c r="H145" s="12"/>
      <c r="I145" s="13"/>
    </row>
    <row r="146" spans="1:15" ht="15.75" thickBot="1">
      <c r="A146" s="3117" t="s">
        <v>92</v>
      </c>
      <c r="B146" s="3117"/>
      <c r="C146" s="3117"/>
      <c r="D146" s="3117"/>
      <c r="E146" s="3117"/>
      <c r="F146" s="3117"/>
      <c r="G146" s="3117"/>
      <c r="H146" s="3117"/>
      <c r="I146" s="3117"/>
      <c r="J146" s="3117"/>
      <c r="K146" s="3117"/>
      <c r="L146" s="3117"/>
      <c r="M146" s="3117"/>
      <c r="N146" s="3117"/>
      <c r="O146" s="3117"/>
    </row>
    <row r="147" spans="1:15" ht="15">
      <c r="A147" s="3157"/>
      <c r="B147" s="3158"/>
      <c r="C147" s="3158"/>
      <c r="D147" s="3158"/>
      <c r="E147" s="3158"/>
      <c r="F147" s="3158"/>
      <c r="G147" s="3158"/>
      <c r="H147" s="3159"/>
      <c r="I147" s="1427">
        <v>2016</v>
      </c>
      <c r="J147" s="1427">
        <v>2017</v>
      </c>
      <c r="K147" s="1427">
        <v>2018</v>
      </c>
      <c r="L147" s="1428" t="s">
        <v>790</v>
      </c>
      <c r="M147" s="1466">
        <v>2019</v>
      </c>
      <c r="N147" s="1429">
        <v>2020</v>
      </c>
      <c r="O147" s="1430">
        <v>2021</v>
      </c>
    </row>
    <row r="148" spans="1:15" ht="12.75">
      <c r="A148" s="3160" t="s">
        <v>698</v>
      </c>
      <c r="B148" s="3161"/>
      <c r="C148" s="3161"/>
      <c r="D148" s="3161"/>
      <c r="E148" s="3161"/>
      <c r="F148" s="3161"/>
      <c r="G148" s="3161"/>
      <c r="H148" s="3162"/>
      <c r="I148" s="1391" t="e">
        <f aca="true" t="shared" si="8" ref="I148:O148">I3</f>
        <v>#REF!</v>
      </c>
      <c r="J148" s="1492" t="e">
        <f t="shared" si="8"/>
        <v>#REF!</v>
      </c>
      <c r="K148" s="1492" t="e">
        <f t="shared" si="8"/>
        <v>#REF!</v>
      </c>
      <c r="L148" s="1493" t="e">
        <f t="shared" si="8"/>
        <v>#REF!</v>
      </c>
      <c r="M148" s="1905" t="e">
        <f t="shared" si="8"/>
        <v>#REF!</v>
      </c>
      <c r="N148" s="1494" t="e">
        <f t="shared" si="8"/>
        <v>#REF!</v>
      </c>
      <c r="O148" s="1502" t="e">
        <f t="shared" si="8"/>
        <v>#REF!</v>
      </c>
    </row>
    <row r="149" spans="1:15" ht="12.75">
      <c r="A149" s="3107" t="s">
        <v>699</v>
      </c>
      <c r="B149" s="3108"/>
      <c r="C149" s="3108"/>
      <c r="D149" s="3108"/>
      <c r="E149" s="3108"/>
      <c r="F149" s="3108"/>
      <c r="G149" s="3108"/>
      <c r="H149" s="3109"/>
      <c r="I149" s="1391">
        <f aca="true" t="shared" si="9" ref="I149:O149">I106</f>
        <v>6310</v>
      </c>
      <c r="J149" s="1392">
        <f t="shared" si="9"/>
        <v>2574326.46</v>
      </c>
      <c r="K149" s="1492">
        <f t="shared" si="9"/>
        <v>6968351</v>
      </c>
      <c r="L149" s="1493">
        <f t="shared" si="9"/>
        <v>5778680</v>
      </c>
      <c r="M149" s="1905">
        <f t="shared" si="9"/>
        <v>3875207</v>
      </c>
      <c r="N149" s="1494">
        <f t="shared" si="9"/>
        <v>0</v>
      </c>
      <c r="O149" s="1502">
        <f t="shared" si="9"/>
        <v>0</v>
      </c>
    </row>
    <row r="150" spans="1:15" ht="12.75">
      <c r="A150" s="3107" t="s">
        <v>700</v>
      </c>
      <c r="B150" s="3108"/>
      <c r="C150" s="3108"/>
      <c r="D150" s="3108"/>
      <c r="E150" s="3108"/>
      <c r="F150" s="3108"/>
      <c r="G150" s="3108"/>
      <c r="H150" s="3109"/>
      <c r="I150" s="1391">
        <f aca="true" t="shared" si="10" ref="I150:O150">I127</f>
        <v>2672</v>
      </c>
      <c r="J150" s="1492">
        <f t="shared" si="10"/>
        <v>3463614.42</v>
      </c>
      <c r="K150" s="1492">
        <f t="shared" si="10"/>
        <v>7140350</v>
      </c>
      <c r="L150" s="1493">
        <f t="shared" si="10"/>
        <v>6318600</v>
      </c>
      <c r="M150" s="1905">
        <f t="shared" si="10"/>
        <v>2750973</v>
      </c>
      <c r="N150" s="1494">
        <f t="shared" si="10"/>
        <v>1500</v>
      </c>
      <c r="O150" s="1502">
        <f t="shared" si="10"/>
        <v>1500</v>
      </c>
    </row>
    <row r="151" spans="1:15" ht="12.75">
      <c r="A151" s="3107" t="s">
        <v>701</v>
      </c>
      <c r="B151" s="3108"/>
      <c r="C151" s="3108"/>
      <c r="D151" s="3108"/>
      <c r="E151" s="3108"/>
      <c r="F151" s="3108"/>
      <c r="G151" s="3108"/>
      <c r="H151" s="3109"/>
      <c r="I151" s="1391">
        <f aca="true" t="shared" si="11" ref="I151:O151">I141</f>
        <v>0</v>
      </c>
      <c r="J151" s="1492">
        <f t="shared" si="11"/>
        <v>696008.2999999999</v>
      </c>
      <c r="K151" s="1492">
        <f t="shared" si="11"/>
        <v>757979</v>
      </c>
      <c r="L151" s="1493">
        <f t="shared" si="11"/>
        <v>779256</v>
      </c>
      <c r="M151" s="1905">
        <f t="shared" si="11"/>
        <v>862226</v>
      </c>
      <c r="N151" s="1494">
        <f t="shared" si="11"/>
        <v>895258</v>
      </c>
      <c r="O151" s="1502">
        <f t="shared" si="11"/>
        <v>906257</v>
      </c>
    </row>
    <row r="152" spans="1:15" ht="13.5" thickBot="1">
      <c r="A152" s="3110" t="s">
        <v>93</v>
      </c>
      <c r="B152" s="3111"/>
      <c r="C152" s="3111"/>
      <c r="D152" s="3111"/>
      <c r="E152" s="3111"/>
      <c r="F152" s="3111"/>
      <c r="G152" s="3111"/>
      <c r="H152" s="3112"/>
      <c r="I152" s="1496" t="e">
        <f aca="true" t="shared" si="12" ref="I152:O152">SUM(I148:I151)</f>
        <v>#REF!</v>
      </c>
      <c r="J152" s="1497" t="e">
        <f t="shared" si="12"/>
        <v>#REF!</v>
      </c>
      <c r="K152" s="1497" t="e">
        <f t="shared" si="12"/>
        <v>#REF!</v>
      </c>
      <c r="L152" s="1498" t="e">
        <f t="shared" si="12"/>
        <v>#REF!</v>
      </c>
      <c r="M152" s="1499" t="e">
        <f t="shared" si="12"/>
        <v>#REF!</v>
      </c>
      <c r="N152" s="1500" t="e">
        <f t="shared" si="12"/>
        <v>#REF!</v>
      </c>
      <c r="O152" s="1501" t="e">
        <f t="shared" si="12"/>
        <v>#REF!</v>
      </c>
    </row>
    <row r="153" spans="1:9" ht="12.75">
      <c r="A153" s="14"/>
      <c r="B153" s="12"/>
      <c r="C153" s="3172"/>
      <c r="D153" s="3172"/>
      <c r="E153" s="3172"/>
      <c r="F153" s="3172"/>
      <c r="G153" s="3173"/>
      <c r="H153" s="3173"/>
      <c r="I153" s="13"/>
    </row>
    <row r="154" spans="1:9" ht="12.75">
      <c r="A154" s="14"/>
      <c r="B154" s="12"/>
      <c r="C154" s="12"/>
      <c r="D154" s="12"/>
      <c r="E154" s="12"/>
      <c r="F154" s="12"/>
      <c r="G154" s="12"/>
      <c r="H154" s="12"/>
      <c r="I154" s="15"/>
    </row>
    <row r="155" spans="1:9" ht="12.75">
      <c r="A155" s="14"/>
      <c r="B155" s="12"/>
      <c r="C155" s="12"/>
      <c r="D155" s="12"/>
      <c r="E155" s="12"/>
      <c r="F155" s="12"/>
      <c r="G155" s="12"/>
      <c r="H155" s="12"/>
      <c r="I155" s="15"/>
    </row>
  </sheetData>
  <sheetProtection/>
  <mergeCells count="57">
    <mergeCell ref="A141:H141"/>
    <mergeCell ref="A149:H149"/>
    <mergeCell ref="A113:H113"/>
    <mergeCell ref="A127:H127"/>
    <mergeCell ref="C153:F153"/>
    <mergeCell ref="G153:H153"/>
    <mergeCell ref="A136:J136"/>
    <mergeCell ref="A138:H138"/>
    <mergeCell ref="A139:H139"/>
    <mergeCell ref="A140:H140"/>
    <mergeCell ref="A147:H147"/>
    <mergeCell ref="A148:H148"/>
    <mergeCell ref="B45:H45"/>
    <mergeCell ref="B46:H46"/>
    <mergeCell ref="B47:H47"/>
    <mergeCell ref="A48:H48"/>
    <mergeCell ref="B49:H49"/>
    <mergeCell ref="A50:H50"/>
    <mergeCell ref="B51:H51"/>
    <mergeCell ref="B110:H110"/>
    <mergeCell ref="A40:H40"/>
    <mergeCell ref="A42:H42"/>
    <mergeCell ref="B43:H43"/>
    <mergeCell ref="A44:H44"/>
    <mergeCell ref="A67:H67"/>
    <mergeCell ref="A106:H106"/>
    <mergeCell ref="B85:H85"/>
    <mergeCell ref="A108:H108"/>
    <mergeCell ref="A27:H27"/>
    <mergeCell ref="B29:H29"/>
    <mergeCell ref="A30:H30"/>
    <mergeCell ref="B31:H31"/>
    <mergeCell ref="A32:H32"/>
    <mergeCell ref="A34:H34"/>
    <mergeCell ref="A52:H52"/>
    <mergeCell ref="B37:H37"/>
    <mergeCell ref="A38:H38"/>
    <mergeCell ref="A20:H20"/>
    <mergeCell ref="A3:H3"/>
    <mergeCell ref="A5:H5"/>
    <mergeCell ref="A18:H18"/>
    <mergeCell ref="A12:H12"/>
    <mergeCell ref="B13:H13"/>
    <mergeCell ref="A14:H14"/>
    <mergeCell ref="A10:H10"/>
    <mergeCell ref="B15:H15"/>
    <mergeCell ref="A16:H16"/>
    <mergeCell ref="A1:O1"/>
    <mergeCell ref="A150:H150"/>
    <mergeCell ref="A151:H151"/>
    <mergeCell ref="A152:H152"/>
    <mergeCell ref="A8:H8"/>
    <mergeCell ref="B69:H69"/>
    <mergeCell ref="B74:H74"/>
    <mergeCell ref="B75:H75"/>
    <mergeCell ref="B82:H82"/>
    <mergeCell ref="A146:O146"/>
  </mergeCells>
  <printOptions horizontalCentered="1"/>
  <pageMargins left="0.5511811023622047" right="0.15748031496062992" top="0.5905511811023623" bottom="0.3937007874015748" header="0.5118110236220472" footer="0.5118110236220472"/>
  <pageSetup fitToHeight="0" fitToWidth="1" horizontalDpi="300" verticalDpi="3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"/>
  <sheetViews>
    <sheetView view="pageLayout" workbookViewId="0" topLeftCell="A4">
      <selection activeCell="R54" sqref="R54:R55"/>
    </sheetView>
  </sheetViews>
  <sheetFormatPr defaultColWidth="9.140625" defaultRowHeight="12.75"/>
  <cols>
    <col min="1" max="1" width="3.57421875" style="167" customWidth="1"/>
    <col min="2" max="2" width="4.140625" style="1" customWidth="1"/>
    <col min="3" max="3" width="9.421875" style="0" customWidth="1"/>
    <col min="4" max="4" width="3.421875" style="0" customWidth="1"/>
    <col min="5" max="5" width="31.421875" style="0" customWidth="1"/>
    <col min="6" max="6" width="8.8515625" style="0" customWidth="1"/>
    <col min="7" max="7" width="0" style="0" hidden="1" customWidth="1"/>
    <col min="9" max="14" width="8.28125" style="0" customWidth="1"/>
  </cols>
  <sheetData>
    <row r="1" spans="2:14" ht="15.75">
      <c r="B1" s="171" t="s">
        <v>347</v>
      </c>
      <c r="E1" s="171" t="s">
        <v>348</v>
      </c>
      <c r="F1" s="169"/>
      <c r="G1" s="326" t="e">
        <f>G2-G7</f>
        <v>#REF!</v>
      </c>
      <c r="H1" s="326"/>
      <c r="I1" s="326"/>
      <c r="J1" s="326"/>
      <c r="K1" s="326"/>
      <c r="L1" s="179">
        <f>L2-L7</f>
        <v>0</v>
      </c>
      <c r="M1" s="179">
        <f>M2-M7</f>
        <v>0</v>
      </c>
      <c r="N1" s="179">
        <f>N2-N7</f>
        <v>0</v>
      </c>
    </row>
    <row r="2" spans="2:14" ht="15.75">
      <c r="B2" s="171"/>
      <c r="F2" s="326"/>
      <c r="G2" s="326" t="e">
        <f>SUM(G8:G10)</f>
        <v>#REF!</v>
      </c>
      <c r="H2" s="326"/>
      <c r="I2" s="326"/>
      <c r="J2" s="326"/>
      <c r="K2" s="326"/>
      <c r="L2" s="179">
        <f>SUM(L8:L10)</f>
        <v>93945</v>
      </c>
      <c r="M2" s="179">
        <f>SUM(M8:M10)</f>
        <v>97255</v>
      </c>
      <c r="N2" s="179">
        <f>SUM(N8:N10)</f>
        <v>102255</v>
      </c>
    </row>
    <row r="3" spans="1:14" ht="15.75">
      <c r="A3" s="180"/>
      <c r="B3" s="181"/>
      <c r="C3" s="182"/>
      <c r="D3" s="182"/>
      <c r="E3" s="183"/>
      <c r="F3" s="184"/>
      <c r="G3" s="3196" t="s">
        <v>173</v>
      </c>
      <c r="H3" s="3196"/>
      <c r="I3" s="3196"/>
      <c r="J3" s="3196"/>
      <c r="K3" s="3196"/>
      <c r="L3" s="3196"/>
      <c r="M3" s="3196"/>
      <c r="N3" s="3196"/>
    </row>
    <row r="4" spans="1:14" ht="15" customHeight="1">
      <c r="A4" s="185"/>
      <c r="B4" s="186" t="s">
        <v>174</v>
      </c>
      <c r="C4" s="187" t="s">
        <v>175</v>
      </c>
      <c r="D4" s="3198" t="s">
        <v>176</v>
      </c>
      <c r="E4" s="3198"/>
      <c r="F4" s="3198"/>
      <c r="G4" s="188"/>
      <c r="H4" s="975">
        <v>2016</v>
      </c>
      <c r="I4" s="189">
        <v>2017</v>
      </c>
      <c r="J4" s="189">
        <v>2018</v>
      </c>
      <c r="K4" s="189" t="s">
        <v>790</v>
      </c>
      <c r="L4" s="189">
        <v>2019</v>
      </c>
      <c r="M4" s="189">
        <v>2020</v>
      </c>
      <c r="N4" s="189">
        <v>2021</v>
      </c>
    </row>
    <row r="5" spans="1:14" ht="12" customHeight="1">
      <c r="A5" s="185"/>
      <c r="B5" s="186" t="s">
        <v>177</v>
      </c>
      <c r="C5" s="187" t="s">
        <v>178</v>
      </c>
      <c r="D5" s="3198"/>
      <c r="E5" s="3198"/>
      <c r="F5" s="3198"/>
      <c r="G5" s="190" t="s">
        <v>179</v>
      </c>
      <c r="H5" s="327" t="s">
        <v>180</v>
      </c>
      <c r="I5" s="191" t="s">
        <v>181</v>
      </c>
      <c r="J5" s="191" t="s">
        <v>180</v>
      </c>
      <c r="K5" s="191" t="s">
        <v>181</v>
      </c>
      <c r="L5" s="468" t="s">
        <v>180</v>
      </c>
      <c r="M5" s="191" t="s">
        <v>181</v>
      </c>
      <c r="N5" s="191" t="s">
        <v>181</v>
      </c>
    </row>
    <row r="6" spans="1:14" ht="13.5" thickBot="1">
      <c r="A6" s="185"/>
      <c r="B6" s="186" t="s">
        <v>182</v>
      </c>
      <c r="C6" s="187" t="s">
        <v>183</v>
      </c>
      <c r="D6" s="3198"/>
      <c r="E6" s="3198"/>
      <c r="F6" s="3198"/>
      <c r="G6" s="193">
        <v>1</v>
      </c>
      <c r="H6" s="193">
        <v>-3</v>
      </c>
      <c r="I6" s="194">
        <v>-2</v>
      </c>
      <c r="J6" s="194">
        <v>-1</v>
      </c>
      <c r="K6" s="194">
        <v>-1</v>
      </c>
      <c r="L6" s="193">
        <v>0</v>
      </c>
      <c r="M6" s="194">
        <v>1</v>
      </c>
      <c r="N6" s="194">
        <v>2</v>
      </c>
    </row>
    <row r="7" spans="1:14" ht="15">
      <c r="A7" s="203">
        <v>1</v>
      </c>
      <c r="B7" s="197" t="s">
        <v>347</v>
      </c>
      <c r="C7" s="469"/>
      <c r="D7" s="470"/>
      <c r="E7" s="199" t="s">
        <v>348</v>
      </c>
      <c r="F7" s="471"/>
      <c r="G7" s="395" t="e">
        <f>G11+#REF!+#REF!+#REF!+#REF!+#REF!+#REF!+#REF!+#REF!</f>
        <v>#REF!</v>
      </c>
      <c r="H7" s="2220">
        <f>H8+H9+H10</f>
        <v>102569.40999999999</v>
      </c>
      <c r="I7" s="2221">
        <f>SUM(I8:I10)</f>
        <v>102386</v>
      </c>
      <c r="J7" s="2096">
        <f>J8+J9+J10</f>
        <v>98801</v>
      </c>
      <c r="K7" s="2096">
        <f>SUM(K8:K10)</f>
        <v>100800</v>
      </c>
      <c r="L7" s="2096">
        <f>SUM(L8:L10)</f>
        <v>93945</v>
      </c>
      <c r="M7" s="2096">
        <f>SUM(M8:M10)</f>
        <v>97255</v>
      </c>
      <c r="N7" s="2096">
        <f>SUM(N8:N10)</f>
        <v>102255</v>
      </c>
    </row>
    <row r="8" spans="1:14" ht="12.75">
      <c r="A8" s="203">
        <f aca="true" t="shared" si="0" ref="A8:A15">A7+1</f>
        <v>2</v>
      </c>
      <c r="B8" s="204" t="s">
        <v>185</v>
      </c>
      <c r="C8" s="897" t="s">
        <v>186</v>
      </c>
      <c r="D8" s="898"/>
      <c r="E8" s="899"/>
      <c r="F8" s="900"/>
      <c r="G8" s="901" t="e">
        <f>G12+G20+#REF!+#REF!+#REF!+#REF!+#REF!+#REF!</f>
        <v>#REF!</v>
      </c>
      <c r="H8" s="1044">
        <f>H12+H20+H30+H44+H48+H52+H61+H66</f>
        <v>102569.40999999999</v>
      </c>
      <c r="I8" s="1000">
        <f>SUM(I12+I20+I30+I44+I48+I52+I61+I66)</f>
        <v>102036</v>
      </c>
      <c r="J8" s="902">
        <f>J12+J20+J30+J44+J48+J52+J61+J66</f>
        <v>98801</v>
      </c>
      <c r="K8" s="902">
        <f>SUM(K12+K20+K30+K44+K48+K52+K61+K66)</f>
        <v>100800</v>
      </c>
      <c r="L8" s="902">
        <f>SUM(L12+L20+L30+L44+L48+L52+L61+L66)</f>
        <v>93945</v>
      </c>
      <c r="M8" s="902">
        <f>SUM(M12+M20+M30+M44+M48+M52+M61+M66)</f>
        <v>97255</v>
      </c>
      <c r="N8" s="902">
        <f>SUM(N12+N20+N30+N44+N48+N52+N61+N66)</f>
        <v>102255</v>
      </c>
    </row>
    <row r="9" spans="1:14" ht="12.75">
      <c r="A9" s="203">
        <f t="shared" si="0"/>
        <v>3</v>
      </c>
      <c r="B9" s="204" t="s">
        <v>187</v>
      </c>
      <c r="C9" s="1034" t="s">
        <v>188</v>
      </c>
      <c r="D9" s="1035"/>
      <c r="E9" s="1036"/>
      <c r="F9" s="1037"/>
      <c r="G9" s="1038" t="e">
        <f>G25+#REF!+#REF!+#REF!+#REF!</f>
        <v>#REF!</v>
      </c>
      <c r="H9" s="1054">
        <f>H25+H41+H57</f>
        <v>0</v>
      </c>
      <c r="I9" s="1039">
        <f>SUM(I25+I41+I57)</f>
        <v>350</v>
      </c>
      <c r="J9" s="1040">
        <f>J25+J41+J57</f>
        <v>0</v>
      </c>
      <c r="K9" s="1040">
        <f>SUM(K25+K41+K57)</f>
        <v>0</v>
      </c>
      <c r="L9" s="1041">
        <f>SUM(L25+L41+L57)</f>
        <v>0</v>
      </c>
      <c r="M9" s="1040">
        <f>SUM(M25+M41+M57)</f>
        <v>0</v>
      </c>
      <c r="N9" s="1040">
        <f>SUM(N25+N41+N57)</f>
        <v>0</v>
      </c>
    </row>
    <row r="10" spans="1:14" ht="13.5" thickBot="1">
      <c r="A10" s="203">
        <f t="shared" si="0"/>
        <v>4</v>
      </c>
      <c r="B10" s="207"/>
      <c r="C10" s="1065" t="s">
        <v>189</v>
      </c>
      <c r="D10" s="1066"/>
      <c r="E10" s="1067"/>
      <c r="F10" s="1068"/>
      <c r="G10" s="1069" t="e">
        <f>#REF!+#REF!</f>
        <v>#REF!</v>
      </c>
      <c r="H10" s="1138">
        <v>0</v>
      </c>
      <c r="I10" s="1088">
        <v>0</v>
      </c>
      <c r="J10" s="1089"/>
      <c r="K10" s="1089">
        <v>0</v>
      </c>
      <c r="L10" s="1070">
        <v>0</v>
      </c>
      <c r="M10" s="1089">
        <v>0</v>
      </c>
      <c r="N10" s="1089">
        <v>0</v>
      </c>
    </row>
    <row r="11" spans="1:14" ht="13.5" thickTop="1">
      <c r="A11" s="203">
        <f t="shared" si="0"/>
        <v>5</v>
      </c>
      <c r="B11" s="208">
        <v>1</v>
      </c>
      <c r="C11" s="309" t="s">
        <v>349</v>
      </c>
      <c r="D11" s="210"/>
      <c r="E11" s="210"/>
      <c r="F11" s="211"/>
      <c r="G11" s="212" t="e">
        <f>SUM(G13)</f>
        <v>#REF!</v>
      </c>
      <c r="H11" s="509">
        <f>H12</f>
        <v>17455.56</v>
      </c>
      <c r="I11" s="213">
        <f aca="true" t="shared" si="1" ref="I11:N12">I12</f>
        <v>16500</v>
      </c>
      <c r="J11" s="213">
        <f>J12</f>
        <v>20000</v>
      </c>
      <c r="K11" s="213">
        <f t="shared" si="1"/>
        <v>22285</v>
      </c>
      <c r="L11" s="343">
        <f t="shared" si="1"/>
        <v>21415</v>
      </c>
      <c r="M11" s="213">
        <f t="shared" si="1"/>
        <v>20415</v>
      </c>
      <c r="N11" s="213">
        <f t="shared" si="1"/>
        <v>20415</v>
      </c>
    </row>
    <row r="12" spans="1:14" ht="12.75">
      <c r="A12" s="203">
        <f t="shared" si="0"/>
        <v>6</v>
      </c>
      <c r="B12" s="223"/>
      <c r="C12" s="224"/>
      <c r="D12" s="206" t="s">
        <v>186</v>
      </c>
      <c r="E12" s="225"/>
      <c r="F12" s="226"/>
      <c r="G12" s="227" t="e">
        <f>G13</f>
        <v>#REF!</v>
      </c>
      <c r="H12" s="511">
        <f>H13</f>
        <v>17455.56</v>
      </c>
      <c r="I12" s="228">
        <f t="shared" si="1"/>
        <v>16500</v>
      </c>
      <c r="J12" s="228">
        <f>J13</f>
        <v>20000</v>
      </c>
      <c r="K12" s="228">
        <f t="shared" si="1"/>
        <v>22285</v>
      </c>
      <c r="L12" s="228">
        <f t="shared" si="1"/>
        <v>21415</v>
      </c>
      <c r="M12" s="228">
        <f t="shared" si="1"/>
        <v>20415</v>
      </c>
      <c r="N12" s="228">
        <f t="shared" si="1"/>
        <v>20415</v>
      </c>
    </row>
    <row r="13" spans="1:14" ht="12.75">
      <c r="A13" s="203">
        <f t="shared" si="0"/>
        <v>7</v>
      </c>
      <c r="B13" s="223"/>
      <c r="C13" s="307" t="s">
        <v>350</v>
      </c>
      <c r="D13" s="231" t="s">
        <v>351</v>
      </c>
      <c r="E13" s="232"/>
      <c r="F13" s="233"/>
      <c r="G13" s="279" t="e">
        <f>SUM(#REF!)</f>
        <v>#REF!</v>
      </c>
      <c r="H13" s="751">
        <f>SUM(H14:H18)</f>
        <v>17455.56</v>
      </c>
      <c r="I13" s="280">
        <f>SUM(I14:I18)</f>
        <v>16500</v>
      </c>
      <c r="J13" s="280">
        <f>SUM(J14:J18)</f>
        <v>20000</v>
      </c>
      <c r="K13" s="280">
        <f>SUM(K14:K18)</f>
        <v>22285</v>
      </c>
      <c r="L13" s="280">
        <f>SUM(L14,L15,L16,L17,L18)</f>
        <v>21415</v>
      </c>
      <c r="M13" s="280">
        <f>SUM(M14:M18)</f>
        <v>20415</v>
      </c>
      <c r="N13" s="280">
        <f>SUM(N14:N18)</f>
        <v>20415</v>
      </c>
    </row>
    <row r="14" spans="1:14" ht="12.75">
      <c r="A14" s="203">
        <f t="shared" si="0"/>
        <v>8</v>
      </c>
      <c r="B14" s="223"/>
      <c r="C14" s="267" t="s">
        <v>201</v>
      </c>
      <c r="D14" s="281" t="s">
        <v>221</v>
      </c>
      <c r="E14" s="269" t="s">
        <v>352</v>
      </c>
      <c r="F14" s="472"/>
      <c r="G14" s="473"/>
      <c r="H14" s="1202">
        <f>výdavky!D306</f>
        <v>6549.79</v>
      </c>
      <c r="I14" s="284">
        <f>výdavky!E306</f>
        <v>7500</v>
      </c>
      <c r="J14" s="284">
        <f>výdavky!F306</f>
        <v>8000</v>
      </c>
      <c r="K14" s="284">
        <f>výdavky!G306</f>
        <v>4458</v>
      </c>
      <c r="L14" s="474">
        <f>výdavky!H306</f>
        <v>7915</v>
      </c>
      <c r="M14" s="284">
        <f>výdavky!I306</f>
        <v>7915</v>
      </c>
      <c r="N14" s="284">
        <f>výdavky!J306</f>
        <v>7915</v>
      </c>
    </row>
    <row r="15" spans="1:14" ht="12.75">
      <c r="A15" s="203">
        <f t="shared" si="0"/>
        <v>9</v>
      </c>
      <c r="B15" s="223"/>
      <c r="C15" s="267" t="s">
        <v>203</v>
      </c>
      <c r="D15" s="286" t="s">
        <v>223</v>
      </c>
      <c r="E15" s="273" t="s">
        <v>353</v>
      </c>
      <c r="F15" s="475"/>
      <c r="G15" s="476"/>
      <c r="H15" s="1201">
        <f>výdavky!D307</f>
        <v>2050.05</v>
      </c>
      <c r="I15" s="278">
        <f>výdavky!E307</f>
        <v>3000</v>
      </c>
      <c r="J15" s="278">
        <f>výdavky!F307</f>
        <v>5000</v>
      </c>
      <c r="K15" s="278">
        <f>výdavky!G307</f>
        <v>6804</v>
      </c>
      <c r="L15" s="477">
        <f>výdavky!H307</f>
        <v>4000</v>
      </c>
      <c r="M15" s="278">
        <f>výdavky!I307</f>
        <v>3000</v>
      </c>
      <c r="N15" s="278">
        <f>výdavky!J307</f>
        <v>3000</v>
      </c>
    </row>
    <row r="16" spans="1:14" ht="12.75">
      <c r="A16" s="203">
        <v>10</v>
      </c>
      <c r="B16" s="223"/>
      <c r="C16" s="267" t="s">
        <v>205</v>
      </c>
      <c r="D16" s="281" t="s">
        <v>234</v>
      </c>
      <c r="E16" s="269" t="s">
        <v>354</v>
      </c>
      <c r="F16" s="472"/>
      <c r="G16" s="473"/>
      <c r="H16" s="1202">
        <f>výdavky!D308</f>
        <v>5268.76</v>
      </c>
      <c r="I16" s="284">
        <f>výdavky!E308</f>
        <v>2500</v>
      </c>
      <c r="J16" s="284">
        <f>výdavky!F308</f>
        <v>3500</v>
      </c>
      <c r="K16" s="284">
        <f>výdavky!G308</f>
        <v>4000</v>
      </c>
      <c r="L16" s="474">
        <f>výdavky!H308</f>
        <v>4000</v>
      </c>
      <c r="M16" s="284">
        <f>výdavky!I308</f>
        <v>4000</v>
      </c>
      <c r="N16" s="284">
        <f>výdavky!J308</f>
        <v>4000</v>
      </c>
    </row>
    <row r="17" spans="1:14" ht="12.75">
      <c r="A17" s="203">
        <v>11</v>
      </c>
      <c r="B17" s="223"/>
      <c r="C17" s="267" t="s">
        <v>207</v>
      </c>
      <c r="D17" s="286" t="s">
        <v>236</v>
      </c>
      <c r="E17" s="273" t="s">
        <v>285</v>
      </c>
      <c r="F17" s="475"/>
      <c r="G17" s="476"/>
      <c r="H17" s="1201">
        <f>výdavky!D309</f>
        <v>195</v>
      </c>
      <c r="I17" s="278">
        <f>výdavky!E309</f>
        <v>500</v>
      </c>
      <c r="J17" s="278">
        <f>výdavky!F309</f>
        <v>500</v>
      </c>
      <c r="K17" s="278">
        <f>výdavky!G309</f>
        <v>1618</v>
      </c>
      <c r="L17" s="477">
        <f>výdavky!H309</f>
        <v>500</v>
      </c>
      <c r="M17" s="278">
        <f>výdavky!I309</f>
        <v>500</v>
      </c>
      <c r="N17" s="278">
        <f>výdavky!J309</f>
        <v>500</v>
      </c>
    </row>
    <row r="18" spans="1:14" ht="12.75">
      <c r="A18" s="203">
        <v>12</v>
      </c>
      <c r="B18" s="223"/>
      <c r="C18" s="267" t="s">
        <v>211</v>
      </c>
      <c r="D18" s="286" t="s">
        <v>238</v>
      </c>
      <c r="E18" s="273" t="s">
        <v>212</v>
      </c>
      <c r="F18" s="475"/>
      <c r="G18" s="476"/>
      <c r="H18" s="1201">
        <f>výdavky!D310</f>
        <v>3391.96</v>
      </c>
      <c r="I18" s="278">
        <f>výdavky!E310</f>
        <v>3000</v>
      </c>
      <c r="J18" s="278">
        <f>výdavky!F310</f>
        <v>3000</v>
      </c>
      <c r="K18" s="278">
        <f>výdavky!G310</f>
        <v>5405</v>
      </c>
      <c r="L18" s="477">
        <f>výdavky!H310+výdavky!H311</f>
        <v>5000</v>
      </c>
      <c r="M18" s="278">
        <f>výdavky!I310+výdavky!I311</f>
        <v>5000</v>
      </c>
      <c r="N18" s="278">
        <f>výdavky!J310+výdavky!J311</f>
        <v>5000</v>
      </c>
    </row>
    <row r="19" spans="1:14" ht="12.75">
      <c r="A19" s="203">
        <f aca="true" t="shared" si="2" ref="A19:A27">A18+1</f>
        <v>13</v>
      </c>
      <c r="B19" s="208">
        <v>2</v>
      </c>
      <c r="C19" s="309" t="s">
        <v>355</v>
      </c>
      <c r="D19" s="210"/>
      <c r="E19" s="210"/>
      <c r="F19" s="211"/>
      <c r="G19" s="212">
        <f>SUM(G21)</f>
        <v>742.5999999999999</v>
      </c>
      <c r="H19" s="509">
        <f>H20+H25</f>
        <v>11535.32</v>
      </c>
      <c r="I19" s="214">
        <f>SUM(I20+I25)</f>
        <v>15000</v>
      </c>
      <c r="J19" s="214">
        <f>J20+J25</f>
        <v>12000</v>
      </c>
      <c r="K19" s="214">
        <f>SUM(K20+K25)</f>
        <v>12900</v>
      </c>
      <c r="L19" s="343">
        <f>SUM(L20+L25)</f>
        <v>10500</v>
      </c>
      <c r="M19" s="214">
        <f>SUM(M20+M25)</f>
        <v>10500</v>
      </c>
      <c r="N19" s="214">
        <f>SUM(N20+N25)</f>
        <v>10500</v>
      </c>
    </row>
    <row r="20" spans="1:14" ht="12.75">
      <c r="A20" s="203">
        <f t="shared" si="2"/>
        <v>14</v>
      </c>
      <c r="B20" s="223"/>
      <c r="C20" s="224"/>
      <c r="D20" s="206" t="s">
        <v>186</v>
      </c>
      <c r="E20" s="225"/>
      <c r="F20" s="226"/>
      <c r="G20" s="227">
        <f aca="true" t="shared" si="3" ref="G20:N20">G21</f>
        <v>742.5999999999999</v>
      </c>
      <c r="H20" s="511">
        <f>H21</f>
        <v>11535.32</v>
      </c>
      <c r="I20" s="228">
        <f t="shared" si="3"/>
        <v>15000</v>
      </c>
      <c r="J20" s="228">
        <f>J21</f>
        <v>12000</v>
      </c>
      <c r="K20" s="228">
        <f t="shared" si="3"/>
        <v>12900</v>
      </c>
      <c r="L20" s="345">
        <f t="shared" si="3"/>
        <v>10500</v>
      </c>
      <c r="M20" s="228">
        <f t="shared" si="3"/>
        <v>10500</v>
      </c>
      <c r="N20" s="228">
        <f t="shared" si="3"/>
        <v>10500</v>
      </c>
    </row>
    <row r="21" spans="1:14" ht="12.75">
      <c r="A21" s="203">
        <f t="shared" si="2"/>
        <v>15</v>
      </c>
      <c r="B21" s="256"/>
      <c r="C21" s="307" t="s">
        <v>350</v>
      </c>
      <c r="D21" s="231" t="s">
        <v>351</v>
      </c>
      <c r="E21" s="232"/>
      <c r="F21" s="233"/>
      <c r="G21" s="266">
        <f>SUM(G22:G23)</f>
        <v>742.5999999999999</v>
      </c>
      <c r="H21" s="350">
        <f aca="true" t="shared" si="4" ref="H21:N21">SUM(H22:H24)</f>
        <v>11535.32</v>
      </c>
      <c r="I21" s="235">
        <f t="shared" si="4"/>
        <v>15000</v>
      </c>
      <c r="J21" s="235">
        <f t="shared" si="4"/>
        <v>12000</v>
      </c>
      <c r="K21" s="235">
        <f t="shared" si="4"/>
        <v>12900</v>
      </c>
      <c r="L21" s="235">
        <f t="shared" si="4"/>
        <v>10500</v>
      </c>
      <c r="M21" s="235">
        <f t="shared" si="4"/>
        <v>10500</v>
      </c>
      <c r="N21" s="235">
        <f t="shared" si="4"/>
        <v>10500</v>
      </c>
    </row>
    <row r="22" spans="1:14" ht="12.75">
      <c r="A22" s="203">
        <f t="shared" si="2"/>
        <v>16</v>
      </c>
      <c r="B22" s="256"/>
      <c r="C22" s="287" t="s">
        <v>220</v>
      </c>
      <c r="D22" s="281" t="s">
        <v>221</v>
      </c>
      <c r="E22" s="239" t="s">
        <v>356</v>
      </c>
      <c r="F22" s="282"/>
      <c r="G22" s="478">
        <f>ROUND(M22/30.126,1)</f>
        <v>331.9</v>
      </c>
      <c r="H22" s="1206">
        <f>výdavky!D313</f>
        <v>10835.32</v>
      </c>
      <c r="I22" s="301">
        <f>výdavky!E313+výdavky!E314</f>
        <v>10000</v>
      </c>
      <c r="J22" s="301">
        <f>výdavky!F313</f>
        <v>10000</v>
      </c>
      <c r="K22" s="301">
        <f>výdavky!G313</f>
        <v>12000</v>
      </c>
      <c r="L22" s="374">
        <f>výdavky!H313</f>
        <v>10000</v>
      </c>
      <c r="M22" s="301">
        <f>výdavky!I313</f>
        <v>10000</v>
      </c>
      <c r="N22" s="301">
        <f>výdavky!J313</f>
        <v>10000</v>
      </c>
    </row>
    <row r="23" spans="1:14" ht="12.75">
      <c r="A23" s="203">
        <f t="shared" si="2"/>
        <v>17</v>
      </c>
      <c r="B23" s="256"/>
      <c r="C23" s="285" t="s">
        <v>220</v>
      </c>
      <c r="D23" s="286" t="s">
        <v>223</v>
      </c>
      <c r="E23" s="248" t="s">
        <v>357</v>
      </c>
      <c r="F23" s="254"/>
      <c r="G23" s="479">
        <f>397.4+13.3</f>
        <v>410.7</v>
      </c>
      <c r="H23" s="1207">
        <f>výdavky!D315</f>
        <v>700</v>
      </c>
      <c r="I23" s="303">
        <f>výdavky!E315</f>
        <v>5000</v>
      </c>
      <c r="J23" s="303">
        <f>výdavky!F315</f>
        <v>1000</v>
      </c>
      <c r="K23" s="303">
        <f>výdavky!G315</f>
        <v>900</v>
      </c>
      <c r="L23" s="351">
        <f>výdavky!H315</f>
        <v>500</v>
      </c>
      <c r="M23" s="303">
        <f>výdavky!I315</f>
        <v>500</v>
      </c>
      <c r="N23" s="303">
        <f>výdavky!J315</f>
        <v>500</v>
      </c>
    </row>
    <row r="24" spans="1:14" ht="12.75">
      <c r="A24" s="203">
        <f t="shared" si="2"/>
        <v>18</v>
      </c>
      <c r="B24" s="256"/>
      <c r="C24" s="285" t="s">
        <v>220</v>
      </c>
      <c r="D24" s="286" t="s">
        <v>234</v>
      </c>
      <c r="E24" s="248" t="s">
        <v>358</v>
      </c>
      <c r="F24" s="254"/>
      <c r="G24" s="479"/>
      <c r="H24" s="1207">
        <f>výdavky!D316</f>
        <v>0</v>
      </c>
      <c r="I24" s="303">
        <v>0</v>
      </c>
      <c r="J24" s="303">
        <f>výdavky!F316</f>
        <v>1000</v>
      </c>
      <c r="K24" s="303">
        <f>výdavky!G316</f>
        <v>0</v>
      </c>
      <c r="L24" s="351">
        <f>výdavky!H316</f>
        <v>0</v>
      </c>
      <c r="M24" s="303">
        <f>výdavky!I316</f>
        <v>0</v>
      </c>
      <c r="N24" s="303">
        <f>výdavky!J316</f>
        <v>0</v>
      </c>
    </row>
    <row r="25" spans="1:14" ht="12.75">
      <c r="A25" s="203">
        <f t="shared" si="2"/>
        <v>19</v>
      </c>
      <c r="B25" s="256"/>
      <c r="C25" s="285"/>
      <c r="D25" s="819" t="s">
        <v>188</v>
      </c>
      <c r="E25" s="822"/>
      <c r="F25" s="827"/>
      <c r="G25" s="907" t="e">
        <f aca="true" t="shared" si="5" ref="G25:N25">G26</f>
        <v>#REF!</v>
      </c>
      <c r="H25" s="1211">
        <f>H26</f>
        <v>0</v>
      </c>
      <c r="I25" s="908">
        <f t="shared" si="5"/>
        <v>0</v>
      </c>
      <c r="J25" s="908">
        <f>J26</f>
        <v>0</v>
      </c>
      <c r="K25" s="908">
        <f t="shared" si="5"/>
        <v>0</v>
      </c>
      <c r="L25" s="909">
        <f t="shared" si="5"/>
        <v>0</v>
      </c>
      <c r="M25" s="908">
        <f t="shared" si="5"/>
        <v>0</v>
      </c>
      <c r="N25" s="908">
        <f t="shared" si="5"/>
        <v>0</v>
      </c>
    </row>
    <row r="26" spans="1:14" ht="12.75">
      <c r="A26" s="203">
        <f t="shared" si="2"/>
        <v>20</v>
      </c>
      <c r="B26" s="256"/>
      <c r="C26" s="307" t="s">
        <v>350</v>
      </c>
      <c r="D26" s="231" t="s">
        <v>351</v>
      </c>
      <c r="E26" s="232"/>
      <c r="F26" s="233"/>
      <c r="G26" s="266" t="e">
        <f>SUM(#REF!)</f>
        <v>#REF!</v>
      </c>
      <c r="H26" s="350">
        <f>H27</f>
        <v>0</v>
      </c>
      <c r="I26" s="235">
        <f>SUM(I27:I27)</f>
        <v>0</v>
      </c>
      <c r="J26" s="235">
        <f>J27</f>
        <v>0</v>
      </c>
      <c r="K26" s="235">
        <f>SUM(K27:K27)</f>
        <v>0</v>
      </c>
      <c r="L26" s="480">
        <f>SUM(L27:L27)</f>
        <v>0</v>
      </c>
      <c r="M26" s="235">
        <f>SUM(M27:M27)</f>
        <v>0</v>
      </c>
      <c r="N26" s="235">
        <f>SUM(N27:N27)</f>
        <v>0</v>
      </c>
    </row>
    <row r="27" spans="1:14" ht="12.75">
      <c r="A27" s="203">
        <f t="shared" si="2"/>
        <v>21</v>
      </c>
      <c r="B27" s="256"/>
      <c r="C27" s="285" t="s">
        <v>298</v>
      </c>
      <c r="D27" s="286" t="s">
        <v>236</v>
      </c>
      <c r="E27" s="244"/>
      <c r="F27" s="475"/>
      <c r="G27" s="275"/>
      <c r="H27" s="516">
        <v>0</v>
      </c>
      <c r="I27" s="247">
        <v>0</v>
      </c>
      <c r="J27" s="247"/>
      <c r="K27" s="247">
        <v>0</v>
      </c>
      <c r="L27" s="351">
        <v>0</v>
      </c>
      <c r="M27" s="247">
        <v>0</v>
      </c>
      <c r="N27" s="247">
        <v>0</v>
      </c>
    </row>
    <row r="28" spans="1:14" ht="12.75">
      <c r="A28" s="203">
        <v>22</v>
      </c>
      <c r="B28" s="208">
        <v>3</v>
      </c>
      <c r="C28" s="309" t="s">
        <v>359</v>
      </c>
      <c r="D28" s="210"/>
      <c r="E28" s="210"/>
      <c r="F28" s="211"/>
      <c r="G28" s="212">
        <f>G31+G62</f>
        <v>763.5</v>
      </c>
      <c r="H28" s="509">
        <f>H29+H43+H47</f>
        <v>38765.1</v>
      </c>
      <c r="I28" s="214">
        <f>SUM(I29,I43,I47)</f>
        <v>48158</v>
      </c>
      <c r="J28" s="214">
        <f>J29+J43+J47</f>
        <v>39901</v>
      </c>
      <c r="K28" s="214">
        <f>SUM(K29,K43,K47)</f>
        <v>41548</v>
      </c>
      <c r="L28" s="343">
        <f>SUM(L29,L43,L47)</f>
        <v>52030</v>
      </c>
      <c r="M28" s="214">
        <f>SUM(M29,M43,M47)</f>
        <v>51340</v>
      </c>
      <c r="N28" s="214">
        <f>SUM(N29,N43,N47)</f>
        <v>51340</v>
      </c>
    </row>
    <row r="29" spans="1:14" ht="12.75">
      <c r="A29" s="203">
        <f aca="true" t="shared" si="6" ref="A29:A36">A28+1</f>
        <v>23</v>
      </c>
      <c r="B29" s="256"/>
      <c r="C29" s="216" t="s">
        <v>191</v>
      </c>
      <c r="D29" s="217" t="s">
        <v>360</v>
      </c>
      <c r="E29" s="218"/>
      <c r="F29" s="219"/>
      <c r="G29" s="220">
        <f>F80</f>
        <v>0</v>
      </c>
      <c r="H29" s="1198">
        <f>H30+H41</f>
        <v>36753.38</v>
      </c>
      <c r="I29" s="221">
        <f>SUM(I30+I41)</f>
        <v>46480</v>
      </c>
      <c r="J29" s="221">
        <f>J30+J41</f>
        <v>37451</v>
      </c>
      <c r="K29" s="221">
        <f>SUM(K30+K41)</f>
        <v>37750</v>
      </c>
      <c r="L29" s="481">
        <f>SUM(L30+L41)</f>
        <v>49180</v>
      </c>
      <c r="M29" s="221">
        <f>SUM(M30+M41)</f>
        <v>48490</v>
      </c>
      <c r="N29" s="221">
        <f>SUM(N30+N41)</f>
        <v>48490</v>
      </c>
    </row>
    <row r="30" spans="1:14" ht="12.75">
      <c r="A30" s="203">
        <f t="shared" si="6"/>
        <v>24</v>
      </c>
      <c r="B30" s="223"/>
      <c r="C30" s="224"/>
      <c r="D30" s="206" t="s">
        <v>186</v>
      </c>
      <c r="E30" s="225"/>
      <c r="F30" s="226"/>
      <c r="G30" s="227">
        <f>G31+G62</f>
        <v>763.5</v>
      </c>
      <c r="H30" s="511">
        <f aca="true" t="shared" si="7" ref="H30:N30">H31</f>
        <v>36753.38</v>
      </c>
      <c r="I30" s="228">
        <f t="shared" si="7"/>
        <v>46130</v>
      </c>
      <c r="J30" s="228">
        <f t="shared" si="7"/>
        <v>37451</v>
      </c>
      <c r="K30" s="228">
        <f t="shared" si="7"/>
        <v>37750</v>
      </c>
      <c r="L30" s="345">
        <f t="shared" si="7"/>
        <v>49180</v>
      </c>
      <c r="M30" s="228">
        <f t="shared" si="7"/>
        <v>48490</v>
      </c>
      <c r="N30" s="228">
        <f t="shared" si="7"/>
        <v>48490</v>
      </c>
    </row>
    <row r="31" spans="1:14" ht="12.75">
      <c r="A31" s="203">
        <f t="shared" si="6"/>
        <v>25</v>
      </c>
      <c r="B31" s="256"/>
      <c r="C31" s="307" t="s">
        <v>361</v>
      </c>
      <c r="D31" s="231" t="s">
        <v>360</v>
      </c>
      <c r="E31" s="232"/>
      <c r="F31" s="233"/>
      <c r="G31" s="266">
        <f>SUM(G32:G42)</f>
        <v>763.5</v>
      </c>
      <c r="H31" s="350">
        <f aca="true" t="shared" si="8" ref="H31:N31">SUM(H32:H40)</f>
        <v>36753.38</v>
      </c>
      <c r="I31" s="235">
        <f t="shared" si="8"/>
        <v>46130</v>
      </c>
      <c r="J31" s="235">
        <f>SUM(J32:J40)</f>
        <v>37451</v>
      </c>
      <c r="K31" s="235">
        <f t="shared" si="8"/>
        <v>37750</v>
      </c>
      <c r="L31" s="235">
        <f t="shared" si="8"/>
        <v>49180</v>
      </c>
      <c r="M31" s="235">
        <f t="shared" si="8"/>
        <v>48490</v>
      </c>
      <c r="N31" s="235">
        <f t="shared" si="8"/>
        <v>48490</v>
      </c>
    </row>
    <row r="32" spans="1:14" ht="12.75">
      <c r="A32" s="203">
        <f t="shared" si="6"/>
        <v>26</v>
      </c>
      <c r="B32" s="482"/>
      <c r="C32" s="267" t="s">
        <v>195</v>
      </c>
      <c r="D32" s="281" t="s">
        <v>221</v>
      </c>
      <c r="E32" s="308" t="s">
        <v>362</v>
      </c>
      <c r="F32" s="282"/>
      <c r="G32" s="288">
        <f>ROUND(M32/30.126,1)</f>
        <v>763.5</v>
      </c>
      <c r="H32" s="750">
        <f>výdavky!D319</f>
        <v>15601.24</v>
      </c>
      <c r="I32" s="242">
        <f>výdavky!E319</f>
        <v>20000</v>
      </c>
      <c r="J32" s="242">
        <f>výdavky!F319</f>
        <v>22000</v>
      </c>
      <c r="K32" s="242">
        <f>výdavky!G319</f>
        <v>18000</v>
      </c>
      <c r="L32" s="374">
        <f>výdavky!H319</f>
        <v>22000</v>
      </c>
      <c r="M32" s="242">
        <f>výdavky!I319</f>
        <v>23000</v>
      </c>
      <c r="N32" s="242">
        <f>výdavky!J319</f>
        <v>23000</v>
      </c>
    </row>
    <row r="33" spans="1:14" ht="12.75">
      <c r="A33" s="203">
        <f t="shared" si="6"/>
        <v>27</v>
      </c>
      <c r="B33" s="482"/>
      <c r="C33" s="267" t="s">
        <v>197</v>
      </c>
      <c r="D33" s="286" t="s">
        <v>223</v>
      </c>
      <c r="E33" s="244" t="s">
        <v>198</v>
      </c>
      <c r="F33" s="254"/>
      <c r="G33" s="255"/>
      <c r="H33" s="516">
        <f>výdavky!D320</f>
        <v>5885.07</v>
      </c>
      <c r="I33" s="247">
        <f>výdavky!E320</f>
        <v>7300</v>
      </c>
      <c r="J33" s="247">
        <f>výdavky!F320</f>
        <v>1400</v>
      </c>
      <c r="K33" s="247">
        <f>výdavky!G320</f>
        <v>6586</v>
      </c>
      <c r="L33" s="351">
        <f>výdavky!H320</f>
        <v>8200</v>
      </c>
      <c r="M33" s="247">
        <f>výdavky!I320</f>
        <v>8510</v>
      </c>
      <c r="N33" s="247">
        <f>výdavky!J320</f>
        <v>8510</v>
      </c>
    </row>
    <row r="34" spans="1:14" ht="12.75">
      <c r="A34" s="203">
        <f t="shared" si="6"/>
        <v>28</v>
      </c>
      <c r="B34" s="482"/>
      <c r="C34" s="267" t="s">
        <v>201</v>
      </c>
      <c r="D34" s="281" t="s">
        <v>234</v>
      </c>
      <c r="E34" s="308" t="s">
        <v>352</v>
      </c>
      <c r="F34" s="282"/>
      <c r="G34" s="288"/>
      <c r="H34" s="750">
        <f>výdavky!D323</f>
        <v>7159.37</v>
      </c>
      <c r="I34" s="242">
        <f>výdavky!E323</f>
        <v>11030</v>
      </c>
      <c r="J34" s="242">
        <f>výdavky!F323</f>
        <v>480</v>
      </c>
      <c r="K34" s="242">
        <f>výdavky!G323</f>
        <v>9080</v>
      </c>
      <c r="L34" s="374">
        <f>výdavky!H323</f>
        <v>10080</v>
      </c>
      <c r="M34" s="242">
        <f>výdavky!I323</f>
        <v>10080</v>
      </c>
      <c r="N34" s="242">
        <f>výdavky!J323</f>
        <v>10080</v>
      </c>
    </row>
    <row r="35" spans="1:14" ht="12.75">
      <c r="A35" s="203">
        <f t="shared" si="6"/>
        <v>29</v>
      </c>
      <c r="B35" s="482"/>
      <c r="C35" s="267" t="s">
        <v>203</v>
      </c>
      <c r="D35" s="286" t="s">
        <v>236</v>
      </c>
      <c r="E35" s="244" t="s">
        <v>363</v>
      </c>
      <c r="F35" s="254"/>
      <c r="G35" s="255"/>
      <c r="H35" s="516">
        <f>výdavky!D324+výdavky!D325</f>
        <v>531.22</v>
      </c>
      <c r="I35" s="247">
        <f>výdavky!E324+výdavky!E322</f>
        <v>3100</v>
      </c>
      <c r="J35" s="247">
        <f>výdavky!F324+výdavky!F325</f>
        <v>3300</v>
      </c>
      <c r="K35" s="247">
        <f>výdavky!G324+výdavky!G325</f>
        <v>1200</v>
      </c>
      <c r="L35" s="351">
        <f>výdavky!H324+výdavky!H325</f>
        <v>3300</v>
      </c>
      <c r="M35" s="247">
        <f>výdavky!I324+výdavky!I325</f>
        <v>2300</v>
      </c>
      <c r="N35" s="247">
        <f>výdavky!J324+výdavky!J325</f>
        <v>2300</v>
      </c>
    </row>
    <row r="36" spans="1:14" ht="12.75">
      <c r="A36" s="203">
        <f t="shared" si="6"/>
        <v>30</v>
      </c>
      <c r="B36" s="482"/>
      <c r="C36" s="267" t="s">
        <v>203</v>
      </c>
      <c r="D36" s="281" t="s">
        <v>238</v>
      </c>
      <c r="E36" s="308" t="s">
        <v>364</v>
      </c>
      <c r="F36" s="282"/>
      <c r="G36" s="288"/>
      <c r="H36" s="750">
        <f>výdavky!D326+výdavky!D327</f>
        <v>0</v>
      </c>
      <c r="I36" s="242">
        <f>výdavky!E326+výdavky!E327</f>
        <v>500</v>
      </c>
      <c r="J36" s="242">
        <f>výdavky!F326+výdavky!F327</f>
        <v>500</v>
      </c>
      <c r="K36" s="242">
        <f>výdavky!G326+výdavky!G327+výdavky!G328</f>
        <v>1800</v>
      </c>
      <c r="L36" s="374">
        <f>výdavky!H326+výdavky!H327+výdavky!H328</f>
        <v>1500</v>
      </c>
      <c r="M36" s="242">
        <f>výdavky!I326</f>
        <v>500</v>
      </c>
      <c r="N36" s="242">
        <f>výdavky!J326</f>
        <v>500</v>
      </c>
    </row>
    <row r="37" spans="1:14" ht="12.75">
      <c r="A37" s="203">
        <v>30</v>
      </c>
      <c r="B37" s="482"/>
      <c r="C37" s="267" t="s">
        <v>205</v>
      </c>
      <c r="D37" s="286" t="s">
        <v>242</v>
      </c>
      <c r="E37" s="244" t="s">
        <v>206</v>
      </c>
      <c r="F37" s="254"/>
      <c r="G37" s="255"/>
      <c r="H37" s="516">
        <f>výdavky!D331+výdavky!D332</f>
        <v>1296.48</v>
      </c>
      <c r="I37" s="247">
        <f>výdavky!E331+výdavky!E332</f>
        <v>1700</v>
      </c>
      <c r="J37" s="247">
        <f>výdavky!F331+výdavky!F332+výdavky!F322</f>
        <v>6271</v>
      </c>
      <c r="K37" s="247">
        <f>výdavky!G331+výdavky!G332+výdavky!G322</f>
        <v>196</v>
      </c>
      <c r="L37" s="351">
        <f>výdavky!H331+výdavky!H332+výdavky!H322</f>
        <v>1800</v>
      </c>
      <c r="M37" s="247">
        <f>výdavky!I331+výdavky!I332+výdavky!I322</f>
        <v>1800</v>
      </c>
      <c r="N37" s="247">
        <f>výdavky!J331+výdavky!J332+výdavky!J322</f>
        <v>1800</v>
      </c>
    </row>
    <row r="38" spans="1:14" ht="12.75">
      <c r="A38" s="203">
        <f aca="true" t="shared" si="9" ref="A38:A46">A37+1</f>
        <v>31</v>
      </c>
      <c r="B38" s="482"/>
      <c r="C38" s="267" t="s">
        <v>207</v>
      </c>
      <c r="D38" s="281" t="s">
        <v>244</v>
      </c>
      <c r="E38" s="308" t="s">
        <v>285</v>
      </c>
      <c r="F38" s="282"/>
      <c r="G38" s="288"/>
      <c r="H38" s="750">
        <f>výdavky!D333</f>
        <v>2175</v>
      </c>
      <c r="I38" s="242">
        <f>výdavky!E333</f>
        <v>500</v>
      </c>
      <c r="J38" s="242">
        <f>výdavky!F333</f>
        <v>1500</v>
      </c>
      <c r="K38" s="242">
        <f>výdavky!G333</f>
        <v>0</v>
      </c>
      <c r="L38" s="374">
        <f>výdavky!H333</f>
        <v>1300</v>
      </c>
      <c r="M38" s="242">
        <f>výdavky!I333</f>
        <v>1300</v>
      </c>
      <c r="N38" s="242">
        <f>výdavky!J333</f>
        <v>1300</v>
      </c>
    </row>
    <row r="39" spans="1:14" ht="12.75">
      <c r="A39" s="203">
        <f t="shared" si="9"/>
        <v>32</v>
      </c>
      <c r="B39" s="482"/>
      <c r="C39" s="267" t="s">
        <v>211</v>
      </c>
      <c r="D39" s="286" t="s">
        <v>272</v>
      </c>
      <c r="E39" s="244" t="s">
        <v>212</v>
      </c>
      <c r="F39" s="254"/>
      <c r="G39" s="255"/>
      <c r="H39" s="516">
        <f>výdavky!D336</f>
        <v>4105</v>
      </c>
      <c r="I39" s="247">
        <f>výdavky!E336+výdavky!E335</f>
        <v>2000</v>
      </c>
      <c r="J39" s="247">
        <f>výdavky!F335+výdavky!F336</f>
        <v>2000</v>
      </c>
      <c r="K39" s="247">
        <f>výdavky!G336+výdavky!G335</f>
        <v>888</v>
      </c>
      <c r="L39" s="351">
        <f>výdavky!H336+výdavky!H335</f>
        <v>1000</v>
      </c>
      <c r="M39" s="247">
        <f>výdavky!I336+výdavky!I335</f>
        <v>1000</v>
      </c>
      <c r="N39" s="247">
        <f>výdavky!J336+výdavky!J335</f>
        <v>1000</v>
      </c>
    </row>
    <row r="40" spans="1:14" ht="12.75">
      <c r="A40" s="203">
        <f t="shared" si="9"/>
        <v>33</v>
      </c>
      <c r="B40" s="482"/>
      <c r="C40" s="267" t="s">
        <v>220</v>
      </c>
      <c r="D40" s="286" t="s">
        <v>274</v>
      </c>
      <c r="E40" s="244" t="s">
        <v>308</v>
      </c>
      <c r="F40" s="254"/>
      <c r="G40" s="255"/>
      <c r="H40" s="516">
        <v>0</v>
      </c>
      <c r="I40" s="247">
        <v>0</v>
      </c>
      <c r="J40" s="247">
        <v>0</v>
      </c>
      <c r="K40" s="247">
        <v>0</v>
      </c>
      <c r="L40" s="351">
        <v>0</v>
      </c>
      <c r="M40" s="247">
        <v>0</v>
      </c>
      <c r="N40" s="247">
        <v>0</v>
      </c>
    </row>
    <row r="41" spans="1:14" ht="12.75">
      <c r="A41" s="203">
        <f t="shared" si="9"/>
        <v>34</v>
      </c>
      <c r="B41" s="261"/>
      <c r="C41" s="285"/>
      <c r="D41" s="819" t="s">
        <v>188</v>
      </c>
      <c r="E41" s="822"/>
      <c r="F41" s="827"/>
      <c r="G41" s="907">
        <f aca="true" t="shared" si="10" ref="G41:N41">G42</f>
        <v>0</v>
      </c>
      <c r="H41" s="1211">
        <f>H42</f>
        <v>0</v>
      </c>
      <c r="I41" s="908">
        <f t="shared" si="10"/>
        <v>350</v>
      </c>
      <c r="J41" s="908">
        <f>J42</f>
        <v>0</v>
      </c>
      <c r="K41" s="908">
        <f t="shared" si="10"/>
        <v>0</v>
      </c>
      <c r="L41" s="909">
        <f t="shared" si="10"/>
        <v>0</v>
      </c>
      <c r="M41" s="908">
        <f t="shared" si="10"/>
        <v>0</v>
      </c>
      <c r="N41" s="908">
        <f t="shared" si="10"/>
        <v>0</v>
      </c>
    </row>
    <row r="42" spans="1:14" ht="12.75">
      <c r="A42" s="203">
        <f t="shared" si="9"/>
        <v>35</v>
      </c>
      <c r="B42" s="256"/>
      <c r="C42" s="287" t="s">
        <v>298</v>
      </c>
      <c r="D42" s="286" t="s">
        <v>276</v>
      </c>
      <c r="E42" s="375" t="s">
        <v>722</v>
      </c>
      <c r="F42" s="254"/>
      <c r="G42" s="255">
        <f>ROUND(M42/30.126,1)</f>
        <v>0</v>
      </c>
      <c r="H42" s="516">
        <f>výdavky!D672</f>
        <v>0</v>
      </c>
      <c r="I42" s="247">
        <f>výdavky!E674</f>
        <v>350</v>
      </c>
      <c r="J42" s="247">
        <f>výdavky!F674</f>
        <v>0</v>
      </c>
      <c r="K42" s="247">
        <f>výdavky!G674</f>
        <v>0</v>
      </c>
      <c r="L42" s="351">
        <v>0</v>
      </c>
      <c r="M42" s="247">
        <v>0</v>
      </c>
      <c r="N42" s="247">
        <v>0</v>
      </c>
    </row>
    <row r="43" spans="1:14" ht="12.75">
      <c r="A43" s="203">
        <f t="shared" si="9"/>
        <v>36</v>
      </c>
      <c r="B43" s="256"/>
      <c r="C43" s="216" t="s">
        <v>215</v>
      </c>
      <c r="D43" s="217" t="s">
        <v>365</v>
      </c>
      <c r="E43" s="218"/>
      <c r="F43" s="219"/>
      <c r="G43" s="220">
        <f>F92</f>
        <v>0</v>
      </c>
      <c r="H43" s="1198">
        <f>H44</f>
        <v>721.72</v>
      </c>
      <c r="I43" s="221">
        <f aca="true" t="shared" si="11" ref="I43:N45">I44</f>
        <v>200</v>
      </c>
      <c r="J43" s="221">
        <f>J44</f>
        <v>950</v>
      </c>
      <c r="K43" s="221">
        <f t="shared" si="11"/>
        <v>2598</v>
      </c>
      <c r="L43" s="481">
        <f t="shared" si="11"/>
        <v>850</v>
      </c>
      <c r="M43" s="221">
        <f t="shared" si="11"/>
        <v>850</v>
      </c>
      <c r="N43" s="221">
        <f t="shared" si="11"/>
        <v>850</v>
      </c>
    </row>
    <row r="44" spans="1:14" ht="12.75">
      <c r="A44" s="203">
        <f t="shared" si="9"/>
        <v>37</v>
      </c>
      <c r="B44" s="223"/>
      <c r="C44" s="224"/>
      <c r="D44" s="206" t="s">
        <v>186</v>
      </c>
      <c r="E44" s="225"/>
      <c r="F44" s="226"/>
      <c r="G44" s="227">
        <f>G45+G68</f>
        <v>2507.8</v>
      </c>
      <c r="H44" s="511">
        <f>H45</f>
        <v>721.72</v>
      </c>
      <c r="I44" s="228">
        <f t="shared" si="11"/>
        <v>200</v>
      </c>
      <c r="J44" s="228">
        <f>J45</f>
        <v>950</v>
      </c>
      <c r="K44" s="228">
        <f t="shared" si="11"/>
        <v>2598</v>
      </c>
      <c r="L44" s="345">
        <f t="shared" si="11"/>
        <v>850</v>
      </c>
      <c r="M44" s="228">
        <f t="shared" si="11"/>
        <v>850</v>
      </c>
      <c r="N44" s="228">
        <f t="shared" si="11"/>
        <v>850</v>
      </c>
    </row>
    <row r="45" spans="1:14" ht="12.75">
      <c r="A45" s="203">
        <f t="shared" si="9"/>
        <v>38</v>
      </c>
      <c r="B45" s="256"/>
      <c r="C45" s="307" t="s">
        <v>366</v>
      </c>
      <c r="D45" s="231" t="s">
        <v>367</v>
      </c>
      <c r="E45" s="232"/>
      <c r="F45" s="233"/>
      <c r="G45" s="266">
        <f>SUM(G46:G64)</f>
        <v>2441.4</v>
      </c>
      <c r="H45" s="350">
        <f>H46</f>
        <v>721.72</v>
      </c>
      <c r="I45" s="235">
        <f t="shared" si="11"/>
        <v>200</v>
      </c>
      <c r="J45" s="235">
        <f>J46</f>
        <v>950</v>
      </c>
      <c r="K45" s="235">
        <f t="shared" si="11"/>
        <v>2598</v>
      </c>
      <c r="L45" s="480">
        <f t="shared" si="11"/>
        <v>850</v>
      </c>
      <c r="M45" s="235">
        <f t="shared" si="11"/>
        <v>850</v>
      </c>
      <c r="N45" s="235">
        <f t="shared" si="11"/>
        <v>850</v>
      </c>
    </row>
    <row r="46" spans="1:14" ht="12.75">
      <c r="A46" s="203">
        <f t="shared" si="9"/>
        <v>39</v>
      </c>
      <c r="B46" s="256"/>
      <c r="C46" s="287" t="s">
        <v>232</v>
      </c>
      <c r="D46" s="286" t="s">
        <v>368</v>
      </c>
      <c r="E46" s="375" t="s">
        <v>369</v>
      </c>
      <c r="F46" s="254"/>
      <c r="G46" s="255"/>
      <c r="H46" s="516">
        <f>výdavky!D343</f>
        <v>721.72</v>
      </c>
      <c r="I46" s="247">
        <f>výdavky!E343</f>
        <v>200</v>
      </c>
      <c r="J46" s="247">
        <f>výdavky!F343</f>
        <v>950</v>
      </c>
      <c r="K46" s="247">
        <f>výdavky!G343</f>
        <v>2598</v>
      </c>
      <c r="L46" s="351">
        <f>výdavky!H343</f>
        <v>850</v>
      </c>
      <c r="M46" s="247">
        <f>výdavky!I343</f>
        <v>850</v>
      </c>
      <c r="N46" s="247">
        <f>výdavky!J343</f>
        <v>850</v>
      </c>
    </row>
    <row r="47" spans="1:14" ht="12.75">
      <c r="A47" s="203">
        <v>40</v>
      </c>
      <c r="B47" s="256"/>
      <c r="C47" s="483" t="s">
        <v>370</v>
      </c>
      <c r="D47" s="3205" t="s">
        <v>371</v>
      </c>
      <c r="E47" s="3205"/>
      <c r="F47" s="484"/>
      <c r="G47" s="485"/>
      <c r="H47" s="1212">
        <f>H48</f>
        <v>1290</v>
      </c>
      <c r="I47" s="221">
        <f aca="true" t="shared" si="12" ref="I47:N49">SUM(I48)</f>
        <v>1478</v>
      </c>
      <c r="J47" s="221">
        <f>J48</f>
        <v>1500</v>
      </c>
      <c r="K47" s="221">
        <f t="shared" si="12"/>
        <v>1200</v>
      </c>
      <c r="L47" s="481">
        <f t="shared" si="12"/>
        <v>2000</v>
      </c>
      <c r="M47" s="221">
        <f t="shared" si="12"/>
        <v>2000</v>
      </c>
      <c r="N47" s="221">
        <f t="shared" si="12"/>
        <v>2000</v>
      </c>
    </row>
    <row r="48" spans="1:14" ht="12.75">
      <c r="A48" s="203">
        <v>41</v>
      </c>
      <c r="B48" s="256"/>
      <c r="C48" s="285"/>
      <c r="D48" s="3206" t="s">
        <v>186</v>
      </c>
      <c r="E48" s="3206"/>
      <c r="F48" s="403"/>
      <c r="G48" s="404"/>
      <c r="H48" s="520">
        <f>H49</f>
        <v>1290</v>
      </c>
      <c r="I48" s="486">
        <f t="shared" si="12"/>
        <v>1478</v>
      </c>
      <c r="J48" s="486">
        <f>J49</f>
        <v>1500</v>
      </c>
      <c r="K48" s="486">
        <f t="shared" si="12"/>
        <v>1200</v>
      </c>
      <c r="L48" s="487">
        <f t="shared" si="12"/>
        <v>2000</v>
      </c>
      <c r="M48" s="486">
        <f t="shared" si="12"/>
        <v>2000</v>
      </c>
      <c r="N48" s="486">
        <f t="shared" si="12"/>
        <v>2000</v>
      </c>
    </row>
    <row r="49" spans="1:14" s="410" customFormat="1" ht="12.75">
      <c r="A49" s="203">
        <v>42</v>
      </c>
      <c r="B49" s="488"/>
      <c r="C49" s="432" t="s">
        <v>372</v>
      </c>
      <c r="D49" s="3204" t="s">
        <v>373</v>
      </c>
      <c r="E49" s="3204"/>
      <c r="F49" s="265"/>
      <c r="G49" s="266"/>
      <c r="H49" s="350">
        <f>H50</f>
        <v>1290</v>
      </c>
      <c r="I49" s="235">
        <f t="shared" si="12"/>
        <v>1478</v>
      </c>
      <c r="J49" s="235">
        <f>J50</f>
        <v>1500</v>
      </c>
      <c r="K49" s="235">
        <f t="shared" si="12"/>
        <v>1200</v>
      </c>
      <c r="L49" s="480">
        <f t="shared" si="12"/>
        <v>2000</v>
      </c>
      <c r="M49" s="235">
        <f t="shared" si="12"/>
        <v>2000</v>
      </c>
      <c r="N49" s="235">
        <f t="shared" si="12"/>
        <v>2000</v>
      </c>
    </row>
    <row r="50" spans="1:14" ht="12.75">
      <c r="A50" s="203">
        <v>43</v>
      </c>
      <c r="B50" s="256"/>
      <c r="C50" s="285" t="s">
        <v>211</v>
      </c>
      <c r="D50" s="489" t="s">
        <v>374</v>
      </c>
      <c r="E50" s="375" t="s">
        <v>375</v>
      </c>
      <c r="F50" s="254"/>
      <c r="G50" s="255"/>
      <c r="H50" s="516">
        <f>výdavky!D354</f>
        <v>1290</v>
      </c>
      <c r="I50" s="247">
        <f>výdavky!E354</f>
        <v>1478</v>
      </c>
      <c r="J50" s="247">
        <f>výdavky!F354</f>
        <v>1500</v>
      </c>
      <c r="K50" s="247">
        <f>výdavky!G354</f>
        <v>1200</v>
      </c>
      <c r="L50" s="351">
        <f>výdavky!H354</f>
        <v>2000</v>
      </c>
      <c r="M50" s="247">
        <f>výdavky!I354</f>
        <v>2000</v>
      </c>
      <c r="N50" s="247">
        <f>výdavky!J354</f>
        <v>2000</v>
      </c>
    </row>
    <row r="51" spans="1:14" ht="12.75">
      <c r="A51" s="203">
        <v>44</v>
      </c>
      <c r="B51" s="208">
        <v>4</v>
      </c>
      <c r="C51" s="309" t="s">
        <v>376</v>
      </c>
      <c r="D51" s="210"/>
      <c r="E51" s="210"/>
      <c r="F51" s="211"/>
      <c r="G51" s="212">
        <f>SUM(G53)</f>
        <v>609.9</v>
      </c>
      <c r="H51" s="509">
        <f>H52+H57</f>
        <v>5643.429999999999</v>
      </c>
      <c r="I51" s="214">
        <f>SUM(I52+I57)</f>
        <v>3900</v>
      </c>
      <c r="J51" s="214">
        <f>J52+J57</f>
        <v>13400</v>
      </c>
      <c r="K51" s="214">
        <f>SUM(K52+K57)</f>
        <v>7546</v>
      </c>
      <c r="L51" s="343">
        <f>SUM(L52+L57)</f>
        <v>7000</v>
      </c>
      <c r="M51" s="214">
        <f>SUM(M52+M57)</f>
        <v>7000</v>
      </c>
      <c r="N51" s="214">
        <f>SUM(N52+N57)</f>
        <v>7000</v>
      </c>
    </row>
    <row r="52" spans="1:14" ht="12.75">
      <c r="A52" s="203">
        <f>A51+1</f>
        <v>45</v>
      </c>
      <c r="B52" s="223"/>
      <c r="C52" s="224"/>
      <c r="D52" s="206" t="s">
        <v>186</v>
      </c>
      <c r="E52" s="225"/>
      <c r="F52" s="226"/>
      <c r="G52" s="227">
        <f aca="true" t="shared" si="13" ref="G52:N52">G53</f>
        <v>609.9</v>
      </c>
      <c r="H52" s="511">
        <f>H53</f>
        <v>5643.429999999999</v>
      </c>
      <c r="I52" s="228">
        <f t="shared" si="13"/>
        <v>3900</v>
      </c>
      <c r="J52" s="228">
        <f>J53</f>
        <v>13400</v>
      </c>
      <c r="K52" s="228">
        <f t="shared" si="13"/>
        <v>7546</v>
      </c>
      <c r="L52" s="345">
        <f t="shared" si="13"/>
        <v>7000</v>
      </c>
      <c r="M52" s="228">
        <f t="shared" si="13"/>
        <v>7000</v>
      </c>
      <c r="N52" s="228">
        <f t="shared" si="13"/>
        <v>7000</v>
      </c>
    </row>
    <row r="53" spans="1:14" ht="12.75">
      <c r="A53" s="203">
        <f>A52+1</f>
        <v>46</v>
      </c>
      <c r="B53" s="256"/>
      <c r="C53" s="372" t="s">
        <v>361</v>
      </c>
      <c r="D53" s="231" t="s">
        <v>360</v>
      </c>
      <c r="E53" s="232"/>
      <c r="F53" s="233"/>
      <c r="G53" s="266">
        <f aca="true" t="shared" si="14" ref="G53:N53">SUM(G54:G56)</f>
        <v>609.9</v>
      </c>
      <c r="H53" s="350">
        <f>SUM(H54:H56)</f>
        <v>5643.429999999999</v>
      </c>
      <c r="I53" s="235">
        <f t="shared" si="14"/>
        <v>3900</v>
      </c>
      <c r="J53" s="235">
        <f>SUM(J54:J56)</f>
        <v>13400</v>
      </c>
      <c r="K53" s="235">
        <f t="shared" si="14"/>
        <v>7546</v>
      </c>
      <c r="L53" s="235">
        <f t="shared" si="14"/>
        <v>7000</v>
      </c>
      <c r="M53" s="235">
        <f t="shared" si="14"/>
        <v>7000</v>
      </c>
      <c r="N53" s="235">
        <f t="shared" si="14"/>
        <v>7000</v>
      </c>
    </row>
    <row r="54" spans="1:14" ht="12.75">
      <c r="A54" s="203">
        <f>A53+1</f>
        <v>47</v>
      </c>
      <c r="B54" s="256"/>
      <c r="C54" s="287" t="s">
        <v>377</v>
      </c>
      <c r="D54" s="286" t="s">
        <v>221</v>
      </c>
      <c r="E54" s="248" t="s">
        <v>378</v>
      </c>
      <c r="F54" s="254"/>
      <c r="G54" s="479">
        <f>ROUND(M54/30.126,1)</f>
        <v>33.2</v>
      </c>
      <c r="H54" s="1207">
        <f>výdavky!D329+výdavky!D328+výdavky!D335</f>
        <v>4635.5599999999995</v>
      </c>
      <c r="I54" s="303">
        <f>výdavky!E329+výdavky!E328</f>
        <v>1400</v>
      </c>
      <c r="J54" s="303">
        <f>výdavky!F328+výdavky!F329</f>
        <v>2400</v>
      </c>
      <c r="K54" s="303">
        <f>výdavky!G329</f>
        <v>0</v>
      </c>
      <c r="L54" s="351">
        <f>výdavky!H329</f>
        <v>1000</v>
      </c>
      <c r="M54" s="303">
        <f>výdavky!I329+výdavky!I328</f>
        <v>1000</v>
      </c>
      <c r="N54" s="303">
        <f>výdavky!J329+výdavky!J328</f>
        <v>1000</v>
      </c>
    </row>
    <row r="55" spans="1:14" ht="12.75">
      <c r="A55" s="203">
        <f>A54+1</f>
        <v>48</v>
      </c>
      <c r="B55" s="256"/>
      <c r="C55" s="287" t="s">
        <v>377</v>
      </c>
      <c r="D55" s="286" t="s">
        <v>223</v>
      </c>
      <c r="E55" s="248" t="s">
        <v>379</v>
      </c>
      <c r="F55" s="254"/>
      <c r="G55" s="479">
        <f>ROUND(M55/30.126,1)</f>
        <v>166</v>
      </c>
      <c r="H55" s="1207">
        <f>výdavky!D337</f>
        <v>0</v>
      </c>
      <c r="I55" s="303">
        <f>výdavky!E338+výdavky!E339</f>
        <v>1500</v>
      </c>
      <c r="J55" s="303">
        <f>výdavky!F337</f>
        <v>10000</v>
      </c>
      <c r="K55" s="303">
        <f>výdavky!G337</f>
        <v>7136</v>
      </c>
      <c r="L55" s="351">
        <f>výdavky!H337</f>
        <v>5000</v>
      </c>
      <c r="M55" s="303">
        <f>výdavky!I337</f>
        <v>5000</v>
      </c>
      <c r="N55" s="303">
        <f>výdavky!J337</f>
        <v>5000</v>
      </c>
    </row>
    <row r="56" spans="1:14" ht="12.75">
      <c r="A56" s="203">
        <f>A55+1</f>
        <v>49</v>
      </c>
      <c r="B56" s="256"/>
      <c r="C56" s="285" t="s">
        <v>220</v>
      </c>
      <c r="D56" s="286" t="s">
        <v>234</v>
      </c>
      <c r="E56" s="248" t="s">
        <v>586</v>
      </c>
      <c r="F56" s="254"/>
      <c r="G56" s="479">
        <f>397.4+13.3</f>
        <v>410.7</v>
      </c>
      <c r="H56" s="1207">
        <f>výdavky!D340</f>
        <v>1007.87</v>
      </c>
      <c r="I56" s="303">
        <f>výdavky!E340</f>
        <v>1000</v>
      </c>
      <c r="J56" s="303">
        <f>výdavky!F340</f>
        <v>1000</v>
      </c>
      <c r="K56" s="303">
        <f>výdavky!G340</f>
        <v>410</v>
      </c>
      <c r="L56" s="351">
        <f>výdavky!H340</f>
        <v>1000</v>
      </c>
      <c r="M56" s="303">
        <f>výdavky!I340</f>
        <v>1000</v>
      </c>
      <c r="N56" s="303">
        <f>výdavky!J340</f>
        <v>1000</v>
      </c>
    </row>
    <row r="57" spans="1:14" ht="12.75">
      <c r="A57" s="203">
        <v>48</v>
      </c>
      <c r="B57" s="261"/>
      <c r="C57" s="285"/>
      <c r="D57" s="1102" t="s">
        <v>188</v>
      </c>
      <c r="E57" s="1103"/>
      <c r="F57" s="1104"/>
      <c r="G57" s="1105">
        <f aca="true" t="shared" si="15" ref="G57:N57">G58</f>
        <v>0</v>
      </c>
      <c r="H57" s="1213">
        <f>H58</f>
        <v>0</v>
      </c>
      <c r="I57" s="1106">
        <f t="shared" si="15"/>
        <v>0</v>
      </c>
      <c r="J57" s="1106">
        <f>J58</f>
        <v>0</v>
      </c>
      <c r="K57" s="1106">
        <f t="shared" si="15"/>
        <v>0</v>
      </c>
      <c r="L57" s="1107">
        <f t="shared" si="15"/>
        <v>0</v>
      </c>
      <c r="M57" s="1106">
        <f t="shared" si="15"/>
        <v>0</v>
      </c>
      <c r="N57" s="1106">
        <f t="shared" si="15"/>
        <v>0</v>
      </c>
    </row>
    <row r="58" spans="1:14" ht="12.75">
      <c r="A58" s="203">
        <f>A57+1</f>
        <v>49</v>
      </c>
      <c r="B58" s="256"/>
      <c r="C58" s="372" t="s">
        <v>372</v>
      </c>
      <c r="D58" s="231" t="s">
        <v>373</v>
      </c>
      <c r="E58" s="232"/>
      <c r="F58" s="233"/>
      <c r="G58" s="266">
        <f aca="true" t="shared" si="16" ref="G58:N58">SUM(G59:G59)</f>
        <v>0</v>
      </c>
      <c r="H58" s="350">
        <f>H59</f>
        <v>0</v>
      </c>
      <c r="I58" s="235">
        <f t="shared" si="16"/>
        <v>0</v>
      </c>
      <c r="J58" s="235">
        <f>J59</f>
        <v>0</v>
      </c>
      <c r="K58" s="235">
        <f t="shared" si="16"/>
        <v>0</v>
      </c>
      <c r="L58" s="480">
        <f t="shared" si="16"/>
        <v>0</v>
      </c>
      <c r="M58" s="235">
        <f t="shared" si="16"/>
        <v>0</v>
      </c>
      <c r="N58" s="235">
        <f t="shared" si="16"/>
        <v>0</v>
      </c>
    </row>
    <row r="59" spans="1:14" ht="12.75">
      <c r="A59" s="203">
        <f>A58+1</f>
        <v>50</v>
      </c>
      <c r="B59" s="256"/>
      <c r="C59" s="287" t="s">
        <v>298</v>
      </c>
      <c r="D59" s="286" t="s">
        <v>242</v>
      </c>
      <c r="E59" s="248"/>
      <c r="F59" s="254"/>
      <c r="G59" s="255"/>
      <c r="H59" s="516">
        <v>0</v>
      </c>
      <c r="I59" s="247">
        <v>0</v>
      </c>
      <c r="J59" s="247"/>
      <c r="K59" s="247">
        <v>0</v>
      </c>
      <c r="L59" s="351">
        <v>0</v>
      </c>
      <c r="M59" s="247">
        <v>0</v>
      </c>
      <c r="N59" s="247">
        <v>0</v>
      </c>
    </row>
    <row r="60" spans="1:14" ht="12.75">
      <c r="A60" s="203">
        <v>51</v>
      </c>
      <c r="B60" s="208">
        <v>5</v>
      </c>
      <c r="C60" s="309" t="s">
        <v>380</v>
      </c>
      <c r="D60" s="210"/>
      <c r="E60" s="210"/>
      <c r="F60" s="211"/>
      <c r="G60" s="212">
        <f>SUM(G63)</f>
        <v>0</v>
      </c>
      <c r="H60" s="509">
        <f>H61</f>
        <v>26765</v>
      </c>
      <c r="I60" s="214">
        <f>I62</f>
        <v>15941</v>
      </c>
      <c r="J60" s="214">
        <f>J61</f>
        <v>10000</v>
      </c>
      <c r="K60" s="214">
        <f>K62</f>
        <v>15141</v>
      </c>
      <c r="L60" s="343">
        <f>L62</f>
        <v>0</v>
      </c>
      <c r="M60" s="214">
        <f>M62</f>
        <v>5000</v>
      </c>
      <c r="N60" s="214">
        <f>N62</f>
        <v>10000</v>
      </c>
    </row>
    <row r="61" spans="1:14" ht="12.75">
      <c r="A61" s="203">
        <f aca="true" t="shared" si="17" ref="A61:A69">A60+1</f>
        <v>52</v>
      </c>
      <c r="B61" s="223"/>
      <c r="C61" s="224"/>
      <c r="D61" s="206" t="s">
        <v>186</v>
      </c>
      <c r="E61" s="225"/>
      <c r="F61" s="226"/>
      <c r="G61" s="227">
        <f aca="true" t="shared" si="18" ref="G61:N61">G62</f>
        <v>0</v>
      </c>
      <c r="H61" s="511">
        <f>H62</f>
        <v>26765</v>
      </c>
      <c r="I61" s="228">
        <f t="shared" si="18"/>
        <v>15941</v>
      </c>
      <c r="J61" s="228">
        <f>J62</f>
        <v>10000</v>
      </c>
      <c r="K61" s="228">
        <f t="shared" si="18"/>
        <v>15141</v>
      </c>
      <c r="L61" s="345">
        <f t="shared" si="18"/>
        <v>0</v>
      </c>
      <c r="M61" s="228">
        <f t="shared" si="18"/>
        <v>5000</v>
      </c>
      <c r="N61" s="228">
        <f t="shared" si="18"/>
        <v>10000</v>
      </c>
    </row>
    <row r="62" spans="1:14" ht="12" customHeight="1">
      <c r="A62" s="203">
        <f t="shared" si="17"/>
        <v>53</v>
      </c>
      <c r="B62" s="261"/>
      <c r="C62" s="372" t="s">
        <v>381</v>
      </c>
      <c r="D62" s="231" t="s">
        <v>382</v>
      </c>
      <c r="E62" s="232"/>
      <c r="F62" s="233"/>
      <c r="G62" s="266">
        <f>SUM(G63:G63)</f>
        <v>0</v>
      </c>
      <c r="H62" s="350">
        <f>H63+H64</f>
        <v>26765</v>
      </c>
      <c r="I62" s="235">
        <f>SUM(I63:I64)</f>
        <v>15941</v>
      </c>
      <c r="J62" s="235">
        <f>J63+J64</f>
        <v>10000</v>
      </c>
      <c r="K62" s="235">
        <f>SUM(K63:K64)</f>
        <v>15141</v>
      </c>
      <c r="L62" s="235">
        <f>SUM(L63:L64)</f>
        <v>0</v>
      </c>
      <c r="M62" s="235">
        <f>SUM(M63:M64)</f>
        <v>5000</v>
      </c>
      <c r="N62" s="235">
        <f>SUM(N63:N64)</f>
        <v>10000</v>
      </c>
    </row>
    <row r="63" spans="1:14" ht="12.75">
      <c r="A63" s="203">
        <f t="shared" si="17"/>
        <v>54</v>
      </c>
      <c r="B63" s="261"/>
      <c r="C63" s="287" t="s">
        <v>377</v>
      </c>
      <c r="D63" s="286" t="s">
        <v>221</v>
      </c>
      <c r="E63" s="244" t="s">
        <v>383</v>
      </c>
      <c r="F63" s="274"/>
      <c r="G63" s="255">
        <f>ROUND(M63/30.126,1)</f>
        <v>0</v>
      </c>
      <c r="H63" s="516">
        <f>výdavky!D362</f>
        <v>26765</v>
      </c>
      <c r="I63" s="247">
        <v>0</v>
      </c>
      <c r="J63" s="247">
        <v>0</v>
      </c>
      <c r="K63" s="247">
        <v>0</v>
      </c>
      <c r="L63" s="351">
        <v>0</v>
      </c>
      <c r="M63" s="247">
        <v>0</v>
      </c>
      <c r="N63" s="247">
        <v>0</v>
      </c>
    </row>
    <row r="64" spans="1:14" ht="12.75">
      <c r="A64" s="203">
        <f t="shared" si="17"/>
        <v>55</v>
      </c>
      <c r="B64" s="256"/>
      <c r="C64" s="287" t="s">
        <v>377</v>
      </c>
      <c r="D64" s="286" t="s">
        <v>223</v>
      </c>
      <c r="E64" s="244" t="s">
        <v>384</v>
      </c>
      <c r="F64" s="274"/>
      <c r="G64" s="255">
        <v>1.8</v>
      </c>
      <c r="H64" s="516">
        <v>0</v>
      </c>
      <c r="I64" s="247">
        <f>výdavky!E362</f>
        <v>15941</v>
      </c>
      <c r="J64" s="247">
        <f>výdavky!F362</f>
        <v>10000</v>
      </c>
      <c r="K64" s="247">
        <f>výdavky!G362</f>
        <v>15141</v>
      </c>
      <c r="L64" s="351">
        <f>výdavky!H362</f>
        <v>0</v>
      </c>
      <c r="M64" s="247">
        <f>výdavky!I362</f>
        <v>5000</v>
      </c>
      <c r="N64" s="247">
        <f>výdavky!J362</f>
        <v>10000</v>
      </c>
    </row>
    <row r="65" spans="1:14" s="168" customFormat="1" ht="12.75">
      <c r="A65" s="203">
        <f t="shared" si="17"/>
        <v>56</v>
      </c>
      <c r="B65" s="304">
        <v>6</v>
      </c>
      <c r="C65" s="305" t="s">
        <v>385</v>
      </c>
      <c r="D65" s="210"/>
      <c r="E65" s="210"/>
      <c r="F65" s="211"/>
      <c r="G65" s="212">
        <f>G67+F70</f>
        <v>99.60000000000001</v>
      </c>
      <c r="H65" s="509">
        <f>H66</f>
        <v>2405</v>
      </c>
      <c r="I65" s="214">
        <f aca="true" t="shared" si="19" ref="I65:N66">I66</f>
        <v>2887</v>
      </c>
      <c r="J65" s="214">
        <f>J66</f>
        <v>3500</v>
      </c>
      <c r="K65" s="214">
        <f t="shared" si="19"/>
        <v>1380</v>
      </c>
      <c r="L65" s="343">
        <f t="shared" si="19"/>
        <v>3000</v>
      </c>
      <c r="M65" s="214">
        <f t="shared" si="19"/>
        <v>3000</v>
      </c>
      <c r="N65" s="214">
        <f t="shared" si="19"/>
        <v>3000</v>
      </c>
    </row>
    <row r="66" spans="1:14" ht="12.75">
      <c r="A66" s="203">
        <f t="shared" si="17"/>
        <v>57</v>
      </c>
      <c r="B66" s="306"/>
      <c r="C66" s="296"/>
      <c r="D66" s="205" t="s">
        <v>186</v>
      </c>
      <c r="E66" s="225"/>
      <c r="F66" s="226"/>
      <c r="G66" s="227">
        <f>G67+F70</f>
        <v>99.60000000000001</v>
      </c>
      <c r="H66" s="511">
        <f>H67</f>
        <v>2405</v>
      </c>
      <c r="I66" s="228">
        <f t="shared" si="19"/>
        <v>2887</v>
      </c>
      <c r="J66" s="228">
        <f>J67</f>
        <v>3500</v>
      </c>
      <c r="K66" s="228">
        <f t="shared" si="19"/>
        <v>1380</v>
      </c>
      <c r="L66" s="345">
        <f t="shared" si="19"/>
        <v>3000</v>
      </c>
      <c r="M66" s="228">
        <f t="shared" si="19"/>
        <v>3000</v>
      </c>
      <c r="N66" s="228">
        <f t="shared" si="19"/>
        <v>3000</v>
      </c>
    </row>
    <row r="67" spans="1:14" ht="12.75">
      <c r="A67" s="203">
        <f t="shared" si="17"/>
        <v>58</v>
      </c>
      <c r="B67" s="229"/>
      <c r="C67" s="372" t="s">
        <v>381</v>
      </c>
      <c r="D67" s="264" t="s">
        <v>382</v>
      </c>
      <c r="E67" s="232"/>
      <c r="F67" s="233"/>
      <c r="G67" s="266">
        <f aca="true" t="shared" si="20" ref="G67:N67">SUM(G68:G69)</f>
        <v>99.60000000000001</v>
      </c>
      <c r="H67" s="350">
        <f>H68+H69</f>
        <v>2405</v>
      </c>
      <c r="I67" s="235">
        <f t="shared" si="20"/>
        <v>2887</v>
      </c>
      <c r="J67" s="235">
        <f>J68+J69</f>
        <v>3500</v>
      </c>
      <c r="K67" s="235">
        <f t="shared" si="20"/>
        <v>1380</v>
      </c>
      <c r="L67" s="235">
        <f t="shared" si="20"/>
        <v>3000</v>
      </c>
      <c r="M67" s="235">
        <f t="shared" si="20"/>
        <v>3000</v>
      </c>
      <c r="N67" s="235">
        <f t="shared" si="20"/>
        <v>3000</v>
      </c>
    </row>
    <row r="68" spans="1:14" ht="12.75">
      <c r="A68" s="203">
        <f t="shared" si="17"/>
        <v>59</v>
      </c>
      <c r="B68" s="229"/>
      <c r="C68" s="287" t="s">
        <v>201</v>
      </c>
      <c r="D68" s="286" t="s">
        <v>221</v>
      </c>
      <c r="E68" s="248" t="s">
        <v>352</v>
      </c>
      <c r="F68" s="254"/>
      <c r="G68" s="255">
        <f>ROUND(M68/30.126,1)</f>
        <v>66.4</v>
      </c>
      <c r="H68" s="516">
        <f>výdavky!D360</f>
        <v>1855</v>
      </c>
      <c r="I68" s="247">
        <f>výdavky!E360</f>
        <v>1687</v>
      </c>
      <c r="J68" s="247">
        <f>výdavky!F360</f>
        <v>2000</v>
      </c>
      <c r="K68" s="247">
        <f>výdavky!G360</f>
        <v>880</v>
      </c>
      <c r="L68" s="351">
        <f>výdavky!H360</f>
        <v>2000</v>
      </c>
      <c r="M68" s="247">
        <f>výdavky!I360</f>
        <v>2000</v>
      </c>
      <c r="N68" s="247">
        <f>výdavky!J360</f>
        <v>2000</v>
      </c>
    </row>
    <row r="69" spans="1:14" ht="12.75">
      <c r="A69" s="316">
        <f t="shared" si="17"/>
        <v>60</v>
      </c>
      <c r="B69" s="421"/>
      <c r="C69" s="422" t="s">
        <v>207</v>
      </c>
      <c r="D69" s="354" t="s">
        <v>223</v>
      </c>
      <c r="E69" s="423" t="s">
        <v>385</v>
      </c>
      <c r="F69" s="424"/>
      <c r="G69" s="425">
        <f>ROUND(M69/30.126,1)</f>
        <v>33.2</v>
      </c>
      <c r="H69" s="526">
        <f>výdavky!D361</f>
        <v>550</v>
      </c>
      <c r="I69" s="359">
        <f>výdavky!E361</f>
        <v>1200</v>
      </c>
      <c r="J69" s="359">
        <f>výdavky!F361</f>
        <v>1500</v>
      </c>
      <c r="K69" s="359">
        <f>výdavky!G361</f>
        <v>500</v>
      </c>
      <c r="L69" s="358">
        <f>výdavky!H361</f>
        <v>1000</v>
      </c>
      <c r="M69" s="359">
        <f>výdavky!I361</f>
        <v>1000</v>
      </c>
      <c r="N69" s="359">
        <f>výdavky!J361</f>
        <v>1000</v>
      </c>
    </row>
    <row r="70" spans="1:14" ht="12.75">
      <c r="A70" s="1"/>
      <c r="B70"/>
      <c r="D70" s="490"/>
      <c r="N70" s="491"/>
    </row>
    <row r="71" spans="1:14" ht="12.75">
      <c r="A71" s="1"/>
      <c r="B71"/>
      <c r="N71" s="491"/>
    </row>
    <row r="72" spans="1:14" ht="12.75">
      <c r="A72" s="1"/>
      <c r="B72"/>
      <c r="N72" s="491"/>
    </row>
    <row r="73" spans="1:14" ht="12.75">
      <c r="A73" s="1"/>
      <c r="B73"/>
      <c r="N73" s="491"/>
    </row>
    <row r="74" spans="1:14" ht="12.75">
      <c r="A74" s="1"/>
      <c r="B74"/>
      <c r="N74" s="491"/>
    </row>
    <row r="75" spans="1:14" ht="12.75">
      <c r="A75" s="1"/>
      <c r="B75"/>
      <c r="N75" s="491"/>
    </row>
    <row r="76" spans="1:14" ht="12.75">
      <c r="A76" s="1"/>
      <c r="B76"/>
      <c r="N76" s="491"/>
    </row>
    <row r="77" spans="1:14" ht="12.75">
      <c r="A77" s="1"/>
      <c r="B77"/>
      <c r="N77" s="491"/>
    </row>
    <row r="78" spans="1:14" ht="12.75">
      <c r="A78" s="1"/>
      <c r="B78"/>
      <c r="N78" s="491"/>
    </row>
    <row r="79" spans="1:14" ht="12.75">
      <c r="A79" s="1"/>
      <c r="B79"/>
      <c r="N79" s="491"/>
    </row>
    <row r="80" spans="1:14" ht="12.75">
      <c r="A80" s="1"/>
      <c r="B80"/>
      <c r="N80" s="491"/>
    </row>
    <row r="81" spans="1:14" ht="12.75">
      <c r="A81" s="1"/>
      <c r="B81"/>
      <c r="N81" s="491"/>
    </row>
    <row r="82" spans="1:14" ht="12.75">
      <c r="A82" s="1"/>
      <c r="B82"/>
      <c r="N82" s="491"/>
    </row>
    <row r="83" spans="1:14" ht="12.75">
      <c r="A83" s="1"/>
      <c r="B83"/>
      <c r="N83" s="491"/>
    </row>
    <row r="84" spans="1:14" ht="12.75">
      <c r="A84" s="1"/>
      <c r="B84"/>
      <c r="N84" s="491"/>
    </row>
    <row r="85" spans="1:14" ht="12.75">
      <c r="A85" s="1"/>
      <c r="B85"/>
      <c r="N85" s="491"/>
    </row>
    <row r="86" spans="1:14" ht="12.75">
      <c r="A86" s="1"/>
      <c r="B86"/>
      <c r="N86" s="491"/>
    </row>
    <row r="87" spans="1:14" ht="12.75">
      <c r="A87" s="1"/>
      <c r="B87"/>
      <c r="N87" s="491"/>
    </row>
    <row r="88" spans="1:14" ht="12.75">
      <c r="A88" s="1"/>
      <c r="B88"/>
      <c r="N88" s="491"/>
    </row>
    <row r="89" spans="1:14" ht="12.75">
      <c r="A89" s="1"/>
      <c r="B89"/>
      <c r="N89" s="491"/>
    </row>
    <row r="90" spans="1:14" ht="12.75">
      <c r="A90" s="1"/>
      <c r="B90"/>
      <c r="N90" s="491"/>
    </row>
    <row r="91" spans="1:14" ht="12.75">
      <c r="A91" s="1"/>
      <c r="B91"/>
      <c r="N91" s="491"/>
    </row>
    <row r="92" spans="1:14" ht="12.75">
      <c r="A92" s="1"/>
      <c r="B92"/>
      <c r="N92" s="491"/>
    </row>
    <row r="93" spans="1:14" ht="12.75">
      <c r="A93" s="1"/>
      <c r="B93"/>
      <c r="N93" s="491"/>
    </row>
    <row r="94" spans="1:14" ht="12.75">
      <c r="A94" s="1"/>
      <c r="B94"/>
      <c r="N94" s="491"/>
    </row>
    <row r="95" spans="1:14" ht="12.75">
      <c r="A95" s="1"/>
      <c r="B95"/>
      <c r="N95" s="491"/>
    </row>
    <row r="96" spans="1:14" ht="12.75">
      <c r="A96" s="1"/>
      <c r="B96"/>
      <c r="N96" s="491"/>
    </row>
    <row r="97" spans="1:14" ht="12.75">
      <c r="A97" s="1"/>
      <c r="B97"/>
      <c r="N97" s="491"/>
    </row>
    <row r="98" spans="1:14" ht="12.75">
      <c r="A98" s="1"/>
      <c r="B98"/>
      <c r="N98" s="491"/>
    </row>
    <row r="99" spans="1:14" ht="12.75">
      <c r="A99" s="1"/>
      <c r="B99"/>
      <c r="N99" s="491"/>
    </row>
    <row r="100" spans="1:14" ht="12.75">
      <c r="A100" s="1"/>
      <c r="B100"/>
      <c r="N100" s="491"/>
    </row>
    <row r="101" spans="1:14" ht="12.75">
      <c r="A101" s="1"/>
      <c r="B101"/>
      <c r="N101" s="491"/>
    </row>
  </sheetData>
  <sheetProtection/>
  <mergeCells count="5">
    <mergeCell ref="D49:E49"/>
    <mergeCell ref="G3:N3"/>
    <mergeCell ref="D4:F6"/>
    <mergeCell ref="D47:E47"/>
    <mergeCell ref="D48:E48"/>
  </mergeCells>
  <printOptions/>
  <pageMargins left="0.25" right="0.25" top="0.75" bottom="0.75" header="0.3" footer="0.3"/>
  <pageSetup fitToHeight="1" fitToWidth="1" horizontalDpi="300" verticalDpi="3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view="pageLayout" workbookViewId="0" topLeftCell="A3">
      <selection activeCell="R54" sqref="R54:R55"/>
    </sheetView>
  </sheetViews>
  <sheetFormatPr defaultColWidth="9.140625" defaultRowHeight="12.75"/>
  <cols>
    <col min="1" max="1" width="3.57421875" style="167" customWidth="1"/>
    <col min="2" max="2" width="4.140625" style="1" customWidth="1"/>
    <col min="3" max="3" width="7.57421875" style="0" customWidth="1"/>
    <col min="4" max="4" width="3.421875" style="0" customWidth="1"/>
    <col min="5" max="5" width="31.421875" style="0" customWidth="1"/>
    <col min="7" max="7" width="0" style="0" hidden="1" customWidth="1"/>
    <col min="8" max="9" width="8.00390625" style="0" customWidth="1"/>
    <col min="10" max="10" width="8.140625" style="0" customWidth="1"/>
    <col min="11" max="11" width="7.57421875" style="0" customWidth="1"/>
    <col min="12" max="12" width="8.57421875" style="0" customWidth="1"/>
    <col min="13" max="13" width="8.421875" style="0" customWidth="1"/>
    <col min="14" max="14" width="9.7109375" style="0" customWidth="1"/>
  </cols>
  <sheetData>
    <row r="1" spans="2:15" ht="15.75">
      <c r="B1" s="171" t="s">
        <v>386</v>
      </c>
      <c r="E1" s="171" t="s">
        <v>387</v>
      </c>
      <c r="F1" s="169"/>
      <c r="G1" s="326" t="e">
        <f>G2-G7</f>
        <v>#REF!</v>
      </c>
      <c r="H1" s="326"/>
      <c r="I1" s="326"/>
      <c r="J1" s="326"/>
      <c r="K1" s="326"/>
      <c r="L1" s="325">
        <f>L2-L7</f>
        <v>0</v>
      </c>
      <c r="M1" s="325">
        <f>M2-M7</f>
        <v>0</v>
      </c>
      <c r="N1" s="325">
        <f>N2-N7</f>
        <v>0</v>
      </c>
      <c r="O1" s="492"/>
    </row>
    <row r="2" spans="2:15" ht="16.5" thickBot="1">
      <c r="B2" s="171"/>
      <c r="F2" s="169"/>
      <c r="G2" s="326" t="e">
        <f>SUM(G8:G10)</f>
        <v>#REF!</v>
      </c>
      <c r="H2" s="326"/>
      <c r="I2" s="326"/>
      <c r="J2" s="326"/>
      <c r="K2" s="326"/>
      <c r="L2" s="325">
        <f>SUM(L8:L10)</f>
        <v>1736407</v>
      </c>
      <c r="M2" s="325">
        <f>SUM(M8:M10)</f>
        <v>1400521</v>
      </c>
      <c r="N2" s="325">
        <f>SUM(N8:N10)</f>
        <v>1412346</v>
      </c>
      <c r="O2" s="492"/>
    </row>
    <row r="3" spans="1:14" ht="16.5" thickBot="1">
      <c r="A3" s="2467"/>
      <c r="B3" s="2468"/>
      <c r="C3" s="2469"/>
      <c r="D3" s="2469"/>
      <c r="E3" s="2470"/>
      <c r="F3" s="2471"/>
      <c r="G3" s="3207" t="s">
        <v>173</v>
      </c>
      <c r="H3" s="3208"/>
      <c r="I3" s="3207"/>
      <c r="J3" s="3207"/>
      <c r="K3" s="3207"/>
      <c r="L3" s="3207"/>
      <c r="M3" s="3207"/>
      <c r="N3" s="3209"/>
    </row>
    <row r="4" spans="1:14" ht="12" customHeight="1" thickBot="1">
      <c r="A4" s="2472"/>
      <c r="B4" s="186" t="s">
        <v>174</v>
      </c>
      <c r="C4" s="187" t="s">
        <v>175</v>
      </c>
      <c r="D4" s="3198" t="s">
        <v>176</v>
      </c>
      <c r="E4" s="3198"/>
      <c r="F4" s="3198"/>
      <c r="G4" s="188"/>
      <c r="H4" s="975">
        <v>2016</v>
      </c>
      <c r="I4" s="189">
        <v>2017</v>
      </c>
      <c r="J4" s="189">
        <v>2018</v>
      </c>
      <c r="K4" s="189" t="s">
        <v>790</v>
      </c>
      <c r="L4" s="189">
        <v>2019</v>
      </c>
      <c r="M4" s="189">
        <v>2020</v>
      </c>
      <c r="N4" s="2473">
        <v>2021</v>
      </c>
    </row>
    <row r="5" spans="1:14" ht="12" customHeight="1" thickBot="1">
      <c r="A5" s="2472"/>
      <c r="B5" s="186" t="s">
        <v>177</v>
      </c>
      <c r="C5" s="187" t="s">
        <v>178</v>
      </c>
      <c r="D5" s="3198"/>
      <c r="E5" s="3198"/>
      <c r="F5" s="3198"/>
      <c r="G5" s="190" t="s">
        <v>179</v>
      </c>
      <c r="H5" s="1001" t="s">
        <v>180</v>
      </c>
      <c r="I5" s="192" t="s">
        <v>181</v>
      </c>
      <c r="J5" s="192" t="s">
        <v>180</v>
      </c>
      <c r="K5" s="192" t="s">
        <v>181</v>
      </c>
      <c r="L5" s="493" t="s">
        <v>180</v>
      </c>
      <c r="M5" s="192" t="s">
        <v>181</v>
      </c>
      <c r="N5" s="2474" t="s">
        <v>181</v>
      </c>
    </row>
    <row r="6" spans="1:14" ht="13.5" thickBot="1">
      <c r="A6" s="2472"/>
      <c r="B6" s="186" t="s">
        <v>182</v>
      </c>
      <c r="C6" s="187" t="s">
        <v>183</v>
      </c>
      <c r="D6" s="3198"/>
      <c r="E6" s="3198"/>
      <c r="F6" s="3198"/>
      <c r="G6" s="193">
        <v>1</v>
      </c>
      <c r="H6" s="1002">
        <v>-3</v>
      </c>
      <c r="I6" s="195">
        <v>-2</v>
      </c>
      <c r="J6" s="195">
        <v>-1</v>
      </c>
      <c r="K6" s="195">
        <v>-1</v>
      </c>
      <c r="L6" s="195">
        <v>0</v>
      </c>
      <c r="M6" s="195">
        <v>1</v>
      </c>
      <c r="N6" s="2475">
        <v>2</v>
      </c>
    </row>
    <row r="7" spans="1:14" ht="15">
      <c r="A7" s="2481">
        <v>1</v>
      </c>
      <c r="B7" s="2483" t="s">
        <v>386</v>
      </c>
      <c r="C7" s="2484"/>
      <c r="D7" s="2485"/>
      <c r="E7" s="2486" t="s">
        <v>387</v>
      </c>
      <c r="F7" s="2487"/>
      <c r="G7" s="2488" t="e">
        <f>G11+G23+G43+#REF!+#REF!+#REF!+#REF!+#REF!</f>
        <v>#REF!</v>
      </c>
      <c r="H7" s="2220">
        <f>H8+H9+H10</f>
        <v>1031481.7</v>
      </c>
      <c r="I7" s="2489">
        <f>SUM(I8:I10)</f>
        <v>1176120</v>
      </c>
      <c r="J7" s="2490">
        <f>J8+J9+J10</f>
        <v>1262560</v>
      </c>
      <c r="K7" s="2490">
        <f>SUM(K8:K10)</f>
        <v>1371919</v>
      </c>
      <c r="L7" s="2491">
        <f>SUM(L8:L10)</f>
        <v>1736407</v>
      </c>
      <c r="M7" s="2490">
        <f>SUM(M8:M10)</f>
        <v>1400521</v>
      </c>
      <c r="N7" s="2492">
        <f>SUM(N8:N10)</f>
        <v>1412346</v>
      </c>
    </row>
    <row r="8" spans="1:14" ht="12.75">
      <c r="A8" s="2451">
        <f>A7+1</f>
        <v>2</v>
      </c>
      <c r="B8" s="2493" t="s">
        <v>185</v>
      </c>
      <c r="C8" s="897" t="s">
        <v>186</v>
      </c>
      <c r="D8" s="898"/>
      <c r="E8" s="899"/>
      <c r="F8" s="900"/>
      <c r="G8" s="901" t="e">
        <f>G12+#REF!+#REF!+#REF!+#REF!+#REF!+#REF!+#REF!</f>
        <v>#REF!</v>
      </c>
      <c r="H8" s="1044">
        <f>H12+H24+H44</f>
        <v>1018881.7</v>
      </c>
      <c r="I8" s="1000">
        <f>SUM(I12,I24,I44)</f>
        <v>1174120</v>
      </c>
      <c r="J8" s="2100">
        <f>J12+J24+J44</f>
        <v>1090560</v>
      </c>
      <c r="K8" s="2100">
        <f>SUM(K12,K24,K44)</f>
        <v>1173313</v>
      </c>
      <c r="L8" s="902">
        <f>SUM(L12,L24,L44,L56)</f>
        <v>1356648</v>
      </c>
      <c r="M8" s="2100">
        <f>SUM(M12,M24,M44,M56)</f>
        <v>1400521</v>
      </c>
      <c r="N8" s="2476">
        <f>SUM(N12,N24,N44,N56)</f>
        <v>1412346</v>
      </c>
    </row>
    <row r="9" spans="1:14" ht="12.75">
      <c r="A9" s="2451">
        <f>A8+1</f>
        <v>3</v>
      </c>
      <c r="B9" s="2493" t="s">
        <v>187</v>
      </c>
      <c r="C9" s="816" t="s">
        <v>188</v>
      </c>
      <c r="D9" s="817"/>
      <c r="E9" s="818"/>
      <c r="F9" s="819"/>
      <c r="G9" s="820" t="e">
        <f>G20+#REF!+#REF!+#REF!+#REF!</f>
        <v>#REF!</v>
      </c>
      <c r="H9" s="1141">
        <f>H20+H39</f>
        <v>12600</v>
      </c>
      <c r="I9" s="991">
        <f>SUM(I20+I39)</f>
        <v>2000</v>
      </c>
      <c r="J9" s="821">
        <f>J20+J39</f>
        <v>172000</v>
      </c>
      <c r="K9" s="829">
        <f>K20+K39</f>
        <v>198606</v>
      </c>
      <c r="L9" s="821">
        <f>L20+L39</f>
        <v>379759</v>
      </c>
      <c r="M9" s="821">
        <f>M20+M39</f>
        <v>0</v>
      </c>
      <c r="N9" s="2477">
        <f>SUM(N20+N39)</f>
        <v>0</v>
      </c>
    </row>
    <row r="10" spans="1:14" ht="13.5" thickBot="1">
      <c r="A10" s="2451">
        <f>A9+1</f>
        <v>4</v>
      </c>
      <c r="B10" s="2493"/>
      <c r="C10" s="1108" t="s">
        <v>189</v>
      </c>
      <c r="D10" s="1109"/>
      <c r="E10" s="1110"/>
      <c r="F10" s="1111"/>
      <c r="G10" s="1112">
        <v>0</v>
      </c>
      <c r="H10" s="1142">
        <v>0</v>
      </c>
      <c r="I10" s="1113">
        <v>0</v>
      </c>
      <c r="J10" s="1114">
        <v>0</v>
      </c>
      <c r="K10" s="2448">
        <v>0</v>
      </c>
      <c r="L10" s="1115">
        <v>0</v>
      </c>
      <c r="M10" s="1114">
        <v>0</v>
      </c>
      <c r="N10" s="2478">
        <v>0</v>
      </c>
    </row>
    <row r="11" spans="1:14" ht="12.75">
      <c r="A11" s="2451">
        <v>5</v>
      </c>
      <c r="B11" s="903">
        <v>1</v>
      </c>
      <c r="C11" s="883" t="s">
        <v>168</v>
      </c>
      <c r="D11" s="892"/>
      <c r="E11" s="892"/>
      <c r="F11" s="893"/>
      <c r="G11" s="884" t="e">
        <f>G13+G21</f>
        <v>#REF!</v>
      </c>
      <c r="H11" s="1143">
        <f>H12+H20</f>
        <v>217736</v>
      </c>
      <c r="I11" s="885">
        <f>SUM(I12+I20)</f>
        <v>238746</v>
      </c>
      <c r="J11" s="831">
        <f>J12+J20</f>
        <v>379052</v>
      </c>
      <c r="K11" s="885">
        <f>SUM(K12+K20)</f>
        <v>400752</v>
      </c>
      <c r="L11" s="831">
        <f>SUM(L12+L20)</f>
        <v>620600</v>
      </c>
      <c r="M11" s="831">
        <f>SUM(M12+M20)</f>
        <v>251100</v>
      </c>
      <c r="N11" s="1006">
        <f>SUM(N12+N20)</f>
        <v>251100</v>
      </c>
    </row>
    <row r="12" spans="1:14" ht="12.75">
      <c r="A12" s="2451">
        <f aca="true" t="shared" si="0" ref="A12:A19">A11+1</f>
        <v>6</v>
      </c>
      <c r="B12" s="2494"/>
      <c r="C12" s="224"/>
      <c r="D12" s="205" t="s">
        <v>186</v>
      </c>
      <c r="E12" s="225"/>
      <c r="F12" s="225"/>
      <c r="G12" s="879">
        <f aca="true" t="shared" si="1" ref="G12:N12">G13</f>
        <v>8202.199999999999</v>
      </c>
      <c r="H12" s="757">
        <f>H13</f>
        <v>205136</v>
      </c>
      <c r="I12" s="905">
        <f t="shared" si="1"/>
        <v>236746</v>
      </c>
      <c r="J12" s="906">
        <f>J13</f>
        <v>207052</v>
      </c>
      <c r="K12" s="905">
        <f t="shared" si="1"/>
        <v>218957</v>
      </c>
      <c r="L12" s="906">
        <f t="shared" si="1"/>
        <v>252600</v>
      </c>
      <c r="M12" s="906">
        <f t="shared" si="1"/>
        <v>251100</v>
      </c>
      <c r="N12" s="1007">
        <f t="shared" si="1"/>
        <v>251100</v>
      </c>
    </row>
    <row r="13" spans="1:14" ht="12.75">
      <c r="A13" s="2451">
        <f t="shared" si="0"/>
        <v>7</v>
      </c>
      <c r="B13" s="2495"/>
      <c r="C13" s="347" t="s">
        <v>388</v>
      </c>
      <c r="D13" s="867" t="s">
        <v>389</v>
      </c>
      <c r="E13" s="868"/>
      <c r="F13" s="869"/>
      <c r="G13" s="853">
        <f aca="true" t="shared" si="2" ref="G13:N13">SUM(G14:G19)</f>
        <v>8202.199999999999</v>
      </c>
      <c r="H13" s="762">
        <f>SUM(H14:H19)</f>
        <v>205136</v>
      </c>
      <c r="I13" s="839">
        <f t="shared" si="2"/>
        <v>236746</v>
      </c>
      <c r="J13" s="762">
        <f>SUM(J14:J19)</f>
        <v>207052</v>
      </c>
      <c r="K13" s="839">
        <f>SUM(K14:K19)</f>
        <v>218957</v>
      </c>
      <c r="L13" s="762">
        <f>SUM(L14:L19)</f>
        <v>252600</v>
      </c>
      <c r="M13" s="762">
        <f t="shared" si="2"/>
        <v>251100</v>
      </c>
      <c r="N13" s="1008">
        <f t="shared" si="2"/>
        <v>251100</v>
      </c>
    </row>
    <row r="14" spans="1:14" ht="12.75">
      <c r="A14" s="2451">
        <f t="shared" si="0"/>
        <v>8</v>
      </c>
      <c r="B14" s="2495"/>
      <c r="C14" s="285" t="s">
        <v>390</v>
      </c>
      <c r="D14" s="843" t="s">
        <v>221</v>
      </c>
      <c r="E14" s="808" t="s">
        <v>391</v>
      </c>
      <c r="F14" s="850"/>
      <c r="G14" s="246">
        <f>ROUND(M14/30.126,1)</f>
        <v>6250.4</v>
      </c>
      <c r="H14" s="760">
        <f>výdavky!D372</f>
        <v>196674</v>
      </c>
      <c r="I14" s="351">
        <f>výdavky!E372+výdavky!E373</f>
        <v>162000</v>
      </c>
      <c r="J14" s="760">
        <f>výdavky!F372+výdavky!F373</f>
        <v>149500</v>
      </c>
      <c r="K14" s="351">
        <f>výdavky!G372+výdavky!G373</f>
        <v>149500</v>
      </c>
      <c r="L14" s="760">
        <f>výdavky!H372+výdavky!H373+výdavky!H403+výdavky!H404</f>
        <v>188300</v>
      </c>
      <c r="M14" s="760">
        <f>výdavky!I372+výdavky!I373+výdavky!I403+výdavky!I404</f>
        <v>188300</v>
      </c>
      <c r="N14" s="1009">
        <f>výdavky!J372+výdavky!J373+výdavky!J403+výdavky!J404</f>
        <v>188300</v>
      </c>
    </row>
    <row r="15" spans="1:14" ht="12.75">
      <c r="A15" s="2451">
        <f t="shared" si="0"/>
        <v>9</v>
      </c>
      <c r="B15" s="2495"/>
      <c r="C15" s="285" t="s">
        <v>392</v>
      </c>
      <c r="D15" s="843" t="s">
        <v>223</v>
      </c>
      <c r="E15" s="808" t="s">
        <v>369</v>
      </c>
      <c r="F15" s="850"/>
      <c r="G15" s="246">
        <f>ROUND(M15/30.126,1)</f>
        <v>1300.9</v>
      </c>
      <c r="H15" s="760">
        <f>výdavky!D374+výdavky!D401</f>
        <v>8462</v>
      </c>
      <c r="I15" s="351">
        <f>výdavky!E374+výdavky!E401</f>
        <v>48196</v>
      </c>
      <c r="J15" s="760">
        <f>výdavky!F374-výdavky!F398</f>
        <v>33680</v>
      </c>
      <c r="K15" s="351">
        <f>výdavky!G374-výdavky!G398</f>
        <v>33680</v>
      </c>
      <c r="L15" s="760">
        <f>výdavky!H374-výdavky!H398</f>
        <v>39190</v>
      </c>
      <c r="M15" s="760">
        <f>výdavky!I374-výdavky!I398</f>
        <v>39190</v>
      </c>
      <c r="N15" s="1009">
        <f>výdavky!J374-výdavky!J398</f>
        <v>39190</v>
      </c>
    </row>
    <row r="16" spans="1:14" ht="12.75">
      <c r="A16" s="2451">
        <v>10</v>
      </c>
      <c r="B16" s="2495"/>
      <c r="C16" s="285"/>
      <c r="D16" s="843" t="s">
        <v>234</v>
      </c>
      <c r="E16" s="877" t="s">
        <v>824</v>
      </c>
      <c r="F16" s="878"/>
      <c r="G16" s="858"/>
      <c r="H16" s="832">
        <f>výdavky!D373</f>
        <v>0</v>
      </c>
      <c r="I16" s="826"/>
      <c r="J16" s="832">
        <v>0</v>
      </c>
      <c r="K16" s="826">
        <f>výdavky!G401</f>
        <v>11905</v>
      </c>
      <c r="L16" s="832">
        <v>0</v>
      </c>
      <c r="M16" s="832">
        <v>0</v>
      </c>
      <c r="N16" s="1010">
        <v>0</v>
      </c>
    </row>
    <row r="17" spans="1:14" ht="12.75">
      <c r="A17" s="2451">
        <v>11</v>
      </c>
      <c r="B17" s="2495"/>
      <c r="C17" s="285" t="s">
        <v>203</v>
      </c>
      <c r="D17" s="843" t="s">
        <v>236</v>
      </c>
      <c r="E17" s="808" t="s">
        <v>777</v>
      </c>
      <c r="F17" s="850"/>
      <c r="G17" s="246">
        <f>ROUND(M17/30.126,1)</f>
        <v>650.9</v>
      </c>
      <c r="H17" s="760">
        <f>výdavky!D405</f>
        <v>0</v>
      </c>
      <c r="I17" s="351">
        <f>výdavky!E405</f>
        <v>23000</v>
      </c>
      <c r="J17" s="760">
        <f>výdavky!F405</f>
        <v>19872</v>
      </c>
      <c r="K17" s="351">
        <f>výdavky!G405</f>
        <v>19872</v>
      </c>
      <c r="L17" s="760">
        <f>výdavky!H405</f>
        <v>21110</v>
      </c>
      <c r="M17" s="760">
        <f>výdavky!I405</f>
        <v>19610</v>
      </c>
      <c r="N17" s="1009">
        <f>výdavky!J405</f>
        <v>19610</v>
      </c>
    </row>
    <row r="18" spans="1:14" ht="12.75">
      <c r="A18" s="2451">
        <f t="shared" si="0"/>
        <v>12</v>
      </c>
      <c r="B18" s="2495"/>
      <c r="C18" s="285" t="s">
        <v>377</v>
      </c>
      <c r="D18" s="843" t="s">
        <v>238</v>
      </c>
      <c r="E18" s="877" t="s">
        <v>394</v>
      </c>
      <c r="F18" s="876"/>
      <c r="G18" s="856"/>
      <c r="H18" s="1144">
        <f>výdavky!D399</f>
        <v>0</v>
      </c>
      <c r="I18" s="496">
        <f>výdavky!E399</f>
        <v>50</v>
      </c>
      <c r="J18" s="833">
        <f>výdavky!F399</f>
        <v>200</v>
      </c>
      <c r="K18" s="496">
        <f>výdavky!G399</f>
        <v>200</v>
      </c>
      <c r="L18" s="833">
        <f>výdavky!H399</f>
        <v>100</v>
      </c>
      <c r="M18" s="833">
        <f>výdavky!I399</f>
        <v>100</v>
      </c>
      <c r="N18" s="1011">
        <f>výdavky!J399</f>
        <v>100</v>
      </c>
    </row>
    <row r="19" spans="1:14" ht="12.75">
      <c r="A19" s="2451">
        <f t="shared" si="0"/>
        <v>13</v>
      </c>
      <c r="B19" s="2495"/>
      <c r="C19" s="285" t="s">
        <v>377</v>
      </c>
      <c r="D19" s="843" t="s">
        <v>242</v>
      </c>
      <c r="E19" s="877" t="s">
        <v>395</v>
      </c>
      <c r="F19" s="876"/>
      <c r="G19" s="856"/>
      <c r="H19" s="1144">
        <f>výdavky!D400</f>
        <v>0</v>
      </c>
      <c r="I19" s="496">
        <f>výdavky!E400</f>
        <v>3500</v>
      </c>
      <c r="J19" s="833">
        <f>výdavky!F400</f>
        <v>3800</v>
      </c>
      <c r="K19" s="496">
        <f>výdavky!G400</f>
        <v>3800</v>
      </c>
      <c r="L19" s="833">
        <f>výdavky!H400</f>
        <v>3900</v>
      </c>
      <c r="M19" s="833">
        <f>výdavky!I400</f>
        <v>3900</v>
      </c>
      <c r="N19" s="1011">
        <f>výdavky!J400</f>
        <v>3900</v>
      </c>
    </row>
    <row r="20" spans="1:14" ht="12.75">
      <c r="A20" s="2451">
        <v>14</v>
      </c>
      <c r="B20" s="2495"/>
      <c r="C20" s="285"/>
      <c r="D20" s="818" t="s">
        <v>188</v>
      </c>
      <c r="E20" s="822"/>
      <c r="F20" s="882"/>
      <c r="G20" s="880" t="e">
        <f aca="true" t="shared" si="3" ref="G20:N20">G21</f>
        <v>#REF!</v>
      </c>
      <c r="H20" s="834">
        <f>H21</f>
        <v>12600</v>
      </c>
      <c r="I20" s="840">
        <f t="shared" si="3"/>
        <v>2000</v>
      </c>
      <c r="J20" s="834">
        <f>J21</f>
        <v>172000</v>
      </c>
      <c r="K20" s="840">
        <f t="shared" si="3"/>
        <v>181795</v>
      </c>
      <c r="L20" s="834">
        <f t="shared" si="3"/>
        <v>368000</v>
      </c>
      <c r="M20" s="834">
        <f t="shared" si="3"/>
        <v>0</v>
      </c>
      <c r="N20" s="1012">
        <f t="shared" si="3"/>
        <v>0</v>
      </c>
    </row>
    <row r="21" spans="1:14" s="262" customFormat="1" ht="12.75">
      <c r="A21" s="2451">
        <f>A20+1</f>
        <v>15</v>
      </c>
      <c r="B21" s="2495"/>
      <c r="C21" s="347" t="s">
        <v>388</v>
      </c>
      <c r="D21" s="867" t="s">
        <v>389</v>
      </c>
      <c r="E21" s="868"/>
      <c r="F21" s="869"/>
      <c r="G21" s="853" t="e">
        <f>SUM(#REF!)</f>
        <v>#REF!</v>
      </c>
      <c r="H21" s="762">
        <f>H22</f>
        <v>12600</v>
      </c>
      <c r="I21" s="839">
        <f>SUM(I22:I22)</f>
        <v>2000</v>
      </c>
      <c r="J21" s="762">
        <f>J22</f>
        <v>172000</v>
      </c>
      <c r="K21" s="839">
        <f>SUM(K22:K22)</f>
        <v>181795</v>
      </c>
      <c r="L21" s="762">
        <f>SUM(L22:L22)</f>
        <v>368000</v>
      </c>
      <c r="M21" s="762">
        <f>SUM(M22:M22)</f>
        <v>0</v>
      </c>
      <c r="N21" s="1008">
        <f>SUM(N22:N22)</f>
        <v>0</v>
      </c>
    </row>
    <row r="22" spans="1:14" s="262" customFormat="1" ht="12.75">
      <c r="A22" s="2451">
        <f>A21+1</f>
        <v>16</v>
      </c>
      <c r="B22" s="2496"/>
      <c r="C22" s="852" t="s">
        <v>298</v>
      </c>
      <c r="D22" s="844" t="s">
        <v>242</v>
      </c>
      <c r="E22" s="894" t="s">
        <v>396</v>
      </c>
      <c r="F22" s="895"/>
      <c r="G22" s="857"/>
      <c r="H22" s="1145">
        <f>výdavky!D677</f>
        <v>12600</v>
      </c>
      <c r="I22" s="999">
        <f>výdavky!E677+výdavky!E679</f>
        <v>2000</v>
      </c>
      <c r="J22" s="1004">
        <f>výdavky!F676</f>
        <v>172000</v>
      </c>
      <c r="K22" s="477">
        <f>výdavky!G677+výdavky!G679+výdavky!G680</f>
        <v>181795</v>
      </c>
      <c r="L22" s="835">
        <f>výdavky!H676</f>
        <v>368000</v>
      </c>
      <c r="M22" s="835">
        <f>výdavky!I681</f>
        <v>0</v>
      </c>
      <c r="N22" s="1013">
        <f>výdavky!J677</f>
        <v>0</v>
      </c>
    </row>
    <row r="23" spans="1:14" ht="12.75">
      <c r="A23" s="2451">
        <v>17</v>
      </c>
      <c r="B23" s="904">
        <v>2</v>
      </c>
      <c r="C23" s="870" t="s">
        <v>166</v>
      </c>
      <c r="D23" s="871"/>
      <c r="E23" s="871"/>
      <c r="F23" s="872"/>
      <c r="G23" s="854" t="e">
        <f>#REF!+#REF!+#REF!+#REF!+#REF!+#REF!+#REF!+#REF!</f>
        <v>#REF!</v>
      </c>
      <c r="H23" s="1005">
        <f aca="true" t="shared" si="4" ref="H23:N23">H24+H39</f>
        <v>741162</v>
      </c>
      <c r="I23" s="1003">
        <f t="shared" si="4"/>
        <v>858593</v>
      </c>
      <c r="J23" s="2447">
        <f t="shared" si="4"/>
        <v>800808</v>
      </c>
      <c r="K23" s="888">
        <f t="shared" si="4"/>
        <v>854453</v>
      </c>
      <c r="L23" s="756">
        <f t="shared" si="4"/>
        <v>931692</v>
      </c>
      <c r="M23" s="756">
        <f t="shared" si="4"/>
        <v>959596</v>
      </c>
      <c r="N23" s="1014">
        <f t="shared" si="4"/>
        <v>971421</v>
      </c>
    </row>
    <row r="24" spans="1:14" ht="12.75">
      <c r="A24" s="2451">
        <f>A23+1</f>
        <v>18</v>
      </c>
      <c r="B24" s="2497"/>
      <c r="C24" s="896"/>
      <c r="D24" s="205" t="s">
        <v>186</v>
      </c>
      <c r="E24" s="225"/>
      <c r="F24" s="225"/>
      <c r="G24" s="879">
        <f>G37</f>
        <v>0</v>
      </c>
      <c r="H24" s="757">
        <f>H25</f>
        <v>741162</v>
      </c>
      <c r="I24" s="345">
        <f>SUM(I25)</f>
        <v>858593</v>
      </c>
      <c r="J24" s="757">
        <f>J25</f>
        <v>800808</v>
      </c>
      <c r="K24" s="345">
        <f>SUM(K25)</f>
        <v>837642</v>
      </c>
      <c r="L24" s="757">
        <f>SUM(L25)</f>
        <v>919933</v>
      </c>
      <c r="M24" s="757">
        <f>SUM(M25)</f>
        <v>959596</v>
      </c>
      <c r="N24" s="1015">
        <f>SUM(N25)</f>
        <v>971421</v>
      </c>
    </row>
    <row r="25" spans="1:14" ht="12.75">
      <c r="A25" s="2451">
        <v>19</v>
      </c>
      <c r="B25" s="2497"/>
      <c r="C25" s="347" t="s">
        <v>397</v>
      </c>
      <c r="D25" s="867" t="s">
        <v>398</v>
      </c>
      <c r="E25" s="868"/>
      <c r="F25" s="869"/>
      <c r="G25" s="853">
        <f>G26</f>
        <v>0</v>
      </c>
      <c r="H25" s="762">
        <f>SUM(H26:H38)</f>
        <v>741162</v>
      </c>
      <c r="I25" s="839">
        <f>SUM(I26,I27,I28,I29,I30,I31,I32,I33,I35,I37,I38)+I34</f>
        <v>858593</v>
      </c>
      <c r="J25" s="762">
        <f>J26+J27+J30</f>
        <v>800808</v>
      </c>
      <c r="K25" s="839">
        <f>K26+K27+K30</f>
        <v>837642</v>
      </c>
      <c r="L25" s="762">
        <f>L26+L27+L28+L29+L30</f>
        <v>919933</v>
      </c>
      <c r="M25" s="762">
        <f>SUM(M26:M30)</f>
        <v>959596</v>
      </c>
      <c r="N25" s="1008">
        <f>SUM(N26:N30)</f>
        <v>971421</v>
      </c>
    </row>
    <row r="26" spans="1:14" ht="12.75">
      <c r="A26" s="2451">
        <v>20</v>
      </c>
      <c r="B26" s="2497"/>
      <c r="C26" s="285" t="s">
        <v>390</v>
      </c>
      <c r="D26" s="865">
        <v>1</v>
      </c>
      <c r="E26" s="864" t="s">
        <v>391</v>
      </c>
      <c r="F26" s="866"/>
      <c r="G26" s="498"/>
      <c r="H26" s="1146">
        <f>výdavky!D423</f>
        <v>714462</v>
      </c>
      <c r="I26" s="841">
        <f>výdavky!E423</f>
        <v>445648</v>
      </c>
      <c r="J26" s="836">
        <f>výdavky!F423+výdavky!F484</f>
        <v>724091</v>
      </c>
      <c r="K26" s="841">
        <f>výdavky!G423+výdavky!G484</f>
        <v>766582</v>
      </c>
      <c r="L26" s="836">
        <f>výdavky!H423+výdavky!H484</f>
        <v>845601</v>
      </c>
      <c r="M26" s="836">
        <f>výdavky!I423+výdavky!I484</f>
        <v>884181</v>
      </c>
      <c r="N26" s="836">
        <f>výdavky!J423+výdavky!J484</f>
        <v>894806</v>
      </c>
    </row>
    <row r="27" spans="1:14" ht="12.75">
      <c r="A27" s="2451">
        <v>21</v>
      </c>
      <c r="B27" s="2497"/>
      <c r="C27" s="285" t="s">
        <v>392</v>
      </c>
      <c r="D27" s="384">
        <v>2</v>
      </c>
      <c r="E27" s="497" t="s">
        <v>369</v>
      </c>
      <c r="F27" s="499"/>
      <c r="G27" s="500"/>
      <c r="H27" s="1146">
        <f>výdavky!D439</f>
        <v>0</v>
      </c>
      <c r="I27" s="841">
        <f>výdavky!E439</f>
        <v>85198</v>
      </c>
      <c r="J27" s="836">
        <f>výdavky!F439+výdavky!F493-výdavky!F466-výdavky!F521</f>
        <v>55041</v>
      </c>
      <c r="K27" s="841">
        <f>výdavky!G439-výdavky!G466+výdavky!G493-výdavky!G521</f>
        <v>52407</v>
      </c>
      <c r="L27" s="836">
        <f>výdavky!H439-výdavky!H466+výdavky!H493-výdavky!H521</f>
        <v>54572</v>
      </c>
      <c r="M27" s="836">
        <f>výdavky!I493-výdavky!I521+výdavky!I439-výdavky!I466</f>
        <v>56522</v>
      </c>
      <c r="N27" s="836">
        <f>výdavky!J439-výdavky!J466+výdavky!J493-výdavky!J521</f>
        <v>56522</v>
      </c>
    </row>
    <row r="28" spans="1:14" ht="12.75">
      <c r="A28" s="2451">
        <v>22</v>
      </c>
      <c r="B28" s="2497"/>
      <c r="C28" s="285" t="s">
        <v>232</v>
      </c>
      <c r="D28" s="384">
        <v>3</v>
      </c>
      <c r="E28" s="375" t="s">
        <v>399</v>
      </c>
      <c r="F28" s="501"/>
      <c r="G28" s="502"/>
      <c r="H28" s="1147">
        <v>0</v>
      </c>
      <c r="I28" s="842">
        <f>výdavky!E484</f>
        <v>168020</v>
      </c>
      <c r="J28" s="837">
        <v>0</v>
      </c>
      <c r="K28" s="842">
        <v>0</v>
      </c>
      <c r="L28" s="837">
        <v>0</v>
      </c>
      <c r="M28" s="837">
        <v>0</v>
      </c>
      <c r="N28" s="837">
        <v>0</v>
      </c>
    </row>
    <row r="29" spans="1:14" ht="12.75">
      <c r="A29" s="2451">
        <v>23</v>
      </c>
      <c r="B29" s="2497"/>
      <c r="C29" s="285" t="s">
        <v>377</v>
      </c>
      <c r="D29" s="384">
        <v>4</v>
      </c>
      <c r="E29" s="375" t="s">
        <v>400</v>
      </c>
      <c r="F29" s="501"/>
      <c r="G29" s="502"/>
      <c r="H29" s="1147">
        <f>výdavky!D428</f>
        <v>0</v>
      </c>
      <c r="I29" s="842">
        <f>výdavky!E486</f>
        <v>8472</v>
      </c>
      <c r="J29" s="837">
        <v>0</v>
      </c>
      <c r="K29" s="842">
        <v>0</v>
      </c>
      <c r="L29" s="837">
        <v>0</v>
      </c>
      <c r="M29" s="837">
        <v>0</v>
      </c>
      <c r="N29" s="837">
        <v>0</v>
      </c>
    </row>
    <row r="30" spans="1:14" ht="12.75">
      <c r="A30" s="2451">
        <v>24</v>
      </c>
      <c r="B30" s="2497"/>
      <c r="C30" s="285" t="s">
        <v>377</v>
      </c>
      <c r="D30" s="384">
        <v>5</v>
      </c>
      <c r="E30" s="497" t="s">
        <v>775</v>
      </c>
      <c r="F30" s="499"/>
      <c r="G30" s="500"/>
      <c r="H30" s="1146">
        <f>výdavky!D487</f>
        <v>0</v>
      </c>
      <c r="I30" s="841">
        <f>výdavky!E487</f>
        <v>77988</v>
      </c>
      <c r="J30" s="836">
        <f>SUM(J31:J38)</f>
        <v>21676</v>
      </c>
      <c r="K30" s="841">
        <f>SUM(K31:K38)</f>
        <v>18653</v>
      </c>
      <c r="L30" s="836">
        <f>SUM(L31:L38)</f>
        <v>19760</v>
      </c>
      <c r="M30" s="836">
        <f>SUM(M31:M38)</f>
        <v>18893</v>
      </c>
      <c r="N30" s="836">
        <f>SUM(N31:N38)</f>
        <v>20093</v>
      </c>
    </row>
    <row r="31" spans="1:14" ht="12.75">
      <c r="A31" s="2451">
        <v>25</v>
      </c>
      <c r="B31" s="2497"/>
      <c r="C31" s="285" t="s">
        <v>377</v>
      </c>
      <c r="D31" s="384">
        <v>6</v>
      </c>
      <c r="E31" s="497" t="s">
        <v>401</v>
      </c>
      <c r="F31" s="499"/>
      <c r="G31" s="500"/>
      <c r="H31" s="1146">
        <f>výdavky!D467</f>
        <v>3200</v>
      </c>
      <c r="I31" s="841">
        <f>výdavky!E489</f>
        <v>9840</v>
      </c>
      <c r="J31" s="2098">
        <f>výdavky!F467+výdavky!F522</f>
        <v>4172</v>
      </c>
      <c r="K31" s="2449">
        <f>výdavky!G467+výdavky!G522</f>
        <v>4081</v>
      </c>
      <c r="L31" s="2098">
        <f>výdavky!H467+výdavky!H522</f>
        <v>3300</v>
      </c>
      <c r="M31" s="2098">
        <f>výdavky!I467+výdavky!I522</f>
        <v>3430</v>
      </c>
      <c r="N31" s="2098">
        <f>výdavky!J467+výdavky!J522</f>
        <v>3430</v>
      </c>
    </row>
    <row r="32" spans="1:14" ht="12.75">
      <c r="A32" s="2451">
        <v>26</v>
      </c>
      <c r="B32" s="2497"/>
      <c r="C32" s="285" t="s">
        <v>377</v>
      </c>
      <c r="D32" s="384">
        <v>7</v>
      </c>
      <c r="E32" s="497" t="s">
        <v>402</v>
      </c>
      <c r="F32" s="499"/>
      <c r="G32" s="500"/>
      <c r="H32" s="1146">
        <f>výdavky!D479</f>
        <v>12000</v>
      </c>
      <c r="I32" s="841">
        <f>výdavky!E490</f>
        <v>3384</v>
      </c>
      <c r="J32" s="2098">
        <f>výdavky!F479+výdavky!F532</f>
        <v>8165</v>
      </c>
      <c r="K32" s="2449">
        <f>výdavky!G479+výdavky!G532</f>
        <v>6650</v>
      </c>
      <c r="L32" s="2098">
        <f>výdavky!H479+výdavky!H532</f>
        <v>6800</v>
      </c>
      <c r="M32" s="2098">
        <f>výdavky!I479+výdavky!I532</f>
        <v>6950</v>
      </c>
      <c r="N32" s="2098">
        <f>výdavky!J479+výdavky!J532</f>
        <v>6950</v>
      </c>
    </row>
    <row r="33" spans="1:14" ht="12.75">
      <c r="A33" s="2451">
        <v>27</v>
      </c>
      <c r="B33" s="2497"/>
      <c r="C33" s="285" t="s">
        <v>377</v>
      </c>
      <c r="D33" s="384">
        <v>8</v>
      </c>
      <c r="E33" s="497" t="s">
        <v>403</v>
      </c>
      <c r="F33" s="499"/>
      <c r="G33" s="500"/>
      <c r="H33" s="1146">
        <f>výdavky!D468</f>
        <v>2500</v>
      </c>
      <c r="I33" s="841">
        <f>výdavky!E491</f>
        <v>12120</v>
      </c>
      <c r="J33" s="2098">
        <f>výdavky!F468+výdavky!F523</f>
        <v>949</v>
      </c>
      <c r="K33" s="2449">
        <f>výdavky!G523+výdavky!G468</f>
        <v>647</v>
      </c>
      <c r="L33" s="2098">
        <f>výdavky!H468+výdavky!H523</f>
        <v>680</v>
      </c>
      <c r="M33" s="2098">
        <f>výdavky!I468+výdavky!I523</f>
        <v>733</v>
      </c>
      <c r="N33" s="2098">
        <f>výdavky!J468+výdavky!J523</f>
        <v>733</v>
      </c>
    </row>
    <row r="34" spans="1:14" ht="12.75">
      <c r="A34" s="2451">
        <v>28</v>
      </c>
      <c r="B34" s="2497"/>
      <c r="C34" s="285" t="s">
        <v>377</v>
      </c>
      <c r="D34" s="384">
        <v>9</v>
      </c>
      <c r="E34" s="859" t="s">
        <v>404</v>
      </c>
      <c r="F34" s="860"/>
      <c r="G34" s="502"/>
      <c r="H34" s="1147">
        <f>výdavky!D492</f>
        <v>0</v>
      </c>
      <c r="I34" s="842">
        <f>výdavky!E492</f>
        <v>4200</v>
      </c>
      <c r="J34" s="2099">
        <v>0</v>
      </c>
      <c r="K34" s="2450">
        <v>0</v>
      </c>
      <c r="L34" s="2099">
        <v>0</v>
      </c>
      <c r="M34" s="2099">
        <v>0</v>
      </c>
      <c r="N34" s="2099">
        <v>0</v>
      </c>
    </row>
    <row r="35" spans="1:14" ht="12.75">
      <c r="A35" s="2451">
        <v>29</v>
      </c>
      <c r="B35" s="2497"/>
      <c r="C35" s="267" t="s">
        <v>377</v>
      </c>
      <c r="D35" s="489" t="s">
        <v>276</v>
      </c>
      <c r="E35" s="875" t="s">
        <v>405</v>
      </c>
      <c r="F35" s="876"/>
      <c r="G35" s="856"/>
      <c r="H35" s="833">
        <f>výdavky!D473</f>
        <v>8000</v>
      </c>
      <c r="I35" s="841">
        <f>výdavky!E493</f>
        <v>18971</v>
      </c>
      <c r="J35" s="2098">
        <f>výdavky!F473+výdavky!F526</f>
        <v>0</v>
      </c>
      <c r="K35" s="2449">
        <f>výdavky!G473+výdavky!G526</f>
        <v>0</v>
      </c>
      <c r="L35" s="2098">
        <f>výdavky!H473+výdavky!H526</f>
        <v>0</v>
      </c>
      <c r="M35" s="2098">
        <f>výdavky!I473+výdavky!I526</f>
        <v>0</v>
      </c>
      <c r="N35" s="2098">
        <f>výdavky!J473+výdavky!J526</f>
        <v>0</v>
      </c>
    </row>
    <row r="36" spans="1:14" ht="12.75">
      <c r="A36" s="2451">
        <v>30</v>
      </c>
      <c r="B36" s="2497"/>
      <c r="C36" s="267"/>
      <c r="D36" s="489" t="s">
        <v>368</v>
      </c>
      <c r="E36" s="875" t="s">
        <v>688</v>
      </c>
      <c r="F36" s="876"/>
      <c r="G36" s="856"/>
      <c r="H36" s="833">
        <f>výdavky!D478</f>
        <v>1000</v>
      </c>
      <c r="I36" s="841"/>
      <c r="J36" s="2098">
        <f>výdavky!F478+výdavky!F531</f>
        <v>190</v>
      </c>
      <c r="K36" s="2449">
        <f>výdavky!G531+výdavky!G478</f>
        <v>1175</v>
      </c>
      <c r="L36" s="2098">
        <f>výdavky!H478+výdavky!H531</f>
        <v>1280</v>
      </c>
      <c r="M36" s="2098">
        <f>výdavky!I478+výdavky!I531</f>
        <v>1280</v>
      </c>
      <c r="N36" s="2098">
        <f>výdavky!J478+výdavky!J531</f>
        <v>1280</v>
      </c>
    </row>
    <row r="37" spans="1:14" ht="12.75">
      <c r="A37" s="2451">
        <v>31</v>
      </c>
      <c r="B37" s="2497"/>
      <c r="C37" s="267" t="s">
        <v>377</v>
      </c>
      <c r="D37" s="851" t="s">
        <v>374</v>
      </c>
      <c r="E37" s="889" t="s">
        <v>776</v>
      </c>
      <c r="F37" s="881"/>
      <c r="G37" s="856"/>
      <c r="H37" s="833">
        <f>výdavky!D531</f>
        <v>0</v>
      </c>
      <c r="I37" s="841">
        <f>výdavky!E485</f>
        <v>24752</v>
      </c>
      <c r="J37" s="2098">
        <f>výdavky!F469+výdavky!F524</f>
        <v>8200</v>
      </c>
      <c r="K37" s="2449">
        <f>výdavky!G469+výdavky!G524</f>
        <v>6100</v>
      </c>
      <c r="L37" s="2098">
        <f>výdavky!H469+výdavky!H524</f>
        <v>7700</v>
      </c>
      <c r="M37" s="2098">
        <f>výdavky!I469+výdavky!I524</f>
        <v>6500</v>
      </c>
      <c r="N37" s="2098">
        <f>výdavky!J469+výdavky!J524</f>
        <v>7700</v>
      </c>
    </row>
    <row r="38" spans="1:14" ht="12.75">
      <c r="A38" s="2451">
        <v>32</v>
      </c>
      <c r="B38" s="2497"/>
      <c r="C38" s="285" t="s">
        <v>377</v>
      </c>
      <c r="D38" s="843" t="s">
        <v>687</v>
      </c>
      <c r="E38" s="877"/>
      <c r="F38" s="876"/>
      <c r="G38" s="503"/>
      <c r="H38" s="1214"/>
      <c r="I38" s="841"/>
      <c r="J38" s="2098"/>
      <c r="K38" s="2449"/>
      <c r="L38" s="2098"/>
      <c r="M38" s="2098"/>
      <c r="N38" s="2098"/>
    </row>
    <row r="39" spans="1:14" ht="12.75">
      <c r="A39" s="2451">
        <v>33</v>
      </c>
      <c r="B39" s="2495"/>
      <c r="C39" s="285"/>
      <c r="D39" s="818" t="s">
        <v>188</v>
      </c>
      <c r="E39" s="822"/>
      <c r="F39" s="882"/>
      <c r="G39" s="880">
        <f aca="true" t="shared" si="5" ref="G39:N40">G40</f>
        <v>0</v>
      </c>
      <c r="H39" s="1148">
        <f>H40</f>
        <v>0</v>
      </c>
      <c r="I39" s="840">
        <f t="shared" si="5"/>
        <v>0</v>
      </c>
      <c r="J39" s="834">
        <f>J40</f>
        <v>0</v>
      </c>
      <c r="K39" s="840">
        <f t="shared" si="5"/>
        <v>16811</v>
      </c>
      <c r="L39" s="834">
        <f t="shared" si="5"/>
        <v>11759</v>
      </c>
      <c r="M39" s="834">
        <f t="shared" si="5"/>
        <v>0</v>
      </c>
      <c r="N39" s="1012">
        <f t="shared" si="5"/>
        <v>0</v>
      </c>
    </row>
    <row r="40" spans="1:14" ht="12.75">
      <c r="A40" s="2451">
        <f aca="true" t="shared" si="6" ref="A40:A53">A39+1</f>
        <v>34</v>
      </c>
      <c r="B40" s="2495"/>
      <c r="C40" s="347" t="s">
        <v>397</v>
      </c>
      <c r="D40" s="867" t="s">
        <v>398</v>
      </c>
      <c r="E40" s="868"/>
      <c r="F40" s="869"/>
      <c r="G40" s="853">
        <f t="shared" si="5"/>
        <v>0</v>
      </c>
      <c r="H40" s="1149">
        <f>H41+H42</f>
        <v>0</v>
      </c>
      <c r="I40" s="839">
        <f t="shared" si="5"/>
        <v>0</v>
      </c>
      <c r="J40" s="762">
        <f>J41+J42</f>
        <v>0</v>
      </c>
      <c r="K40" s="839">
        <f t="shared" si="5"/>
        <v>16811</v>
      </c>
      <c r="L40" s="762">
        <f t="shared" si="5"/>
        <v>11759</v>
      </c>
      <c r="M40" s="762">
        <f t="shared" si="5"/>
        <v>0</v>
      </c>
      <c r="N40" s="1008">
        <f t="shared" si="5"/>
        <v>0</v>
      </c>
    </row>
    <row r="41" spans="1:14" ht="12.75">
      <c r="A41" s="2451">
        <f t="shared" si="6"/>
        <v>35</v>
      </c>
      <c r="B41" s="2496"/>
      <c r="C41" s="267" t="s">
        <v>298</v>
      </c>
      <c r="D41" s="805" t="s">
        <v>826</v>
      </c>
      <c r="E41" s="873" t="s">
        <v>726</v>
      </c>
      <c r="F41" s="874"/>
      <c r="G41" s="855"/>
      <c r="H41" s="759">
        <f>výdavky!D683</f>
        <v>0</v>
      </c>
      <c r="I41" s="374">
        <v>0</v>
      </c>
      <c r="J41" s="759">
        <f>výdavky!F683</f>
        <v>0</v>
      </c>
      <c r="K41" s="374">
        <f>výdavky!G682</f>
        <v>16811</v>
      </c>
      <c r="L41" s="759">
        <f>výdavky!H682</f>
        <v>11759</v>
      </c>
      <c r="M41" s="759">
        <f>výdavky!I686</f>
        <v>0</v>
      </c>
      <c r="N41" s="1016">
        <f>výdavky!J682</f>
        <v>0</v>
      </c>
    </row>
    <row r="42" spans="1:14" ht="12.75">
      <c r="A42" s="2451">
        <f t="shared" si="6"/>
        <v>36</v>
      </c>
      <c r="B42" s="2496"/>
      <c r="C42" s="287" t="s">
        <v>298</v>
      </c>
      <c r="D42" s="851" t="s">
        <v>827</v>
      </c>
      <c r="E42" s="890"/>
      <c r="F42" s="891"/>
      <c r="G42" s="246"/>
      <c r="H42" s="760"/>
      <c r="I42" s="351">
        <v>0</v>
      </c>
      <c r="J42" s="760">
        <v>0</v>
      </c>
      <c r="K42" s="351">
        <v>0</v>
      </c>
      <c r="L42" s="760">
        <v>0</v>
      </c>
      <c r="M42" s="760">
        <v>0</v>
      </c>
      <c r="N42" s="1009">
        <v>0</v>
      </c>
    </row>
    <row r="43" spans="1:14" ht="12.75">
      <c r="A43" s="2451">
        <f t="shared" si="6"/>
        <v>37</v>
      </c>
      <c r="B43" s="904">
        <v>3</v>
      </c>
      <c r="C43" s="870" t="s">
        <v>406</v>
      </c>
      <c r="D43" s="871"/>
      <c r="E43" s="871"/>
      <c r="F43" s="872"/>
      <c r="G43" s="854" t="e">
        <f>#REF!+#REF!</f>
        <v>#REF!</v>
      </c>
      <c r="H43" s="888">
        <f>H44</f>
        <v>72583.70000000001</v>
      </c>
      <c r="I43" s="887">
        <f aca="true" t="shared" si="7" ref="I43:N44">I44</f>
        <v>78781</v>
      </c>
      <c r="J43" s="888">
        <f>J44</f>
        <v>82700</v>
      </c>
      <c r="K43" s="887">
        <f t="shared" si="7"/>
        <v>116714</v>
      </c>
      <c r="L43" s="888">
        <f t="shared" si="7"/>
        <v>158075</v>
      </c>
      <c r="M43" s="888">
        <f t="shared" si="7"/>
        <v>164525</v>
      </c>
      <c r="N43" s="1017">
        <f t="shared" si="7"/>
        <v>164525</v>
      </c>
    </row>
    <row r="44" spans="1:14" ht="12.75">
      <c r="A44" s="2451">
        <f t="shared" si="6"/>
        <v>38</v>
      </c>
      <c r="B44" s="2494"/>
      <c r="C44" s="224"/>
      <c r="D44" s="205" t="s">
        <v>186</v>
      </c>
      <c r="E44" s="225"/>
      <c r="F44" s="225"/>
      <c r="G44" s="879">
        <f>G45</f>
        <v>2660.2000000000003</v>
      </c>
      <c r="H44" s="757">
        <f>H45</f>
        <v>72583.70000000001</v>
      </c>
      <c r="I44" s="345">
        <f t="shared" si="7"/>
        <v>78781</v>
      </c>
      <c r="J44" s="757">
        <f>J45</f>
        <v>82700</v>
      </c>
      <c r="K44" s="345">
        <f t="shared" si="7"/>
        <v>116714</v>
      </c>
      <c r="L44" s="757">
        <f t="shared" si="7"/>
        <v>158075</v>
      </c>
      <c r="M44" s="757">
        <f t="shared" si="7"/>
        <v>164525</v>
      </c>
      <c r="N44" s="1015">
        <f t="shared" si="7"/>
        <v>164525</v>
      </c>
    </row>
    <row r="45" spans="1:14" ht="12.75">
      <c r="A45" s="2451">
        <f t="shared" si="6"/>
        <v>39</v>
      </c>
      <c r="B45" s="2495"/>
      <c r="C45" s="347" t="s">
        <v>407</v>
      </c>
      <c r="D45" s="867" t="s">
        <v>408</v>
      </c>
      <c r="E45" s="868"/>
      <c r="F45" s="869"/>
      <c r="G45" s="853">
        <f>SUM(G46:G53)</f>
        <v>2660.2000000000003</v>
      </c>
      <c r="H45" s="762">
        <f>SUM(H46:H54)</f>
        <v>72583.70000000001</v>
      </c>
      <c r="I45" s="839">
        <f>SUM(I46:I53)+I54</f>
        <v>78781</v>
      </c>
      <c r="J45" s="762">
        <f>SUM(J46:J54)</f>
        <v>82700</v>
      </c>
      <c r="K45" s="839">
        <f>SUM(K46:K53)+K54</f>
        <v>116714</v>
      </c>
      <c r="L45" s="762">
        <f>SUM(L46:L53)+L54</f>
        <v>158075</v>
      </c>
      <c r="M45" s="762">
        <f>SUM(M46:M53)+M54</f>
        <v>164525</v>
      </c>
      <c r="N45" s="1008">
        <f>SUM(N46:N53)+N54</f>
        <v>164525</v>
      </c>
    </row>
    <row r="46" spans="1:14" ht="12.75">
      <c r="A46" s="2451">
        <f t="shared" si="6"/>
        <v>40</v>
      </c>
      <c r="B46" s="2495"/>
      <c r="C46" s="267" t="s">
        <v>195</v>
      </c>
      <c r="D46" s="863" t="s">
        <v>221</v>
      </c>
      <c r="E46" s="849" t="s">
        <v>249</v>
      </c>
      <c r="F46" s="850"/>
      <c r="G46" s="246">
        <f>ROUND(M46/30.126,1)</f>
        <v>1775.9</v>
      </c>
      <c r="H46" s="760">
        <f>výdavky!D538+výdavky!D539</f>
        <v>26831.08</v>
      </c>
      <c r="I46" s="351">
        <f>výdavky!E538+výdavky!E539</f>
        <v>30200</v>
      </c>
      <c r="J46" s="760">
        <f>výdavky!F538+výdavky!F539</f>
        <v>33000</v>
      </c>
      <c r="K46" s="351">
        <f>výdavky!G538</f>
        <v>41200</v>
      </c>
      <c r="L46" s="760">
        <f>výdavky!H538</f>
        <v>52000</v>
      </c>
      <c r="M46" s="760">
        <f>výdavky!I538</f>
        <v>53500</v>
      </c>
      <c r="N46" s="1009">
        <f>výdavky!J538</f>
        <v>53500</v>
      </c>
    </row>
    <row r="47" spans="1:14" ht="12.75">
      <c r="A47" s="2451">
        <f t="shared" si="6"/>
        <v>41</v>
      </c>
      <c r="B47" s="2495"/>
      <c r="C47" s="267" t="s">
        <v>197</v>
      </c>
      <c r="D47" s="489" t="s">
        <v>223</v>
      </c>
      <c r="E47" s="849" t="s">
        <v>409</v>
      </c>
      <c r="F47" s="850"/>
      <c r="G47" s="246">
        <f>ROUND(M47/30.126,1)</f>
        <v>817.9</v>
      </c>
      <c r="H47" s="760">
        <f>výdavky!D540</f>
        <v>9425.95</v>
      </c>
      <c r="I47" s="351">
        <f>výdavky!E540</f>
        <v>11170</v>
      </c>
      <c r="J47" s="760">
        <f>výdavky!F540</f>
        <v>12000</v>
      </c>
      <c r="K47" s="351">
        <f>výdavky!G540</f>
        <v>14875</v>
      </c>
      <c r="L47" s="760">
        <f>výdavky!H540</f>
        <v>18890</v>
      </c>
      <c r="M47" s="760">
        <f>výdavky!I540</f>
        <v>24640</v>
      </c>
      <c r="N47" s="1009">
        <f>výdavky!J540</f>
        <v>24640</v>
      </c>
    </row>
    <row r="48" spans="1:14" ht="12.75">
      <c r="A48" s="2451">
        <f t="shared" si="6"/>
        <v>42</v>
      </c>
      <c r="B48" s="2495"/>
      <c r="C48" s="267" t="s">
        <v>201</v>
      </c>
      <c r="D48" s="489" t="s">
        <v>234</v>
      </c>
      <c r="E48" s="849" t="s">
        <v>352</v>
      </c>
      <c r="F48" s="850"/>
      <c r="G48" s="246"/>
      <c r="H48" s="760">
        <f>výdavky!D542</f>
        <v>7014.27</v>
      </c>
      <c r="I48" s="351">
        <f>výdavky!E542</f>
        <v>6800</v>
      </c>
      <c r="J48" s="760">
        <f>výdavky!F542</f>
        <v>7000</v>
      </c>
      <c r="K48" s="351">
        <f>výdavky!G542</f>
        <v>5955</v>
      </c>
      <c r="L48" s="760">
        <f>výdavky!H542</f>
        <v>7985</v>
      </c>
      <c r="M48" s="760">
        <f>výdavky!I542</f>
        <v>8185</v>
      </c>
      <c r="N48" s="1009">
        <f>výdavky!J542</f>
        <v>8185</v>
      </c>
    </row>
    <row r="49" spans="1:14" ht="12.75">
      <c r="A49" s="2451">
        <f t="shared" si="6"/>
        <v>43</v>
      </c>
      <c r="B49" s="2495"/>
      <c r="C49" s="267" t="s">
        <v>203</v>
      </c>
      <c r="D49" s="489" t="s">
        <v>236</v>
      </c>
      <c r="E49" s="861" t="s">
        <v>410</v>
      </c>
      <c r="F49" s="862"/>
      <c r="G49" s="246">
        <f>ROUND(M49/30.126,1)</f>
        <v>66.4</v>
      </c>
      <c r="H49" s="760">
        <f>výdavky!D543+výdavky!D544</f>
        <v>2187.05</v>
      </c>
      <c r="I49" s="351">
        <f>výdavky!E543+výdavky!E544</f>
        <v>1451</v>
      </c>
      <c r="J49" s="760">
        <f>výdavky!F543</f>
        <v>1500</v>
      </c>
      <c r="K49" s="351">
        <f>výdavky!G543</f>
        <v>4214</v>
      </c>
      <c r="L49" s="760">
        <f>výdavky!H543</f>
        <v>2000</v>
      </c>
      <c r="M49" s="760">
        <f>výdavky!I543</f>
        <v>2000</v>
      </c>
      <c r="N49" s="1009">
        <f>výdavky!J543</f>
        <v>2000</v>
      </c>
    </row>
    <row r="50" spans="1:14" ht="12.75">
      <c r="A50" s="2451">
        <f t="shared" si="6"/>
        <v>44</v>
      </c>
      <c r="B50" s="2495"/>
      <c r="C50" s="267" t="s">
        <v>203</v>
      </c>
      <c r="D50" s="805" t="s">
        <v>238</v>
      </c>
      <c r="E50" s="849" t="s">
        <v>393</v>
      </c>
      <c r="F50" s="850"/>
      <c r="G50" s="241"/>
      <c r="H50" s="759">
        <f>výdavky!D545</f>
        <v>25217.11</v>
      </c>
      <c r="I50" s="374">
        <f>výdavky!E545</f>
        <v>27000</v>
      </c>
      <c r="J50" s="759">
        <f>výdavky!F545</f>
        <v>27000</v>
      </c>
      <c r="K50" s="374">
        <f>výdavky!G545</f>
        <v>47587</v>
      </c>
      <c r="L50" s="759">
        <f>výdavky!H545</f>
        <v>75000</v>
      </c>
      <c r="M50" s="759">
        <f>výdavky!I545</f>
        <v>75000</v>
      </c>
      <c r="N50" s="1016">
        <f>výdavky!J545</f>
        <v>75000</v>
      </c>
    </row>
    <row r="51" spans="1:14" ht="12.75">
      <c r="A51" s="2451">
        <f t="shared" si="6"/>
        <v>45</v>
      </c>
      <c r="B51" s="2495"/>
      <c r="C51" s="267" t="s">
        <v>203</v>
      </c>
      <c r="D51" s="489" t="s">
        <v>242</v>
      </c>
      <c r="E51" s="849" t="s">
        <v>411</v>
      </c>
      <c r="F51" s="850"/>
      <c r="G51" s="246"/>
      <c r="H51" s="760">
        <f>výdavky!D546</f>
        <v>810.6</v>
      </c>
      <c r="I51" s="351">
        <f>výdavky!E546</f>
        <v>280</v>
      </c>
      <c r="J51" s="760">
        <f>výdavky!F546</f>
        <v>1000</v>
      </c>
      <c r="K51" s="351">
        <f>výdavky!G546+výdavky!G544</f>
        <v>2051</v>
      </c>
      <c r="L51" s="760">
        <f>výdavky!H546</f>
        <v>1000</v>
      </c>
      <c r="M51" s="760">
        <f>výdavky!I546</f>
        <v>500</v>
      </c>
      <c r="N51" s="1009">
        <f>výdavky!J546</f>
        <v>500</v>
      </c>
    </row>
    <row r="52" spans="1:14" ht="12.75">
      <c r="A52" s="2451">
        <f t="shared" si="6"/>
        <v>46</v>
      </c>
      <c r="B52" s="2495"/>
      <c r="C52" s="267" t="s">
        <v>207</v>
      </c>
      <c r="D52" s="851" t="s">
        <v>244</v>
      </c>
      <c r="E52" s="849" t="s">
        <v>285</v>
      </c>
      <c r="F52" s="850"/>
      <c r="G52" s="252"/>
      <c r="H52" s="763">
        <f>výdavky!D547</f>
        <v>57.79</v>
      </c>
      <c r="I52" s="743">
        <f>výdavky!E547</f>
        <v>1100</v>
      </c>
      <c r="J52" s="763">
        <f>výdavky!F547</f>
        <v>500</v>
      </c>
      <c r="K52" s="743">
        <f>výdavky!G547</f>
        <v>0</v>
      </c>
      <c r="L52" s="763">
        <f>výdavky!H547</f>
        <v>500</v>
      </c>
      <c r="M52" s="763">
        <f>výdavky!I547</f>
        <v>500</v>
      </c>
      <c r="N52" s="1018">
        <f>výdavky!J547</f>
        <v>500</v>
      </c>
    </row>
    <row r="53" spans="1:14" ht="12.75">
      <c r="A53" s="2451">
        <f t="shared" si="6"/>
        <v>47</v>
      </c>
      <c r="B53" s="2495"/>
      <c r="C53" s="285" t="s">
        <v>211</v>
      </c>
      <c r="D53" s="847" t="s">
        <v>272</v>
      </c>
      <c r="E53" s="849" t="s">
        <v>212</v>
      </c>
      <c r="F53" s="850"/>
      <c r="G53" s="848"/>
      <c r="H53" s="764">
        <f>výdavky!D549</f>
        <v>938.24</v>
      </c>
      <c r="I53" s="845">
        <f>výdavky!E549+výdavky!E548</f>
        <v>780</v>
      </c>
      <c r="J53" s="846">
        <f>výdavky!F549</f>
        <v>700</v>
      </c>
      <c r="K53" s="845">
        <f>výdavky!G549</f>
        <v>585</v>
      </c>
      <c r="L53" s="846">
        <f>výdavky!H549</f>
        <v>700</v>
      </c>
      <c r="M53" s="846">
        <f>výdavky!I549</f>
        <v>200</v>
      </c>
      <c r="N53" s="1019">
        <f>výdavky!J549</f>
        <v>200</v>
      </c>
    </row>
    <row r="54" spans="1:14" ht="12.75">
      <c r="A54" s="2482">
        <v>48</v>
      </c>
      <c r="B54" s="2498"/>
      <c r="C54" s="2453">
        <v>642</v>
      </c>
      <c r="D54" s="2454">
        <v>9</v>
      </c>
      <c r="E54" s="2455" t="s">
        <v>694</v>
      </c>
      <c r="F54" s="2456"/>
      <c r="G54" s="2457"/>
      <c r="H54" s="2458">
        <f>výdavky!D550</f>
        <v>101.61</v>
      </c>
      <c r="I54" s="2459">
        <f>výdavky!E550</f>
        <v>0</v>
      </c>
      <c r="J54" s="2460">
        <f>výdavky!F550</f>
        <v>0</v>
      </c>
      <c r="K54" s="2461">
        <f>výdavky!G550</f>
        <v>247</v>
      </c>
      <c r="L54" s="2460">
        <f>výdavky!H550</f>
        <v>0</v>
      </c>
      <c r="M54" s="2460">
        <f>výdavky!I550</f>
        <v>0</v>
      </c>
      <c r="N54" s="2479">
        <f>výdavky!J550</f>
        <v>0</v>
      </c>
    </row>
    <row r="55" spans="1:14" ht="12.75">
      <c r="A55" s="2482">
        <v>49</v>
      </c>
      <c r="B55" s="2499">
        <v>4</v>
      </c>
      <c r="C55" s="2465" t="s">
        <v>825</v>
      </c>
      <c r="D55" s="210"/>
      <c r="E55" s="210"/>
      <c r="F55" s="2463"/>
      <c r="G55" s="168"/>
      <c r="H55" s="2464"/>
      <c r="I55" s="2464"/>
      <c r="J55" s="2464"/>
      <c r="K55" s="2464"/>
      <c r="L55" s="2505">
        <f aca="true" t="shared" si="8" ref="L55:N56">L56</f>
        <v>26040</v>
      </c>
      <c r="M55" s="2505">
        <f t="shared" si="8"/>
        <v>25300</v>
      </c>
      <c r="N55" s="2506">
        <f t="shared" si="8"/>
        <v>25300</v>
      </c>
    </row>
    <row r="56" spans="1:14" ht="12.75">
      <c r="A56" s="2482">
        <v>50</v>
      </c>
      <c r="B56" s="2500"/>
      <c r="C56" s="2462"/>
      <c r="D56" s="2502" t="s">
        <v>186</v>
      </c>
      <c r="E56" s="2503"/>
      <c r="F56" s="2504"/>
      <c r="G56" s="2466"/>
      <c r="H56" s="2466"/>
      <c r="I56" s="2466"/>
      <c r="J56" s="2466"/>
      <c r="K56" s="2466"/>
      <c r="L56" s="2507">
        <f t="shared" si="8"/>
        <v>26040</v>
      </c>
      <c r="M56" s="2507">
        <f t="shared" si="8"/>
        <v>25300</v>
      </c>
      <c r="N56" s="2508">
        <f t="shared" si="8"/>
        <v>25300</v>
      </c>
    </row>
    <row r="57" spans="1:14" ht="13.5" thickBot="1">
      <c r="A57" s="2452">
        <v>51</v>
      </c>
      <c r="B57" s="2501"/>
      <c r="C57" s="886">
        <v>640</v>
      </c>
      <c r="D57" s="2480">
        <v>1</v>
      </c>
      <c r="E57" s="3210" t="s">
        <v>828</v>
      </c>
      <c r="F57" s="3210"/>
      <c r="G57" s="2480"/>
      <c r="H57" s="2480"/>
      <c r="I57" s="2480"/>
      <c r="J57" s="2480"/>
      <c r="K57" s="2480"/>
      <c r="L57" s="2509">
        <f>výdavky!H552</f>
        <v>26040</v>
      </c>
      <c r="M57" s="2509">
        <f>výdavky!I552</f>
        <v>25300</v>
      </c>
      <c r="N57" s="2510">
        <f>výdavky!J552</f>
        <v>25300</v>
      </c>
    </row>
    <row r="58" ht="12.75">
      <c r="N58" s="491"/>
    </row>
  </sheetData>
  <sheetProtection/>
  <mergeCells count="3">
    <mergeCell ref="G3:N3"/>
    <mergeCell ref="D4:F6"/>
    <mergeCell ref="E57:F57"/>
  </mergeCells>
  <printOptions/>
  <pageMargins left="0.25" right="0.25" top="0.75" bottom="0.75" header="0.3" footer="0.3"/>
  <pageSetup fitToHeight="0" fitToWidth="1" horizontalDpi="300" verticalDpi="3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view="pageLayout" workbookViewId="0" topLeftCell="A1">
      <selection activeCell="R54" sqref="R54:R55"/>
    </sheetView>
  </sheetViews>
  <sheetFormatPr defaultColWidth="9.140625" defaultRowHeight="12.75"/>
  <cols>
    <col min="1" max="1" width="3.57421875" style="167" customWidth="1"/>
    <col min="2" max="2" width="4.140625" style="1" customWidth="1"/>
    <col min="3" max="3" width="7.57421875" style="0" customWidth="1"/>
    <col min="4" max="4" width="3.421875" style="0" customWidth="1"/>
    <col min="5" max="5" width="31.421875" style="0" customWidth="1"/>
    <col min="6" max="6" width="7.8515625" style="0" customWidth="1"/>
    <col min="7" max="7" width="0" style="0" hidden="1" customWidth="1"/>
    <col min="10" max="10" width="9.421875" style="0" bestFit="1" customWidth="1"/>
    <col min="12" max="12" width="7.57421875" style="0" customWidth="1"/>
    <col min="13" max="13" width="8.421875" style="0" customWidth="1"/>
    <col min="14" max="14" width="7.28125" style="0" customWidth="1"/>
  </cols>
  <sheetData>
    <row r="1" spans="2:14" ht="15.75">
      <c r="B1" s="171" t="s">
        <v>412</v>
      </c>
      <c r="E1" s="504" t="s">
        <v>413</v>
      </c>
      <c r="F1" s="169"/>
      <c r="G1" s="324" t="e">
        <f>G2-G7</f>
        <v>#REF!</v>
      </c>
      <c r="H1" s="324"/>
      <c r="I1" s="324"/>
      <c r="J1" s="324"/>
      <c r="K1" s="324"/>
      <c r="L1" s="325">
        <f>L2-L7</f>
        <v>0</v>
      </c>
      <c r="M1" s="325">
        <f>M2-M7</f>
        <v>0</v>
      </c>
      <c r="N1" s="325">
        <f>N2-N7</f>
        <v>0</v>
      </c>
    </row>
    <row r="2" spans="2:14" ht="15.75">
      <c r="B2" s="171"/>
      <c r="E2" s="169"/>
      <c r="F2" s="169"/>
      <c r="G2" s="324" t="e">
        <f>SUM(G8:G10)</f>
        <v>#REF!</v>
      </c>
      <c r="H2" s="324"/>
      <c r="I2" s="324"/>
      <c r="J2" s="324"/>
      <c r="K2" s="324"/>
      <c r="L2" s="325">
        <f>SUM(L8:L10)</f>
        <v>103450</v>
      </c>
      <c r="M2" s="325">
        <f>SUM(M8:M10)</f>
        <v>107550</v>
      </c>
      <c r="N2" s="325">
        <f>SUM(N8:N10)</f>
        <v>110750</v>
      </c>
    </row>
    <row r="3" spans="1:14" ht="12.75" customHeight="1">
      <c r="A3" s="180"/>
      <c r="B3" s="181"/>
      <c r="C3" s="182"/>
      <c r="D3" s="182"/>
      <c r="E3" s="183"/>
      <c r="F3" s="184"/>
      <c r="G3" s="3196" t="s">
        <v>173</v>
      </c>
      <c r="H3" s="3196"/>
      <c r="I3" s="3196"/>
      <c r="J3" s="3196"/>
      <c r="K3" s="3196"/>
      <c r="L3" s="3196"/>
      <c r="M3" s="3196"/>
      <c r="N3" s="3196"/>
    </row>
    <row r="4" spans="1:14" ht="12" customHeight="1">
      <c r="A4" s="185"/>
      <c r="B4" s="186" t="s">
        <v>174</v>
      </c>
      <c r="C4" s="187" t="s">
        <v>175</v>
      </c>
      <c r="D4" s="3199" t="s">
        <v>176</v>
      </c>
      <c r="E4" s="3199"/>
      <c r="F4" s="3199"/>
      <c r="G4" s="188"/>
      <c r="H4" s="975">
        <v>2016</v>
      </c>
      <c r="I4" s="189">
        <v>2017</v>
      </c>
      <c r="J4" s="189">
        <v>2018</v>
      </c>
      <c r="K4" s="189" t="s">
        <v>790</v>
      </c>
      <c r="L4" s="189">
        <v>2019</v>
      </c>
      <c r="M4" s="189">
        <v>2020</v>
      </c>
      <c r="N4" s="189">
        <v>2021</v>
      </c>
    </row>
    <row r="5" spans="1:14" ht="13.5" customHeight="1">
      <c r="A5" s="185"/>
      <c r="B5" s="186" t="s">
        <v>177</v>
      </c>
      <c r="C5" s="187" t="s">
        <v>178</v>
      </c>
      <c r="D5" s="3199"/>
      <c r="E5" s="3199"/>
      <c r="F5" s="3199"/>
      <c r="G5" s="190" t="s">
        <v>179</v>
      </c>
      <c r="H5" s="997" t="s">
        <v>180</v>
      </c>
      <c r="I5" s="192" t="s">
        <v>181</v>
      </c>
      <c r="J5" s="192" t="s">
        <v>180</v>
      </c>
      <c r="K5" s="192" t="s">
        <v>181</v>
      </c>
      <c r="L5" s="493" t="s">
        <v>180</v>
      </c>
      <c r="M5" s="192" t="s">
        <v>181</v>
      </c>
      <c r="N5" s="192" t="s">
        <v>181</v>
      </c>
    </row>
    <row r="6" spans="1:14" ht="13.5" thickBot="1">
      <c r="A6" s="328"/>
      <c r="B6" s="329" t="s">
        <v>182</v>
      </c>
      <c r="C6" s="330" t="s">
        <v>183</v>
      </c>
      <c r="D6" s="3199"/>
      <c r="E6" s="3199"/>
      <c r="F6" s="3199"/>
      <c r="G6" s="331">
        <v>1</v>
      </c>
      <c r="H6" s="998">
        <v>-3</v>
      </c>
      <c r="I6" s="394">
        <v>-2</v>
      </c>
      <c r="J6" s="394">
        <v>-1</v>
      </c>
      <c r="K6" s="394">
        <v>-1</v>
      </c>
      <c r="L6" s="394">
        <v>0</v>
      </c>
      <c r="M6" s="394">
        <v>1</v>
      </c>
      <c r="N6" s="394">
        <v>2</v>
      </c>
    </row>
    <row r="7" spans="1:14" ht="15">
      <c r="A7" s="203">
        <v>1</v>
      </c>
      <c r="B7" s="505" t="s">
        <v>412</v>
      </c>
      <c r="C7" s="334"/>
      <c r="D7" s="335"/>
      <c r="E7" s="336" t="s">
        <v>414</v>
      </c>
      <c r="F7" s="337"/>
      <c r="G7" s="506" t="e">
        <f>G11+#REF!+#REF!+G17+#REF!+#REF!+#REF!+#REF!+#REF!+#REF!+#REF!+#REF!+G22+#REF!</f>
        <v>#REF!</v>
      </c>
      <c r="H7" s="1137">
        <f>H8+H9+H10</f>
        <v>98231.76000000001</v>
      </c>
      <c r="I7" s="1020">
        <f>SUM(I8:I10)</f>
        <v>103606</v>
      </c>
      <c r="J7" s="507">
        <f>J8+J9+J10</f>
        <v>106550</v>
      </c>
      <c r="K7" s="507">
        <f>SUM(K8:K10)</f>
        <v>95736</v>
      </c>
      <c r="L7" s="507">
        <f>SUM(L8,L9,L10)</f>
        <v>103450</v>
      </c>
      <c r="M7" s="507">
        <f>SUM(M8:M10)</f>
        <v>107550</v>
      </c>
      <c r="N7" s="507">
        <f>SUM(N8:N10)</f>
        <v>110750</v>
      </c>
    </row>
    <row r="8" spans="1:14" ht="12.75">
      <c r="A8" s="203">
        <f aca="true" t="shared" si="0" ref="A8:A15">A7+1</f>
        <v>2</v>
      </c>
      <c r="B8" s="204" t="s">
        <v>185</v>
      </c>
      <c r="C8" s="897" t="s">
        <v>186</v>
      </c>
      <c r="D8" s="898"/>
      <c r="E8" s="899"/>
      <c r="F8" s="900"/>
      <c r="G8" s="901" t="e">
        <f>G12+#REF!+#REF!+#REF!+G18+#REF!+#REF!+#REF!+#REF!+G23+#REF!+#REF!+#REF!</f>
        <v>#REF!</v>
      </c>
      <c r="H8" s="1044">
        <f>H12+H18+H23+H31+H36</f>
        <v>95731.76000000001</v>
      </c>
      <c r="I8" s="1000">
        <f>SUM(I12,I18,I23,I36)+I31</f>
        <v>103606</v>
      </c>
      <c r="J8" s="902">
        <f>J12+J18+J23+J31+J36</f>
        <v>106550</v>
      </c>
      <c r="K8" s="902">
        <f>SUM(K12,K18,K23,K36)+K31</f>
        <v>95736</v>
      </c>
      <c r="L8" s="902">
        <f>SUM(L12,L18,L23,L36)+L31</f>
        <v>103450</v>
      </c>
      <c r="M8" s="902">
        <f>SUM(M12,M18,M23,M36)+M31</f>
        <v>107550</v>
      </c>
      <c r="N8" s="902">
        <f>SUM(N12,N18,N23,N36)+N31</f>
        <v>110750</v>
      </c>
    </row>
    <row r="9" spans="1:14" ht="12.75">
      <c r="A9" s="203">
        <f t="shared" si="0"/>
        <v>3</v>
      </c>
      <c r="B9" s="1116" t="s">
        <v>187</v>
      </c>
      <c r="C9" s="1034" t="s">
        <v>188</v>
      </c>
      <c r="D9" s="1035"/>
      <c r="E9" s="1036"/>
      <c r="F9" s="1037"/>
      <c r="G9" s="1038" t="e">
        <f>#REF!</f>
        <v>#REF!</v>
      </c>
      <c r="H9" s="1054">
        <f>H27</f>
        <v>2500</v>
      </c>
      <c r="I9" s="1039">
        <f>SUM(I27)</f>
        <v>0</v>
      </c>
      <c r="J9" s="1040">
        <f>J27</f>
        <v>0</v>
      </c>
      <c r="K9" s="1040">
        <f>SUM(K27)</f>
        <v>0</v>
      </c>
      <c r="L9" s="1041">
        <f>SUM(L27)</f>
        <v>0</v>
      </c>
      <c r="M9" s="1040">
        <f>SUM(M27)</f>
        <v>0</v>
      </c>
      <c r="N9" s="1040">
        <f>SUM(N27)</f>
        <v>0</v>
      </c>
    </row>
    <row r="10" spans="1:14" ht="13.5" thickBot="1">
      <c r="A10" s="203">
        <f t="shared" si="0"/>
        <v>4</v>
      </c>
      <c r="B10" s="207"/>
      <c r="C10" s="1065" t="s">
        <v>189</v>
      </c>
      <c r="D10" s="1066"/>
      <c r="E10" s="1067"/>
      <c r="F10" s="1068"/>
      <c r="G10" s="1069" t="e">
        <f>#REF!</f>
        <v>#REF!</v>
      </c>
      <c r="H10" s="1138">
        <v>0</v>
      </c>
      <c r="I10" s="1088">
        <v>0</v>
      </c>
      <c r="J10" s="1089">
        <v>0</v>
      </c>
      <c r="K10" s="1089">
        <v>0</v>
      </c>
      <c r="L10" s="1070">
        <v>0</v>
      </c>
      <c r="M10" s="1089">
        <v>0</v>
      </c>
      <c r="N10" s="1089">
        <v>0</v>
      </c>
    </row>
    <row r="11" spans="1:14" ht="13.5" thickTop="1">
      <c r="A11" s="203">
        <f t="shared" si="0"/>
        <v>5</v>
      </c>
      <c r="B11" s="208">
        <v>1</v>
      </c>
      <c r="C11" s="309" t="s">
        <v>415</v>
      </c>
      <c r="D11" s="210"/>
      <c r="E11" s="210"/>
      <c r="F11" s="211"/>
      <c r="G11" s="508">
        <f>SUM(G13)</f>
        <v>481.3</v>
      </c>
      <c r="H11" s="509">
        <f>H12</f>
        <v>9967.25</v>
      </c>
      <c r="I11" s="213">
        <f aca="true" t="shared" si="1" ref="I11:N12">I12</f>
        <v>14300</v>
      </c>
      <c r="J11" s="213">
        <f>J12</f>
        <v>14300</v>
      </c>
      <c r="K11" s="213">
        <f t="shared" si="1"/>
        <v>13300</v>
      </c>
      <c r="L11" s="509">
        <f t="shared" si="1"/>
        <v>14500</v>
      </c>
      <c r="M11" s="213">
        <f t="shared" si="1"/>
        <v>14500</v>
      </c>
      <c r="N11" s="213">
        <f t="shared" si="1"/>
        <v>14500</v>
      </c>
    </row>
    <row r="12" spans="1:14" ht="12.75">
      <c r="A12" s="203">
        <f t="shared" si="0"/>
        <v>6</v>
      </c>
      <c r="B12" s="223"/>
      <c r="C12" s="224"/>
      <c r="D12" s="206" t="s">
        <v>186</v>
      </c>
      <c r="E12" s="225"/>
      <c r="F12" s="226"/>
      <c r="G12" s="510">
        <f>G13</f>
        <v>481.3</v>
      </c>
      <c r="H12" s="511">
        <f>H13</f>
        <v>9967.25</v>
      </c>
      <c r="I12" s="228">
        <f t="shared" si="1"/>
        <v>14300</v>
      </c>
      <c r="J12" s="228">
        <f>J13</f>
        <v>14300</v>
      </c>
      <c r="K12" s="228">
        <f t="shared" si="1"/>
        <v>13300</v>
      </c>
      <c r="L12" s="511">
        <f t="shared" si="1"/>
        <v>14500</v>
      </c>
      <c r="M12" s="228">
        <f t="shared" si="1"/>
        <v>14500</v>
      </c>
      <c r="N12" s="228">
        <f t="shared" si="1"/>
        <v>14500</v>
      </c>
    </row>
    <row r="13" spans="1:14" ht="12.75">
      <c r="A13" s="203">
        <f t="shared" si="0"/>
        <v>7</v>
      </c>
      <c r="B13" s="256"/>
      <c r="C13" s="307" t="s">
        <v>416</v>
      </c>
      <c r="D13" s="231" t="s">
        <v>417</v>
      </c>
      <c r="E13" s="232"/>
      <c r="F13" s="233"/>
      <c r="G13" s="512">
        <f>SUM(G14:G15)</f>
        <v>481.3</v>
      </c>
      <c r="H13" s="350">
        <f>SUM(H14:H16)</f>
        <v>9967.25</v>
      </c>
      <c r="I13" s="235">
        <f>SUM(I14,I15,I16)</f>
        <v>14300</v>
      </c>
      <c r="J13" s="235">
        <f>J14+J15+J16</f>
        <v>14300</v>
      </c>
      <c r="K13" s="235">
        <f>SUM(K14,K15,K16)</f>
        <v>13300</v>
      </c>
      <c r="L13" s="350">
        <f>SUM(L14,L15,L16)</f>
        <v>14500</v>
      </c>
      <c r="M13" s="235">
        <f>SUM(M14,M15,M16)</f>
        <v>14500</v>
      </c>
      <c r="N13" s="235">
        <f>SUM(N14,N15,N16)</f>
        <v>14500</v>
      </c>
    </row>
    <row r="14" spans="1:14" ht="12.75">
      <c r="A14" s="203">
        <f t="shared" si="0"/>
        <v>8</v>
      </c>
      <c r="B14" s="256"/>
      <c r="C14" s="287" t="s">
        <v>232</v>
      </c>
      <c r="D14" s="286" t="s">
        <v>221</v>
      </c>
      <c r="E14" s="248" t="s">
        <v>418</v>
      </c>
      <c r="F14" s="254"/>
      <c r="G14" s="255">
        <f>ROUND(M14/30.126,1)</f>
        <v>83</v>
      </c>
      <c r="H14" s="516">
        <f>výdavky!D563</f>
        <v>2047.25</v>
      </c>
      <c r="I14" s="247">
        <f>výdavky!E563</f>
        <v>2300</v>
      </c>
      <c r="J14" s="247">
        <f>výdavky!F563</f>
        <v>2300</v>
      </c>
      <c r="K14" s="247">
        <f>výdavky!G563</f>
        <v>1300</v>
      </c>
      <c r="L14" s="351">
        <f>výdavky!H563</f>
        <v>2500</v>
      </c>
      <c r="M14" s="247">
        <f>výdavky!I563</f>
        <v>2500</v>
      </c>
      <c r="N14" s="247">
        <f>výdavky!J563</f>
        <v>2500</v>
      </c>
    </row>
    <row r="15" spans="1:14" ht="12.75">
      <c r="A15" s="203">
        <f t="shared" si="0"/>
        <v>9</v>
      </c>
      <c r="B15" s="256"/>
      <c r="C15" s="287" t="s">
        <v>232</v>
      </c>
      <c r="D15" s="286" t="s">
        <v>223</v>
      </c>
      <c r="E15" s="248" t="s">
        <v>419</v>
      </c>
      <c r="F15" s="254"/>
      <c r="G15" s="255">
        <f>ROUND(M15/30.126,1)</f>
        <v>398.3</v>
      </c>
      <c r="H15" s="516">
        <f>výdavky!D564</f>
        <v>7920</v>
      </c>
      <c r="I15" s="247">
        <f>výdavky!E564</f>
        <v>12000</v>
      </c>
      <c r="J15" s="247">
        <f>výdavky!F564</f>
        <v>12000</v>
      </c>
      <c r="K15" s="247">
        <f>výdavky!G564</f>
        <v>12000</v>
      </c>
      <c r="L15" s="351">
        <f>výdavky!H564</f>
        <v>12000</v>
      </c>
      <c r="M15" s="247">
        <f>výdavky!I564</f>
        <v>12000</v>
      </c>
      <c r="N15" s="247">
        <f>výdavky!J564</f>
        <v>12000</v>
      </c>
    </row>
    <row r="16" spans="1:14" ht="12.75">
      <c r="A16" s="203"/>
      <c r="B16" s="256"/>
      <c r="C16" s="285" t="s">
        <v>377</v>
      </c>
      <c r="D16" s="286" t="s">
        <v>234</v>
      </c>
      <c r="E16" s="375" t="s">
        <v>420</v>
      </c>
      <c r="F16" s="254"/>
      <c r="G16" s="255"/>
      <c r="H16" s="516">
        <f>výdavky!D565</f>
        <v>0</v>
      </c>
      <c r="I16" s="247">
        <f>výdavky!E565</f>
        <v>0</v>
      </c>
      <c r="J16" s="247">
        <f>výdavky!F565</f>
        <v>0</v>
      </c>
      <c r="K16" s="247">
        <f>výdavky!G565</f>
        <v>0</v>
      </c>
      <c r="L16" s="351">
        <f>výdavky!H565</f>
        <v>0</v>
      </c>
      <c r="M16" s="247">
        <f>výdavky!I565</f>
        <v>0</v>
      </c>
      <c r="N16" s="247">
        <f>výdavky!J565</f>
        <v>0</v>
      </c>
    </row>
    <row r="17" spans="1:14" ht="12.75">
      <c r="A17" s="203">
        <v>10</v>
      </c>
      <c r="B17" s="208">
        <v>2</v>
      </c>
      <c r="C17" s="309" t="s">
        <v>421</v>
      </c>
      <c r="D17" s="210"/>
      <c r="E17" s="210"/>
      <c r="F17" s="211"/>
      <c r="G17" s="212" t="e">
        <f>#REF!</f>
        <v>#REF!</v>
      </c>
      <c r="H17" s="509">
        <f>H18</f>
        <v>3765.6000000000004</v>
      </c>
      <c r="I17" s="513">
        <f>SUM(I18)</f>
        <v>2750</v>
      </c>
      <c r="J17" s="513">
        <f>J18</f>
        <v>2600</v>
      </c>
      <c r="K17" s="513">
        <f>SUM(K18)</f>
        <v>1700</v>
      </c>
      <c r="L17" s="514">
        <f>SUM(L18)</f>
        <v>2600</v>
      </c>
      <c r="M17" s="513">
        <f>SUM(M18)</f>
        <v>3300</v>
      </c>
      <c r="N17" s="513">
        <f>SUM(N18)</f>
        <v>3300</v>
      </c>
    </row>
    <row r="18" spans="1:14" ht="12.75">
      <c r="A18" s="203">
        <v>11</v>
      </c>
      <c r="B18" s="223"/>
      <c r="C18" s="224"/>
      <c r="D18" s="206" t="s">
        <v>186</v>
      </c>
      <c r="E18" s="225"/>
      <c r="F18" s="226"/>
      <c r="G18" s="510">
        <f aca="true" t="shared" si="2" ref="G18:N18">G19</f>
        <v>89.6</v>
      </c>
      <c r="H18" s="511">
        <f>H19</f>
        <v>3765.6000000000004</v>
      </c>
      <c r="I18" s="228">
        <f t="shared" si="2"/>
        <v>2750</v>
      </c>
      <c r="J18" s="228">
        <f>J19</f>
        <v>2600</v>
      </c>
      <c r="K18" s="228">
        <f t="shared" si="2"/>
        <v>1700</v>
      </c>
      <c r="L18" s="511">
        <f t="shared" si="2"/>
        <v>2600</v>
      </c>
      <c r="M18" s="228">
        <f t="shared" si="2"/>
        <v>3300</v>
      </c>
      <c r="N18" s="228">
        <f t="shared" si="2"/>
        <v>3300</v>
      </c>
    </row>
    <row r="19" spans="1:14" ht="12.75">
      <c r="A19" s="203">
        <f aca="true" t="shared" si="3" ref="A19:A26">A18+1</f>
        <v>12</v>
      </c>
      <c r="B19" s="256"/>
      <c r="C19" s="307" t="s">
        <v>422</v>
      </c>
      <c r="D19" s="231" t="s">
        <v>423</v>
      </c>
      <c r="E19" s="232"/>
      <c r="F19" s="233"/>
      <c r="G19" s="512">
        <f>SUM(G20)</f>
        <v>89.6</v>
      </c>
      <c r="H19" s="350">
        <f>H20+H21</f>
        <v>3765.6000000000004</v>
      </c>
      <c r="I19" s="235">
        <f>SUM(I20:I21)</f>
        <v>2750</v>
      </c>
      <c r="J19" s="235">
        <f>J20+J21</f>
        <v>2600</v>
      </c>
      <c r="K19" s="235">
        <f>SUM(K20:K21)</f>
        <v>1700</v>
      </c>
      <c r="L19" s="350">
        <f>SUM(L20:L21)</f>
        <v>2600</v>
      </c>
      <c r="M19" s="235">
        <f>SUM(M20:M21)</f>
        <v>3300</v>
      </c>
      <c r="N19" s="235">
        <f>SUM(N20:N21)</f>
        <v>3300</v>
      </c>
    </row>
    <row r="20" spans="1:14" ht="12.75">
      <c r="A20" s="203">
        <f t="shared" si="3"/>
        <v>13</v>
      </c>
      <c r="B20" s="256"/>
      <c r="C20" s="287" t="s">
        <v>377</v>
      </c>
      <c r="D20" s="286" t="s">
        <v>221</v>
      </c>
      <c r="E20" s="248" t="s">
        <v>424</v>
      </c>
      <c r="F20" s="254"/>
      <c r="G20" s="255">
        <f>ROUND(M20/30.126,1)</f>
        <v>89.6</v>
      </c>
      <c r="H20" s="516">
        <f>výdavky!D568+výdavky!D567</f>
        <v>2012.93</v>
      </c>
      <c r="I20" s="247">
        <f>výdavky!E568+výdavky!E567</f>
        <v>2150</v>
      </c>
      <c r="J20" s="247">
        <f>výdavky!F568+výdavky!F567</f>
        <v>2000</v>
      </c>
      <c r="K20" s="247">
        <f>výdavky!G568+výdavky!G567</f>
        <v>1700</v>
      </c>
      <c r="L20" s="351">
        <f>výdavky!H568+výdavky!H567</f>
        <v>2000</v>
      </c>
      <c r="M20" s="247">
        <f>výdavky!I568+výdavky!I567</f>
        <v>2700</v>
      </c>
      <c r="N20" s="247">
        <f>výdavky!J568+výdavky!J567</f>
        <v>2700</v>
      </c>
    </row>
    <row r="21" spans="1:14" ht="12.75">
      <c r="A21" s="203">
        <f t="shared" si="3"/>
        <v>14</v>
      </c>
      <c r="B21" s="256"/>
      <c r="C21" s="285" t="s">
        <v>377</v>
      </c>
      <c r="D21" s="286" t="s">
        <v>223</v>
      </c>
      <c r="E21" s="248" t="s">
        <v>425</v>
      </c>
      <c r="F21" s="254"/>
      <c r="G21" s="255"/>
      <c r="H21" s="516">
        <f>výdavky!D566</f>
        <v>1752.67</v>
      </c>
      <c r="I21" s="247">
        <f>výdavky!E566</f>
        <v>600</v>
      </c>
      <c r="J21" s="247">
        <f>výdavky!F566</f>
        <v>600</v>
      </c>
      <c r="K21" s="247">
        <f>výdavky!G566</f>
        <v>0</v>
      </c>
      <c r="L21" s="351">
        <f>výdavky!H566</f>
        <v>600</v>
      </c>
      <c r="M21" s="247">
        <f>výdavky!I566</f>
        <v>600</v>
      </c>
      <c r="N21" s="247">
        <f>výdavky!J566</f>
        <v>600</v>
      </c>
    </row>
    <row r="22" spans="1:14" ht="12.75">
      <c r="A22" s="203">
        <f t="shared" si="3"/>
        <v>15</v>
      </c>
      <c r="B22" s="208">
        <v>3</v>
      </c>
      <c r="C22" s="309" t="s">
        <v>426</v>
      </c>
      <c r="D22" s="210"/>
      <c r="E22" s="210"/>
      <c r="F22" s="211"/>
      <c r="G22" s="212">
        <f>SUM(G24)</f>
        <v>1734.3999999999999</v>
      </c>
      <c r="H22" s="509">
        <f>H23+H27</f>
        <v>57342.229999999996</v>
      </c>
      <c r="I22" s="214">
        <f>I24</f>
        <v>53956</v>
      </c>
      <c r="J22" s="214">
        <f>J23+J27</f>
        <v>47550</v>
      </c>
      <c r="K22" s="214">
        <f>K24</f>
        <v>45953</v>
      </c>
      <c r="L22" s="509">
        <f>L24</f>
        <v>50850</v>
      </c>
      <c r="M22" s="214">
        <f>M24</f>
        <v>52250</v>
      </c>
      <c r="N22" s="214">
        <f>N24</f>
        <v>53450</v>
      </c>
    </row>
    <row r="23" spans="1:14" ht="12.75">
      <c r="A23" s="203">
        <f t="shared" si="3"/>
        <v>16</v>
      </c>
      <c r="B23" s="223"/>
      <c r="C23" s="224"/>
      <c r="D23" s="206" t="s">
        <v>186</v>
      </c>
      <c r="E23" s="225"/>
      <c r="F23" s="226"/>
      <c r="G23" s="227">
        <f aca="true" t="shared" si="4" ref="G23:N23">G24</f>
        <v>1734.3999999999999</v>
      </c>
      <c r="H23" s="511">
        <f>H24</f>
        <v>54842.229999999996</v>
      </c>
      <c r="I23" s="228">
        <f t="shared" si="4"/>
        <v>53956</v>
      </c>
      <c r="J23" s="228">
        <f>J24</f>
        <v>47550</v>
      </c>
      <c r="K23" s="228">
        <f t="shared" si="4"/>
        <v>45953</v>
      </c>
      <c r="L23" s="511">
        <f t="shared" si="4"/>
        <v>50850</v>
      </c>
      <c r="M23" s="228">
        <f t="shared" si="4"/>
        <v>52250</v>
      </c>
      <c r="N23" s="228">
        <f t="shared" si="4"/>
        <v>53450</v>
      </c>
    </row>
    <row r="24" spans="1:14" ht="12.75">
      <c r="A24" s="203">
        <f t="shared" si="3"/>
        <v>17</v>
      </c>
      <c r="B24" s="223"/>
      <c r="C24" s="307" t="s">
        <v>427</v>
      </c>
      <c r="D24" s="231" t="s">
        <v>426</v>
      </c>
      <c r="E24" s="232"/>
      <c r="F24" s="233"/>
      <c r="G24" s="297">
        <f>SUM(G25:G39)</f>
        <v>1734.3999999999999</v>
      </c>
      <c r="H24" s="515">
        <f>H25+H26</f>
        <v>54842.229999999996</v>
      </c>
      <c r="I24" s="298">
        <f>SUM(I25,I26)</f>
        <v>53956</v>
      </c>
      <c r="J24" s="298">
        <f>J25+J26</f>
        <v>47550</v>
      </c>
      <c r="K24" s="298">
        <f>SUM(K25,K26)</f>
        <v>45953</v>
      </c>
      <c r="L24" s="515">
        <f>SUM(L25,L26)</f>
        <v>50850</v>
      </c>
      <c r="M24" s="298">
        <f>SUM(M25,M26)</f>
        <v>52250</v>
      </c>
      <c r="N24" s="298">
        <f>SUM(N25,N26)</f>
        <v>53450</v>
      </c>
    </row>
    <row r="25" spans="1:14" ht="12.75">
      <c r="A25" s="203">
        <f t="shared" si="3"/>
        <v>18</v>
      </c>
      <c r="B25" s="256"/>
      <c r="C25" s="287" t="s">
        <v>390</v>
      </c>
      <c r="D25" s="286" t="s">
        <v>221</v>
      </c>
      <c r="E25" s="248" t="s">
        <v>391</v>
      </c>
      <c r="F25" s="254"/>
      <c r="G25" s="255">
        <f>ROUND(M25/30.126,1)</f>
        <v>1487.1</v>
      </c>
      <c r="H25" s="516">
        <f>výdavky!D574+výdavky!D575+výdavky!D576</f>
        <v>47258.52</v>
      </c>
      <c r="I25" s="247">
        <f>výdavky!E574+výdavky!E575+výdavky!E576</f>
        <v>44075</v>
      </c>
      <c r="J25" s="247">
        <f>výdavky!F574+výdavky!F575+výdavky!F576</f>
        <v>40000</v>
      </c>
      <c r="K25" s="247">
        <f>výdavky!G574+výdavky!G575+výdavky!G576</f>
        <v>39808</v>
      </c>
      <c r="L25" s="516">
        <f>výdavky!H574+výdavky!H575+výdavky!H576</f>
        <v>43600</v>
      </c>
      <c r="M25" s="247">
        <f>výdavky!I574+výdavky!I575+výdavky!I576</f>
        <v>44800</v>
      </c>
      <c r="N25" s="247">
        <f>výdavky!J574+výdavky!J575+výdavky!J576</f>
        <v>46000</v>
      </c>
    </row>
    <row r="26" spans="1:14" ht="12.75">
      <c r="A26" s="203">
        <f t="shared" si="3"/>
        <v>19</v>
      </c>
      <c r="B26" s="256"/>
      <c r="C26" s="287" t="s">
        <v>392</v>
      </c>
      <c r="D26" s="286" t="s">
        <v>223</v>
      </c>
      <c r="E26" s="248" t="s">
        <v>369</v>
      </c>
      <c r="F26" s="254"/>
      <c r="G26" s="255">
        <f>ROUND(M26/30.126,1)</f>
        <v>247.3</v>
      </c>
      <c r="H26" s="516">
        <f>SUM(výdavky!D577:D589)</f>
        <v>7583.71</v>
      </c>
      <c r="I26" s="247">
        <f>výdavky!E577+výdavky!E578+výdavky!E579+výdavky!E580+výdavky!E581+výdavky!E582+výdavky!E583+výdavky!E584+výdavky!E585+výdavky!E586+výdavky!E587+výdavky!E588+výdavky!E589</f>
        <v>9881</v>
      </c>
      <c r="J26" s="247">
        <f>výdavky!F577+výdavky!F578+výdavky!F579+výdavky!F581+výdavky!F583+výdavky!F585+výdavky!F587+výdavky!F588+výdavky!F589</f>
        <v>7550</v>
      </c>
      <c r="K26" s="247">
        <f>výdavky!G577+výdavky!G578+výdavky!G579+výdavky!G580+výdavky!G581+výdavky!G582+výdavky!G583+výdavky!G584+výdavky!G585+výdavky!G586+výdavky!G587+výdavky!G588+výdavky!G589</f>
        <v>6145</v>
      </c>
      <c r="L26" s="516">
        <f>výdavky!H577+výdavky!H578+výdavky!H579+výdavky!H580+výdavky!H581+výdavky!H582+výdavky!H583+výdavky!H584+výdavky!H585+výdavky!H586+výdavky!H587+výdavky!H588+výdavky!H589</f>
        <v>7250</v>
      </c>
      <c r="M26" s="247">
        <f>výdavky!I577+výdavky!I578+výdavky!I579+výdavky!I580+výdavky!I581+výdavky!I582+výdavky!I583+výdavky!I584+výdavky!I585+výdavky!I586+výdavky!I587+výdavky!I588+výdavky!I589</f>
        <v>7450</v>
      </c>
      <c r="N26" s="247">
        <f>výdavky!J577+výdavky!J578+výdavky!J579+výdavky!J580+výdavky!J581+výdavky!J582+výdavky!J583+výdavky!J584+výdavky!J585+výdavky!J586+výdavky!J587+výdavky!J588+výdavky!J589</f>
        <v>7450</v>
      </c>
    </row>
    <row r="27" spans="1:14" ht="12.75">
      <c r="A27" s="203">
        <v>20</v>
      </c>
      <c r="B27" s="256"/>
      <c r="C27" s="285"/>
      <c r="D27" s="3211" t="s">
        <v>188</v>
      </c>
      <c r="E27" s="3211"/>
      <c r="F27" s="822"/>
      <c r="G27" s="823"/>
      <c r="H27" s="825">
        <f>H28</f>
        <v>2500</v>
      </c>
      <c r="I27" s="824">
        <f aca="true" t="shared" si="5" ref="I27:N28">SUM(I28)</f>
        <v>0</v>
      </c>
      <c r="J27" s="824">
        <f>J28</f>
        <v>0</v>
      </c>
      <c r="K27" s="824">
        <f t="shared" si="5"/>
        <v>0</v>
      </c>
      <c r="L27" s="825">
        <f t="shared" si="5"/>
        <v>0</v>
      </c>
      <c r="M27" s="824">
        <f t="shared" si="5"/>
        <v>0</v>
      </c>
      <c r="N27" s="824">
        <f t="shared" si="5"/>
        <v>0</v>
      </c>
    </row>
    <row r="28" spans="1:14" ht="12.75">
      <c r="A28" s="203">
        <v>21</v>
      </c>
      <c r="B28" s="256"/>
      <c r="C28" s="307" t="s">
        <v>427</v>
      </c>
      <c r="D28" s="231" t="s">
        <v>426</v>
      </c>
      <c r="E28" s="232"/>
      <c r="F28" s="233"/>
      <c r="G28" s="297">
        <f>SUM(G29:G43)</f>
        <v>0</v>
      </c>
      <c r="H28" s="1139">
        <f>H29</f>
        <v>2500</v>
      </c>
      <c r="I28" s="298">
        <f t="shared" si="5"/>
        <v>0</v>
      </c>
      <c r="J28" s="298">
        <f>J29</f>
        <v>0</v>
      </c>
      <c r="K28" s="298">
        <f t="shared" si="5"/>
        <v>0</v>
      </c>
      <c r="L28" s="515">
        <f t="shared" si="5"/>
        <v>0</v>
      </c>
      <c r="M28" s="298">
        <f t="shared" si="5"/>
        <v>0</v>
      </c>
      <c r="N28" s="298">
        <f t="shared" si="5"/>
        <v>0</v>
      </c>
    </row>
    <row r="29" spans="1:14" ht="12.75">
      <c r="A29" s="203">
        <v>22</v>
      </c>
      <c r="B29" s="256"/>
      <c r="C29" s="285" t="s">
        <v>298</v>
      </c>
      <c r="D29" s="806" t="s">
        <v>234</v>
      </c>
      <c r="E29" s="250" t="s">
        <v>89</v>
      </c>
      <c r="F29" s="807"/>
      <c r="G29" s="742"/>
      <c r="H29" s="752">
        <f>výdavky!D692</f>
        <v>2500</v>
      </c>
      <c r="I29" s="253">
        <f>výdavky!E691</f>
        <v>0</v>
      </c>
      <c r="J29" s="253">
        <f>výdavky!F692</f>
        <v>0</v>
      </c>
      <c r="K29" s="253">
        <f>výdavky!G691</f>
        <v>0</v>
      </c>
      <c r="L29" s="752">
        <f>výdavky!H691</f>
        <v>0</v>
      </c>
      <c r="M29" s="253">
        <f>výdavky!I691</f>
        <v>0</v>
      </c>
      <c r="N29" s="253">
        <f>výdavky!J691</f>
        <v>0</v>
      </c>
    </row>
    <row r="30" spans="1:14" ht="12.75">
      <c r="A30" s="203"/>
      <c r="B30" s="1133">
        <v>4</v>
      </c>
      <c r="C30" s="3212" t="s">
        <v>686</v>
      </c>
      <c r="D30" s="3213"/>
      <c r="E30" s="3213"/>
      <c r="F30" s="3214"/>
      <c r="G30" s="1134"/>
      <c r="H30" s="1136">
        <f>H31</f>
        <v>13373.019999999999</v>
      </c>
      <c r="I30" s="1135">
        <f aca="true" t="shared" si="6" ref="I30:N31">I31</f>
        <v>23600</v>
      </c>
      <c r="J30" s="1135">
        <f>J31</f>
        <v>25100</v>
      </c>
      <c r="K30" s="1135">
        <f t="shared" si="6"/>
        <v>29783</v>
      </c>
      <c r="L30" s="1136">
        <f t="shared" si="6"/>
        <v>31500</v>
      </c>
      <c r="M30" s="1135">
        <f t="shared" si="6"/>
        <v>33500</v>
      </c>
      <c r="N30" s="1135">
        <f t="shared" si="6"/>
        <v>35500</v>
      </c>
    </row>
    <row r="31" spans="1:14" ht="12.75">
      <c r="A31" s="203"/>
      <c r="B31" s="256"/>
      <c r="C31" s="285"/>
      <c r="D31" s="1021" t="s">
        <v>186</v>
      </c>
      <c r="E31" s="1022"/>
      <c r="F31" s="1023"/>
      <c r="G31" s="1024"/>
      <c r="H31" s="1026">
        <f>H32</f>
        <v>13373.019999999999</v>
      </c>
      <c r="I31" s="1025">
        <f t="shared" si="6"/>
        <v>23600</v>
      </c>
      <c r="J31" s="1025">
        <f>J32</f>
        <v>25100</v>
      </c>
      <c r="K31" s="1025">
        <f t="shared" si="6"/>
        <v>29783</v>
      </c>
      <c r="L31" s="1026">
        <f t="shared" si="6"/>
        <v>31500</v>
      </c>
      <c r="M31" s="1025">
        <f t="shared" si="6"/>
        <v>33500</v>
      </c>
      <c r="N31" s="1025">
        <f t="shared" si="6"/>
        <v>35500</v>
      </c>
    </row>
    <row r="32" spans="1:14" ht="12.75">
      <c r="A32" s="203"/>
      <c r="B32" s="256"/>
      <c r="C32" s="285"/>
      <c r="D32" s="3215" t="s">
        <v>686</v>
      </c>
      <c r="E32" s="3216"/>
      <c r="F32" s="3217"/>
      <c r="G32" s="812"/>
      <c r="H32" s="814">
        <f>H33+H34</f>
        <v>13373.019999999999</v>
      </c>
      <c r="I32" s="813">
        <f>SUM(I33:I34)</f>
        <v>23600</v>
      </c>
      <c r="J32" s="813">
        <f>J33+J34</f>
        <v>25100</v>
      </c>
      <c r="K32" s="813">
        <f>SUM(K33:K34)</f>
        <v>29783</v>
      </c>
      <c r="L32" s="814">
        <f>SUM(L33:L34)</f>
        <v>31500</v>
      </c>
      <c r="M32" s="813">
        <f>SUM(M33:M34)</f>
        <v>33500</v>
      </c>
      <c r="N32" s="813">
        <f>SUM(N33:N34)</f>
        <v>35500</v>
      </c>
    </row>
    <row r="33" spans="1:14" ht="12.75">
      <c r="A33" s="203"/>
      <c r="B33" s="256"/>
      <c r="C33" s="287" t="s">
        <v>390</v>
      </c>
      <c r="D33" s="809" t="s">
        <v>221</v>
      </c>
      <c r="E33" s="810" t="s">
        <v>391</v>
      </c>
      <c r="F33" s="811"/>
      <c r="G33" s="288"/>
      <c r="H33" s="748">
        <f>výdavky!D570+výdavky!D571</f>
        <v>13142.359999999999</v>
      </c>
      <c r="I33" s="242">
        <f>výdavky!E570+výdavky!E571</f>
        <v>21700</v>
      </c>
      <c r="J33" s="242">
        <f>výdavky!F570+výdavky!F571</f>
        <v>23100</v>
      </c>
      <c r="K33" s="242">
        <f>výdavky!G570+výdavky!G571</f>
        <v>29293</v>
      </c>
      <c r="L33" s="750">
        <f>výdavky!H570+výdavky!H571</f>
        <v>31000</v>
      </c>
      <c r="M33" s="242">
        <f>výdavky!I570+výdavky!I571</f>
        <v>33000</v>
      </c>
      <c r="N33" s="242">
        <f>výdavky!J570+výdavky!J571</f>
        <v>35000</v>
      </c>
    </row>
    <row r="34" spans="1:14" ht="12.75">
      <c r="A34" s="203"/>
      <c r="B34" s="256"/>
      <c r="C34" s="287" t="s">
        <v>392</v>
      </c>
      <c r="D34" s="286" t="s">
        <v>223</v>
      </c>
      <c r="E34" s="248" t="s">
        <v>369</v>
      </c>
      <c r="F34" s="254"/>
      <c r="G34" s="288"/>
      <c r="H34" s="748">
        <f>výdavky!D572</f>
        <v>230.66</v>
      </c>
      <c r="I34" s="748">
        <f>výdavky!E572</f>
        <v>1900</v>
      </c>
      <c r="J34" s="748">
        <f>výdavky!F572</f>
        <v>2000</v>
      </c>
      <c r="K34" s="748">
        <f>výdavky!G572</f>
        <v>490</v>
      </c>
      <c r="L34" s="753">
        <f>výdavky!H572</f>
        <v>500</v>
      </c>
      <c r="M34" s="748">
        <f>výdavky!I572</f>
        <v>500</v>
      </c>
      <c r="N34" s="748">
        <f>výdavky!J572</f>
        <v>500</v>
      </c>
    </row>
    <row r="35" spans="1:14" ht="12.75">
      <c r="A35" s="203">
        <v>23</v>
      </c>
      <c r="B35" s="815">
        <v>5</v>
      </c>
      <c r="C35" s="3200" t="s">
        <v>428</v>
      </c>
      <c r="D35" s="3200"/>
      <c r="E35" s="3200"/>
      <c r="F35" s="517"/>
      <c r="G35" s="518"/>
      <c r="H35" s="519">
        <f>H36</f>
        <v>13783.66</v>
      </c>
      <c r="I35" s="379">
        <f aca="true" t="shared" si="7" ref="I35:N36">SUM(I36)</f>
        <v>9000</v>
      </c>
      <c r="J35" s="379">
        <f>J36</f>
        <v>17000</v>
      </c>
      <c r="K35" s="379">
        <f t="shared" si="7"/>
        <v>5000</v>
      </c>
      <c r="L35" s="519">
        <f t="shared" si="7"/>
        <v>4000</v>
      </c>
      <c r="M35" s="379">
        <f t="shared" si="7"/>
        <v>4000</v>
      </c>
      <c r="N35" s="379">
        <f t="shared" si="7"/>
        <v>4000</v>
      </c>
    </row>
    <row r="36" spans="1:14" ht="12.75">
      <c r="A36" s="203">
        <v>24</v>
      </c>
      <c r="B36" s="256"/>
      <c r="C36" s="285"/>
      <c r="D36" s="206" t="s">
        <v>186</v>
      </c>
      <c r="E36" s="225"/>
      <c r="F36" s="226"/>
      <c r="G36" s="404"/>
      <c r="H36" s="520">
        <f>H37</f>
        <v>13783.66</v>
      </c>
      <c r="I36" s="486">
        <f t="shared" si="7"/>
        <v>9000</v>
      </c>
      <c r="J36" s="486">
        <f>J37</f>
        <v>17000</v>
      </c>
      <c r="K36" s="486">
        <f t="shared" si="7"/>
        <v>5000</v>
      </c>
      <c r="L36" s="520">
        <f t="shared" si="7"/>
        <v>4000</v>
      </c>
      <c r="M36" s="486">
        <f t="shared" si="7"/>
        <v>4000</v>
      </c>
      <c r="N36" s="486">
        <f t="shared" si="7"/>
        <v>4000</v>
      </c>
    </row>
    <row r="37" spans="1:14" ht="12.75">
      <c r="A37" s="203">
        <v>25</v>
      </c>
      <c r="B37" s="256"/>
      <c r="C37" s="1027" t="s">
        <v>429</v>
      </c>
      <c r="D37" s="1028" t="s">
        <v>430</v>
      </c>
      <c r="E37" s="1029"/>
      <c r="F37" s="1030"/>
      <c r="G37" s="1031"/>
      <c r="H37" s="1140">
        <f>H38+H39+H40</f>
        <v>13783.66</v>
      </c>
      <c r="I37" s="1032">
        <f>SUM(I38,I39,I40)</f>
        <v>9000</v>
      </c>
      <c r="J37" s="1032">
        <f>J38+J39+J40</f>
        <v>17000</v>
      </c>
      <c r="K37" s="1032">
        <f>SUM(K38,K39,K40)</f>
        <v>5000</v>
      </c>
      <c r="L37" s="1033">
        <f>SUM(L38,L39,L40)</f>
        <v>4000</v>
      </c>
      <c r="M37" s="1032">
        <f>SUM(M38,M39,M40)</f>
        <v>4000</v>
      </c>
      <c r="N37" s="1032">
        <f>SUM(N38,N39,N40)</f>
        <v>4000</v>
      </c>
    </row>
    <row r="38" spans="1:14" ht="12.75">
      <c r="A38" s="203">
        <v>26</v>
      </c>
      <c r="B38" s="256"/>
      <c r="C38" s="285" t="s">
        <v>377</v>
      </c>
      <c r="D38" s="286" t="s">
        <v>221</v>
      </c>
      <c r="E38" s="494" t="s">
        <v>431</v>
      </c>
      <c r="F38" s="521"/>
      <c r="G38" s="522"/>
      <c r="H38" s="523">
        <f>výdavky!D593</f>
        <v>7713.9</v>
      </c>
      <c r="I38" s="495">
        <f>výdavky!E593</f>
        <v>6000</v>
      </c>
      <c r="J38" s="495">
        <f>výdavky!F593</f>
        <v>10000</v>
      </c>
      <c r="K38" s="495">
        <f>výdavky!G593</f>
        <v>0</v>
      </c>
      <c r="L38" s="523">
        <f>výdavky!H593</f>
        <v>0</v>
      </c>
      <c r="M38" s="495">
        <f>výdavky!I593</f>
        <v>0</v>
      </c>
      <c r="N38" s="495">
        <f>výdavky!J593</f>
        <v>0</v>
      </c>
    </row>
    <row r="39" spans="1:14" ht="12.75">
      <c r="A39" s="203">
        <v>27</v>
      </c>
      <c r="B39" s="256"/>
      <c r="C39" s="285" t="s">
        <v>377</v>
      </c>
      <c r="D39" s="286" t="s">
        <v>223</v>
      </c>
      <c r="E39" s="494" t="s">
        <v>432</v>
      </c>
      <c r="F39" s="521"/>
      <c r="G39" s="522"/>
      <c r="H39" s="523">
        <f>výdavky!D594+výdavky!D595</f>
        <v>6069.76</v>
      </c>
      <c r="I39" s="495">
        <f>výdavky!E595+výdavky!E594</f>
        <v>3000</v>
      </c>
      <c r="J39" s="495">
        <f>výdavky!F594+výdavky!F595</f>
        <v>4000</v>
      </c>
      <c r="K39" s="495">
        <f>výdavky!G595+výdavky!G594</f>
        <v>5000</v>
      </c>
      <c r="L39" s="523">
        <f>výdavky!H595+výdavky!H594</f>
        <v>4000</v>
      </c>
      <c r="M39" s="495">
        <f>výdavky!I595+výdavky!I594</f>
        <v>4000</v>
      </c>
      <c r="N39" s="495">
        <f>+výdavky!J594+výdavky!J595</f>
        <v>4000</v>
      </c>
    </row>
    <row r="40" spans="1:14" ht="12.75">
      <c r="A40" s="316">
        <v>28</v>
      </c>
      <c r="B40" s="456"/>
      <c r="C40" s="353"/>
      <c r="D40" s="354" t="s">
        <v>234</v>
      </c>
      <c r="E40" s="423" t="s">
        <v>509</v>
      </c>
      <c r="F40" s="424"/>
      <c r="G40" s="524"/>
      <c r="H40" s="359">
        <f>výdavky!D591</f>
        <v>0</v>
      </c>
      <c r="I40" s="525">
        <f>výdavky!E591</f>
        <v>0</v>
      </c>
      <c r="J40" s="525">
        <f>výdavky!F591</f>
        <v>3000</v>
      </c>
      <c r="K40" s="525">
        <f>výdavky!G592</f>
        <v>0</v>
      </c>
      <c r="L40" s="526">
        <f>výdavky!H591</f>
        <v>0</v>
      </c>
      <c r="M40" s="525">
        <f>výdavky!I591</f>
        <v>0</v>
      </c>
      <c r="N40" s="525">
        <f>výdavky!J591</f>
        <v>0</v>
      </c>
    </row>
  </sheetData>
  <sheetProtection/>
  <mergeCells count="6">
    <mergeCell ref="G3:N3"/>
    <mergeCell ref="D4:F6"/>
    <mergeCell ref="D27:E27"/>
    <mergeCell ref="C35:E35"/>
    <mergeCell ref="C30:F30"/>
    <mergeCell ref="D32:F32"/>
  </mergeCells>
  <printOptions/>
  <pageMargins left="0.25" right="0.25" top="0.75" bottom="0.75" header="0.3" footer="0.3"/>
  <pageSetup fitToHeight="0" fitToWidth="1" horizontalDpi="300" verticalDpi="3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4">
      <selection activeCell="R54" sqref="R54:R55"/>
    </sheetView>
  </sheetViews>
  <sheetFormatPr defaultColWidth="9.140625" defaultRowHeight="12.75"/>
  <cols>
    <col min="2" max="2" width="29.140625" style="0" customWidth="1"/>
    <col min="3" max="3" width="12.7109375" style="0" customWidth="1"/>
    <col min="4" max="9" width="10.7109375" style="0" customWidth="1"/>
    <col min="11" max="11" width="11.57421875" style="0" customWidth="1"/>
  </cols>
  <sheetData>
    <row r="1" spans="1:9" ht="15.75">
      <c r="A1" s="3220" t="s">
        <v>433</v>
      </c>
      <c r="B1" s="3220"/>
      <c r="C1" s="3220"/>
      <c r="D1" s="3220"/>
      <c r="E1" s="3220"/>
      <c r="F1" s="3220"/>
      <c r="G1" s="3220"/>
      <c r="H1" s="3220"/>
      <c r="I1" s="3220"/>
    </row>
    <row r="2" spans="1:9" s="527" customFormat="1" ht="15.75">
      <c r="A2" s="3220"/>
      <c r="B2" s="3220"/>
      <c r="C2" s="3220"/>
      <c r="D2" s="3220"/>
      <c r="E2" s="3220"/>
      <c r="F2" s="3220"/>
      <c r="G2" s="3220"/>
      <c r="H2" s="3220"/>
      <c r="I2" s="3220"/>
    </row>
    <row r="3" spans="1:9" ht="12.75">
      <c r="A3" s="528"/>
      <c r="B3" s="528"/>
      <c r="C3" s="528"/>
      <c r="D3" s="528"/>
      <c r="E3" s="528"/>
      <c r="F3" s="528"/>
      <c r="G3" s="528"/>
      <c r="H3" s="529"/>
      <c r="I3" s="529"/>
    </row>
    <row r="4" spans="1:9" ht="13.5" thickBot="1">
      <c r="A4" s="528"/>
      <c r="B4" s="528"/>
      <c r="C4" s="528"/>
      <c r="D4" s="528"/>
      <c r="E4" s="528"/>
      <c r="F4" s="528"/>
      <c r="G4" s="528"/>
      <c r="H4" s="529"/>
      <c r="I4" s="529"/>
    </row>
    <row r="5" spans="1:9" ht="13.5" thickBot="1">
      <c r="A5" s="530" t="s">
        <v>434</v>
      </c>
      <c r="B5" s="531"/>
      <c r="C5" s="3226" t="s">
        <v>435</v>
      </c>
      <c r="D5" s="3227"/>
      <c r="E5" s="3227"/>
      <c r="F5" s="3227"/>
      <c r="G5" s="3227"/>
      <c r="H5" s="3227"/>
      <c r="I5" s="3228"/>
    </row>
    <row r="6" spans="1:9" ht="13.5" thickBot="1">
      <c r="A6" s="532"/>
      <c r="B6" s="533"/>
      <c r="C6" s="1119">
        <v>2016</v>
      </c>
      <c r="D6" s="1118">
        <v>2017</v>
      </c>
      <c r="E6" s="534">
        <v>2018</v>
      </c>
      <c r="F6" s="534" t="s">
        <v>790</v>
      </c>
      <c r="G6" s="534">
        <v>2019</v>
      </c>
      <c r="H6" s="535">
        <v>2020</v>
      </c>
      <c r="I6" s="535">
        <v>2021</v>
      </c>
    </row>
    <row r="7" spans="1:9" ht="12.75">
      <c r="A7" s="532"/>
      <c r="B7" s="533"/>
      <c r="C7" s="1130" t="s">
        <v>180</v>
      </c>
      <c r="D7" s="1120" t="s">
        <v>180</v>
      </c>
      <c r="E7" s="536" t="s">
        <v>180</v>
      </c>
      <c r="F7" s="536" t="s">
        <v>180</v>
      </c>
      <c r="G7" s="536" t="s">
        <v>180</v>
      </c>
      <c r="H7" s="536" t="s">
        <v>180</v>
      </c>
      <c r="I7" s="536" t="s">
        <v>180</v>
      </c>
    </row>
    <row r="8" spans="1:9" ht="13.5" thickBot="1">
      <c r="A8" s="537"/>
      <c r="B8" s="538"/>
      <c r="C8" s="1122">
        <v>-3</v>
      </c>
      <c r="D8" s="1121">
        <v>-2</v>
      </c>
      <c r="E8" s="539">
        <v>-1</v>
      </c>
      <c r="F8" s="539">
        <v>-1</v>
      </c>
      <c r="G8" s="539">
        <v>0</v>
      </c>
      <c r="H8" s="540">
        <v>1</v>
      </c>
      <c r="I8" s="540">
        <v>2</v>
      </c>
    </row>
    <row r="9" spans="1:9" ht="12.75">
      <c r="A9" s="541" t="s">
        <v>436</v>
      </c>
      <c r="B9" s="542"/>
      <c r="C9" s="1126"/>
      <c r="D9" s="1123"/>
      <c r="E9" s="543"/>
      <c r="F9" s="543"/>
      <c r="G9" s="543"/>
      <c r="H9" s="544"/>
      <c r="I9" s="544"/>
    </row>
    <row r="10" spans="1:9" ht="12.75">
      <c r="A10" s="545" t="s">
        <v>1</v>
      </c>
      <c r="B10" s="546"/>
      <c r="C10" s="1162">
        <f>príjmy!J241</f>
        <v>1886130.5600000003</v>
      </c>
      <c r="D10" s="402">
        <f>SUM(príjmy!K241)</f>
        <v>1379071.67</v>
      </c>
      <c r="E10" s="949">
        <f>príjmy!L241</f>
        <v>1432156</v>
      </c>
      <c r="F10" s="949">
        <f>príjmy!M241</f>
        <v>1525462</v>
      </c>
      <c r="G10" s="949">
        <f>príjmy!N241</f>
        <v>1593136</v>
      </c>
      <c r="H10" s="949">
        <f>príjmy!O241</f>
        <v>1551732</v>
      </c>
      <c r="I10" s="949">
        <f>príjmy!P241</f>
        <v>1639486</v>
      </c>
    </row>
    <row r="11" spans="1:12" ht="12.75">
      <c r="A11" s="545" t="s">
        <v>80</v>
      </c>
      <c r="B11" s="546"/>
      <c r="C11" s="1162">
        <f>príjmy!J242</f>
        <v>6310</v>
      </c>
      <c r="D11" s="402">
        <f>SUM(príjmy!K242)</f>
        <v>2604287.57</v>
      </c>
      <c r="E11" s="949">
        <f>príjmy!L242</f>
        <v>6968351</v>
      </c>
      <c r="F11" s="949">
        <f>príjmy!M242</f>
        <v>5822640</v>
      </c>
      <c r="G11" s="949">
        <f>príjmy!N242</f>
        <v>4626207</v>
      </c>
      <c r="H11" s="949">
        <f>príjmy!O242</f>
        <v>354040</v>
      </c>
      <c r="I11" s="949">
        <f>príjmy!P242</f>
        <v>0</v>
      </c>
      <c r="J11" s="170"/>
      <c r="K11" s="492"/>
      <c r="L11" s="170"/>
    </row>
    <row r="12" spans="1:13" ht="12.75">
      <c r="A12" s="548" t="s">
        <v>437</v>
      </c>
      <c r="B12" s="549"/>
      <c r="C12" s="1184">
        <f>príjmy!J243</f>
        <v>2672</v>
      </c>
      <c r="D12" s="401">
        <f>príjmy!K243</f>
        <v>3473630.42</v>
      </c>
      <c r="E12" s="1307">
        <f>príjmy!L243</f>
        <v>7157150</v>
      </c>
      <c r="F12" s="1307">
        <f>príjmy!M243</f>
        <v>6407122</v>
      </c>
      <c r="G12" s="1307">
        <f>príjmy!N243</f>
        <v>2856191</v>
      </c>
      <c r="H12" s="1307">
        <f>príjmy!O243</f>
        <v>11500</v>
      </c>
      <c r="I12" s="1307">
        <f>príjmy!P243</f>
        <v>1500</v>
      </c>
      <c r="J12" s="170"/>
      <c r="K12" s="173"/>
      <c r="L12" s="173"/>
      <c r="M12" s="170"/>
    </row>
    <row r="13" spans="1:13" ht="12.75">
      <c r="A13" s="2107" t="s">
        <v>778</v>
      </c>
      <c r="B13" s="2108"/>
      <c r="C13" s="2109"/>
      <c r="D13" s="2110"/>
      <c r="E13" s="2111">
        <f>príjmy!L244</f>
        <v>757979</v>
      </c>
      <c r="F13" s="2111">
        <f>príjmy!M244</f>
        <v>779256</v>
      </c>
      <c r="G13" s="2111">
        <f>príjmy!N229</f>
        <v>862226</v>
      </c>
      <c r="H13" s="2111">
        <f>príjmy!O229</f>
        <v>895258</v>
      </c>
      <c r="I13" s="2112">
        <f>príjmy!P229</f>
        <v>906257</v>
      </c>
      <c r="J13" s="170"/>
      <c r="K13" s="173"/>
      <c r="L13" s="173"/>
      <c r="M13" s="170"/>
    </row>
    <row r="14" spans="1:12" ht="13.5" thickBot="1">
      <c r="A14" s="2102" t="s">
        <v>438</v>
      </c>
      <c r="B14" s="2103"/>
      <c r="C14" s="2104">
        <f>C10+C11+C12</f>
        <v>1895112.5600000003</v>
      </c>
      <c r="D14" s="2105">
        <f>SUM(D10,D11,D12)</f>
        <v>7456989.66</v>
      </c>
      <c r="E14" s="2106">
        <f>E10+E11+E12+E13</f>
        <v>16315636</v>
      </c>
      <c r="F14" s="2106">
        <f>SUM(F10,F11,F12,F13,)</f>
        <v>14534480</v>
      </c>
      <c r="G14" s="2106">
        <f>SUM(G10,G11,G12)+G13</f>
        <v>9937760</v>
      </c>
      <c r="H14" s="2106">
        <f>SUM(H10,H11,H12)+H13</f>
        <v>2812530</v>
      </c>
      <c r="I14" s="2106">
        <f>SUM(I10:I13)</f>
        <v>2547243</v>
      </c>
      <c r="K14" s="551"/>
      <c r="L14" s="551"/>
    </row>
    <row r="15" spans="1:13" ht="12.75">
      <c r="A15" s="552"/>
      <c r="B15" s="553"/>
      <c r="C15" s="1127"/>
      <c r="D15" s="1125"/>
      <c r="E15" s="554"/>
      <c r="F15" s="554"/>
      <c r="G15" s="554"/>
      <c r="H15" s="554"/>
      <c r="I15" s="554"/>
      <c r="K15" s="551"/>
      <c r="L15" s="551"/>
      <c r="M15" s="170"/>
    </row>
    <row r="16" spans="1:12" ht="12.75">
      <c r="A16" s="555" t="s">
        <v>439</v>
      </c>
      <c r="B16" s="556"/>
      <c r="C16" s="1128"/>
      <c r="D16" s="1124"/>
      <c r="E16" s="547"/>
      <c r="F16" s="547"/>
      <c r="G16" s="547"/>
      <c r="H16" s="547"/>
      <c r="I16" s="547"/>
      <c r="K16" s="551"/>
      <c r="L16" s="551"/>
    </row>
    <row r="17" spans="1:11" ht="12.75">
      <c r="A17" s="548" t="s">
        <v>440</v>
      </c>
      <c r="B17" s="549"/>
      <c r="C17" s="1184">
        <f>výdavky!D746</f>
        <v>1853549.99</v>
      </c>
      <c r="D17" s="401">
        <f>SUM(výdavky!E746)</f>
        <v>1985548</v>
      </c>
      <c r="E17" s="1307">
        <f>výdavky!F746</f>
        <v>1107460</v>
      </c>
      <c r="F17" s="1307">
        <f>výdavky!G746</f>
        <v>1165812</v>
      </c>
      <c r="G17" s="1307">
        <f>SUM(výdavky!H746)</f>
        <v>1210361</v>
      </c>
      <c r="H17" s="1307">
        <f>výdavky!I746</f>
        <v>1159780</v>
      </c>
      <c r="I17" s="1307">
        <f>výdavky!J746</f>
        <v>1162780</v>
      </c>
      <c r="K17" s="170"/>
    </row>
    <row r="18" spans="1:12" ht="12.75">
      <c r="A18" s="545" t="s">
        <v>441</v>
      </c>
      <c r="B18" s="546"/>
      <c r="C18" s="1162">
        <f>výdavky!D747</f>
        <v>32741</v>
      </c>
      <c r="D18" s="402">
        <f>SUM(výdavky!E747)</f>
        <v>3657374</v>
      </c>
      <c r="E18" s="949">
        <f>výdavky!F747</f>
        <v>7366224</v>
      </c>
      <c r="F18" s="949">
        <f>výdavky!G698</f>
        <v>6567266</v>
      </c>
      <c r="G18" s="949">
        <f>výdavky!H747</f>
        <v>3595973</v>
      </c>
      <c r="H18" s="949">
        <f>výdavky!I747</f>
        <v>360000</v>
      </c>
      <c r="I18" s="949">
        <f>výdavky!J747</f>
        <v>0</v>
      </c>
      <c r="J18" s="170"/>
      <c r="L18" s="170"/>
    </row>
    <row r="19" spans="1:12" ht="13.5" thickBot="1">
      <c r="A19" s="557" t="s">
        <v>442</v>
      </c>
      <c r="B19" s="558"/>
      <c r="C19" s="1184">
        <f>výdavky!D748</f>
        <v>43594</v>
      </c>
      <c r="D19" s="401">
        <f>SUM(výdavky!E748)</f>
        <v>2405200</v>
      </c>
      <c r="E19" s="1307">
        <f>výdavky!F748</f>
        <v>6806800</v>
      </c>
      <c r="F19" s="1307">
        <f>výdavky!G719</f>
        <v>5621705</v>
      </c>
      <c r="G19" s="1307">
        <f>výdavky!H748</f>
        <v>3955409</v>
      </c>
      <c r="H19" s="1307">
        <f>výdavky!I748</f>
        <v>78180</v>
      </c>
      <c r="I19" s="1307">
        <f>výdavky!J748</f>
        <v>78180</v>
      </c>
      <c r="J19" s="170"/>
      <c r="L19" s="170"/>
    </row>
    <row r="20" spans="1:12" ht="13.5" thickBot="1">
      <c r="A20" s="550" t="s">
        <v>443</v>
      </c>
      <c r="B20" s="559"/>
      <c r="C20" s="1308">
        <f>SUM(C17:C19)</f>
        <v>1929884.99</v>
      </c>
      <c r="D20" s="1312">
        <f>SUM(D17,D18,D19)</f>
        <v>8048122</v>
      </c>
      <c r="E20" s="1313">
        <f>SUM(E17:E19)</f>
        <v>15280484</v>
      </c>
      <c r="F20" s="1313">
        <f>SUM(F17,F18,F19)</f>
        <v>13354783</v>
      </c>
      <c r="G20" s="1313">
        <f>SUM(G17,G18,G19)</f>
        <v>8761743</v>
      </c>
      <c r="H20" s="1313">
        <f>SUM(H17,H18,H19)</f>
        <v>1597960</v>
      </c>
      <c r="I20" s="1314">
        <f>SUM(I17,I18,I19)</f>
        <v>1240960</v>
      </c>
      <c r="J20" s="170"/>
      <c r="L20" s="170"/>
    </row>
    <row r="21" spans="1:9" ht="13.5" thickBot="1">
      <c r="A21" s="560"/>
      <c r="B21" s="549"/>
      <c r="C21" s="289"/>
      <c r="D21" s="1310"/>
      <c r="E21" s="1310"/>
      <c r="F21" s="1310"/>
      <c r="G21" s="1310"/>
      <c r="H21" s="1311"/>
      <c r="I21" s="1310"/>
    </row>
    <row r="22" spans="1:9" ht="13.5" thickBot="1">
      <c r="A22" s="3221" t="s">
        <v>444</v>
      </c>
      <c r="B22" s="3221"/>
      <c r="C22" s="1309">
        <f>C14-C20</f>
        <v>-34772.4299999997</v>
      </c>
      <c r="D22" s="1315">
        <f>SUM(D14-D20)</f>
        <v>-591132.3399999999</v>
      </c>
      <c r="E22" s="1316">
        <f>E14-E20</f>
        <v>1035152</v>
      </c>
      <c r="F22" s="1316">
        <f>SUM(F14-F20)</f>
        <v>1179697</v>
      </c>
      <c r="G22" s="1316">
        <f>SUM(G14-G20)</f>
        <v>1176017</v>
      </c>
      <c r="H22" s="1316">
        <f>SUM(H14-H20)</f>
        <v>1214570</v>
      </c>
      <c r="I22" s="1317">
        <f>SUM(I14-I20)</f>
        <v>1306283</v>
      </c>
    </row>
    <row r="24" ht="13.5" thickBot="1"/>
    <row r="25" spans="1:9" ht="13.5" thickBot="1">
      <c r="A25" s="530" t="s">
        <v>445</v>
      </c>
      <c r="B25" s="1117"/>
      <c r="C25" s="3229" t="s">
        <v>435</v>
      </c>
      <c r="D25" s="3230"/>
      <c r="E25" s="3230"/>
      <c r="F25" s="3230"/>
      <c r="G25" s="3230"/>
      <c r="H25" s="3230"/>
      <c r="I25" s="3231"/>
    </row>
    <row r="26" spans="1:9" ht="13.5" thickBot="1">
      <c r="A26" s="532"/>
      <c r="B26" s="533"/>
      <c r="C26" s="1119">
        <v>2016</v>
      </c>
      <c r="D26" s="1118">
        <v>2017</v>
      </c>
      <c r="E26" s="534">
        <v>2018</v>
      </c>
      <c r="F26" s="534" t="s">
        <v>790</v>
      </c>
      <c r="G26" s="534">
        <v>2019</v>
      </c>
      <c r="H26" s="535">
        <v>2020</v>
      </c>
      <c r="I26" s="535">
        <v>2021</v>
      </c>
    </row>
    <row r="27" spans="1:9" ht="12.75">
      <c r="A27" s="532"/>
      <c r="B27" s="533"/>
      <c r="C27" s="1130" t="s">
        <v>180</v>
      </c>
      <c r="D27" s="1131" t="s">
        <v>180</v>
      </c>
      <c r="E27" s="1120" t="s">
        <v>180</v>
      </c>
      <c r="F27" s="536" t="s">
        <v>180</v>
      </c>
      <c r="G27" s="536" t="s">
        <v>180</v>
      </c>
      <c r="H27" s="536" t="s">
        <v>180</v>
      </c>
      <c r="I27" s="536" t="s">
        <v>180</v>
      </c>
    </row>
    <row r="28" spans="1:9" ht="13.5" thickBot="1">
      <c r="A28" s="537"/>
      <c r="B28" s="538"/>
      <c r="C28" s="1122">
        <v>-3</v>
      </c>
      <c r="D28" s="1132">
        <v>-2</v>
      </c>
      <c r="E28" s="1129">
        <v>-1</v>
      </c>
      <c r="F28" s="561">
        <v>-1</v>
      </c>
      <c r="G28" s="561">
        <v>0</v>
      </c>
      <c r="H28" s="540">
        <v>1</v>
      </c>
      <c r="I28" s="540">
        <v>2</v>
      </c>
    </row>
    <row r="29" spans="1:9" ht="12.75">
      <c r="A29" s="3222" t="s">
        <v>1</v>
      </c>
      <c r="B29" s="3222"/>
      <c r="C29" s="1342">
        <f>C10</f>
        <v>1886130.5600000003</v>
      </c>
      <c r="D29" s="1318">
        <f>D10</f>
        <v>1379071.67</v>
      </c>
      <c r="E29" s="1319">
        <f>E10</f>
        <v>1432156</v>
      </c>
      <c r="F29" s="1320">
        <f>F10</f>
        <v>1525462</v>
      </c>
      <c r="G29" s="1320">
        <f>G10+G13</f>
        <v>2455362</v>
      </c>
      <c r="H29" s="1320">
        <f>H10+H13</f>
        <v>2446990</v>
      </c>
      <c r="I29" s="1321">
        <f>I10+I13</f>
        <v>2545743</v>
      </c>
    </row>
    <row r="30" spans="1:9" ht="12.75">
      <c r="A30" s="3218" t="s">
        <v>440</v>
      </c>
      <c r="B30" s="3218"/>
      <c r="C30" s="1343">
        <f>C17</f>
        <v>1853549.99</v>
      </c>
      <c r="D30" s="1322">
        <f>SUM(D17)</f>
        <v>1985548</v>
      </c>
      <c r="E30" s="1323">
        <f>E17</f>
        <v>1107460</v>
      </c>
      <c r="F30" s="1324">
        <f>F17</f>
        <v>1165812</v>
      </c>
      <c r="G30" s="1324">
        <f>G17</f>
        <v>1210361</v>
      </c>
      <c r="H30" s="1324">
        <f>H17</f>
        <v>1159780</v>
      </c>
      <c r="I30" s="1325">
        <f>I17</f>
        <v>1162780</v>
      </c>
    </row>
    <row r="31" spans="1:9" ht="12.75">
      <c r="A31" s="3219" t="s">
        <v>446</v>
      </c>
      <c r="B31" s="3219"/>
      <c r="C31" s="1344">
        <f aca="true" t="shared" si="0" ref="C31:I31">C29-C30</f>
        <v>32580.570000000298</v>
      </c>
      <c r="D31" s="1326">
        <f t="shared" si="0"/>
        <v>-606476.3300000001</v>
      </c>
      <c r="E31" s="1327">
        <f t="shared" si="0"/>
        <v>324696</v>
      </c>
      <c r="F31" s="1328">
        <f t="shared" si="0"/>
        <v>359650</v>
      </c>
      <c r="G31" s="1328">
        <f t="shared" si="0"/>
        <v>1245001</v>
      </c>
      <c r="H31" s="1328">
        <f t="shared" si="0"/>
        <v>1287210</v>
      </c>
      <c r="I31" s="1329">
        <f t="shared" si="0"/>
        <v>1382963</v>
      </c>
    </row>
    <row r="32" spans="1:9" ht="12.75">
      <c r="A32" s="3223"/>
      <c r="B32" s="3223"/>
      <c r="C32" s="229"/>
      <c r="D32" s="1310"/>
      <c r="E32" s="1310"/>
      <c r="F32" s="1310"/>
      <c r="G32" s="289"/>
      <c r="H32" s="289"/>
      <c r="I32" s="412"/>
    </row>
    <row r="33" spans="1:9" ht="12.75">
      <c r="A33" s="3224" t="s">
        <v>80</v>
      </c>
      <c r="B33" s="3224"/>
      <c r="C33" s="1345">
        <f>C11</f>
        <v>6310</v>
      </c>
      <c r="D33" s="1330">
        <f>D11</f>
        <v>2604287.57</v>
      </c>
      <c r="E33" s="1330">
        <f>E11</f>
        <v>6968351</v>
      </c>
      <c r="F33" s="1331">
        <f>F11</f>
        <v>5822640</v>
      </c>
      <c r="G33" s="1331">
        <f>SUM(G11)</f>
        <v>4626207</v>
      </c>
      <c r="H33" s="1331">
        <f>SUM(H11)</f>
        <v>354040</v>
      </c>
      <c r="I33" s="1332">
        <f>SUM(I11)</f>
        <v>0</v>
      </c>
    </row>
    <row r="34" spans="1:9" ht="12.75">
      <c r="A34" s="3218" t="s">
        <v>441</v>
      </c>
      <c r="B34" s="3218"/>
      <c r="C34" s="1346">
        <f>C18</f>
        <v>32741</v>
      </c>
      <c r="D34" s="1333">
        <f>D18</f>
        <v>3657374</v>
      </c>
      <c r="E34" s="1333">
        <f>E18</f>
        <v>7366224</v>
      </c>
      <c r="F34" s="1334">
        <f>F18</f>
        <v>6567266</v>
      </c>
      <c r="G34" s="1334">
        <f>SUM(G18)</f>
        <v>3595973</v>
      </c>
      <c r="H34" s="1334">
        <f>SUM(H18)</f>
        <v>360000</v>
      </c>
      <c r="I34" s="1335">
        <f>SUM(I18)</f>
        <v>0</v>
      </c>
    </row>
    <row r="35" spans="1:9" ht="12.75">
      <c r="A35" s="3219" t="s">
        <v>446</v>
      </c>
      <c r="B35" s="3219"/>
      <c r="C35" s="1347">
        <f aca="true" t="shared" si="1" ref="C35:I35">C33-C34</f>
        <v>-26431</v>
      </c>
      <c r="D35" s="1336">
        <f t="shared" si="1"/>
        <v>-1053086.4300000002</v>
      </c>
      <c r="E35" s="1336">
        <f t="shared" si="1"/>
        <v>-397873</v>
      </c>
      <c r="F35" s="1337">
        <f t="shared" si="1"/>
        <v>-744626</v>
      </c>
      <c r="G35" s="1337">
        <f t="shared" si="1"/>
        <v>1030234</v>
      </c>
      <c r="H35" s="1337">
        <f t="shared" si="1"/>
        <v>-5960</v>
      </c>
      <c r="I35" s="1338">
        <f t="shared" si="1"/>
        <v>0</v>
      </c>
    </row>
    <row r="36" spans="1:9" ht="12.75">
      <c r="A36" s="3223"/>
      <c r="B36" s="3223"/>
      <c r="C36" s="229"/>
      <c r="D36" s="1310"/>
      <c r="E36" s="1310"/>
      <c r="F36" s="1310"/>
      <c r="G36" s="289"/>
      <c r="H36" s="289"/>
      <c r="I36" s="412"/>
    </row>
    <row r="37" spans="1:9" ht="12.75">
      <c r="A37" s="3224" t="s">
        <v>90</v>
      </c>
      <c r="B37" s="3224"/>
      <c r="C37" s="1345">
        <f>C12</f>
        <v>2672</v>
      </c>
      <c r="D37" s="1330">
        <f>D12</f>
        <v>3473630.42</v>
      </c>
      <c r="E37" s="1330">
        <f>E12</f>
        <v>7157150</v>
      </c>
      <c r="F37" s="1331">
        <f>F12</f>
        <v>6407122</v>
      </c>
      <c r="G37" s="1331">
        <f>SUM(G12)</f>
        <v>2856191</v>
      </c>
      <c r="H37" s="1331">
        <f>H12</f>
        <v>11500</v>
      </c>
      <c r="I37" s="1332">
        <f>SUM(I12)</f>
        <v>1500</v>
      </c>
    </row>
    <row r="38" spans="1:9" ht="12.75">
      <c r="A38" s="3218" t="s">
        <v>447</v>
      </c>
      <c r="B38" s="3218"/>
      <c r="C38" s="1346">
        <f>C19</f>
        <v>43594</v>
      </c>
      <c r="D38" s="1333">
        <f>D19</f>
        <v>2405200</v>
      </c>
      <c r="E38" s="1333">
        <f>E19</f>
        <v>6806800</v>
      </c>
      <c r="F38" s="1334">
        <f>F19</f>
        <v>5621705</v>
      </c>
      <c r="G38" s="1334">
        <f>SUM(G19)</f>
        <v>3955409</v>
      </c>
      <c r="H38" s="1334">
        <f>H19</f>
        <v>78180</v>
      </c>
      <c r="I38" s="1335">
        <f>SUM(I19)</f>
        <v>78180</v>
      </c>
    </row>
    <row r="39" spans="1:9" ht="12.75">
      <c r="A39" s="3219" t="s">
        <v>446</v>
      </c>
      <c r="B39" s="3219"/>
      <c r="C39" s="1347">
        <f aca="true" t="shared" si="2" ref="C39:I39">C37-C38</f>
        <v>-40922</v>
      </c>
      <c r="D39" s="1336">
        <f t="shared" si="2"/>
        <v>1068430.42</v>
      </c>
      <c r="E39" s="1336">
        <f t="shared" si="2"/>
        <v>350350</v>
      </c>
      <c r="F39" s="1337">
        <f t="shared" si="2"/>
        <v>785417</v>
      </c>
      <c r="G39" s="1337">
        <f t="shared" si="2"/>
        <v>-1099218</v>
      </c>
      <c r="H39" s="1337">
        <f t="shared" si="2"/>
        <v>-66680</v>
      </c>
      <c r="I39" s="1338">
        <f t="shared" si="2"/>
        <v>-76680</v>
      </c>
    </row>
    <row r="40" spans="1:9" ht="12.75">
      <c r="A40" s="3223"/>
      <c r="B40" s="3223"/>
      <c r="C40" s="229"/>
      <c r="D40" s="289"/>
      <c r="E40" s="289"/>
      <c r="F40" s="289"/>
      <c r="G40" s="289"/>
      <c r="H40" s="289"/>
      <c r="I40" s="412"/>
    </row>
    <row r="41" spans="1:9" ht="12.75">
      <c r="A41" s="3224" t="s">
        <v>448</v>
      </c>
      <c r="B41" s="3224"/>
      <c r="C41" s="1345">
        <f>C14</f>
        <v>1895112.5600000003</v>
      </c>
      <c r="D41" s="1330">
        <f>D14</f>
        <v>7456989.66</v>
      </c>
      <c r="E41" s="1330">
        <f>E14</f>
        <v>16315636</v>
      </c>
      <c r="F41" s="1331">
        <f>F14</f>
        <v>14534480</v>
      </c>
      <c r="G41" s="1331">
        <f>SUM(G14)</f>
        <v>9937760</v>
      </c>
      <c r="H41" s="1331">
        <f>H14</f>
        <v>2812530</v>
      </c>
      <c r="I41" s="1332">
        <f>I14</f>
        <v>2547243</v>
      </c>
    </row>
    <row r="42" spans="1:9" ht="12.75">
      <c r="A42" s="3218" t="s">
        <v>449</v>
      </c>
      <c r="B42" s="3218"/>
      <c r="C42" s="1348">
        <f>C20</f>
        <v>1929884.99</v>
      </c>
      <c r="D42" s="1333">
        <f>D20</f>
        <v>8048122</v>
      </c>
      <c r="E42" s="1333">
        <f>E20</f>
        <v>15280484</v>
      </c>
      <c r="F42" s="1334">
        <f>F20</f>
        <v>13354783</v>
      </c>
      <c r="G42" s="1334">
        <f>SUM(G20)</f>
        <v>8761743</v>
      </c>
      <c r="H42" s="1334">
        <f>H20</f>
        <v>1597960</v>
      </c>
      <c r="I42" s="1335">
        <f>I20</f>
        <v>1240960</v>
      </c>
    </row>
    <row r="43" spans="1:9" ht="12.75">
      <c r="A43" s="3225" t="s">
        <v>446</v>
      </c>
      <c r="B43" s="3225"/>
      <c r="C43" s="1349">
        <f aca="true" t="shared" si="3" ref="C43:I43">C41-C42</f>
        <v>-34772.4299999997</v>
      </c>
      <c r="D43" s="1339">
        <f t="shared" si="3"/>
        <v>-591132.3399999999</v>
      </c>
      <c r="E43" s="1339">
        <f t="shared" si="3"/>
        <v>1035152</v>
      </c>
      <c r="F43" s="1340">
        <f t="shared" si="3"/>
        <v>1179697</v>
      </c>
      <c r="G43" s="1340">
        <f t="shared" si="3"/>
        <v>1176017</v>
      </c>
      <c r="H43" s="1340">
        <f t="shared" si="3"/>
        <v>1214570</v>
      </c>
      <c r="I43" s="1341">
        <f t="shared" si="3"/>
        <v>1306283</v>
      </c>
    </row>
  </sheetData>
  <sheetProtection/>
  <mergeCells count="20">
    <mergeCell ref="A40:B40"/>
    <mergeCell ref="A41:B41"/>
    <mergeCell ref="A42:B42"/>
    <mergeCell ref="A43:B43"/>
    <mergeCell ref="C5:I5"/>
    <mergeCell ref="C25:I25"/>
    <mergeCell ref="A32:B32"/>
    <mergeCell ref="A33:B33"/>
    <mergeCell ref="A36:B36"/>
    <mergeCell ref="A37:B37"/>
    <mergeCell ref="A38:B38"/>
    <mergeCell ref="A39:B39"/>
    <mergeCell ref="A1:I1"/>
    <mergeCell ref="A2:I2"/>
    <mergeCell ref="A22:B22"/>
    <mergeCell ref="A34:B34"/>
    <mergeCell ref="A35:B35"/>
    <mergeCell ref="A29:B29"/>
    <mergeCell ref="A30:B30"/>
    <mergeCell ref="A31:B31"/>
  </mergeCells>
  <printOptions/>
  <pageMargins left="0.5905511811023623" right="0.1968503937007874" top="0.7874015748031497" bottom="0.7874015748031497" header="0.5118110236220472" footer="0.5118110236220472"/>
  <pageSetup fitToHeight="0"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864"/>
  <sheetViews>
    <sheetView tabSelected="1" workbookViewId="0" topLeftCell="A581">
      <selection activeCell="G759" sqref="G759"/>
    </sheetView>
  </sheetViews>
  <sheetFormatPr defaultColWidth="6.28125" defaultRowHeight="12.75"/>
  <cols>
    <col min="1" max="1" width="5.28125" style="16" customWidth="1"/>
    <col min="2" max="2" width="4.57421875" style="16" customWidth="1"/>
    <col min="3" max="3" width="39.57421875" style="16" customWidth="1"/>
    <col min="4" max="4" width="9.7109375" style="16" customWidth="1"/>
    <col min="5" max="5" width="10.7109375" style="562" customWidth="1"/>
    <col min="6" max="6" width="10.7109375" style="2085" customWidth="1"/>
    <col min="7" max="8" width="10.7109375" style="562" customWidth="1"/>
    <col min="9" max="9" width="14.28125" style="2936" customWidth="1"/>
    <col min="10" max="10" width="10.7109375" style="563" customWidth="1"/>
    <col min="11" max="11" width="24.00390625" style="19" customWidth="1"/>
    <col min="12" max="15" width="10.7109375" style="19" customWidth="1"/>
    <col min="16" max="16" width="19.8515625" style="16" customWidth="1"/>
    <col min="17" max="17" width="9.140625" style="16" customWidth="1"/>
    <col min="18" max="16384" width="6.28125" style="16" customWidth="1"/>
  </cols>
  <sheetData>
    <row r="1" spans="1:15" ht="15.75">
      <c r="A1" s="3237" t="s">
        <v>892</v>
      </c>
      <c r="B1" s="3237"/>
      <c r="C1" s="3237"/>
      <c r="D1" s="3237"/>
      <c r="E1" s="3237"/>
      <c r="F1" s="3237"/>
      <c r="G1" s="3237"/>
      <c r="H1" s="3237"/>
      <c r="I1" s="3237"/>
      <c r="J1" s="3237"/>
      <c r="K1" s="564"/>
      <c r="L1" s="564"/>
      <c r="M1" s="564"/>
      <c r="N1" s="564"/>
      <c r="O1" s="564"/>
    </row>
    <row r="3" spans="3:4" ht="12.75">
      <c r="C3" s="565" t="s">
        <v>440</v>
      </c>
      <c r="D3" s="565"/>
    </row>
    <row r="4" spans="6:15" ht="13.5" thickBot="1">
      <c r="F4" s="2084"/>
      <c r="H4" s="3238" t="s">
        <v>454</v>
      </c>
      <c r="I4" s="3238"/>
      <c r="J4" s="3238" t="s">
        <v>454</v>
      </c>
      <c r="K4" s="140"/>
      <c r="L4" s="140"/>
      <c r="M4" s="140"/>
      <c r="N4" s="140"/>
      <c r="O4" s="140"/>
    </row>
    <row r="5" spans="1:9" ht="16.5" hidden="1" thickBot="1">
      <c r="A5" s="3180"/>
      <c r="B5" s="3180"/>
      <c r="C5" s="3180"/>
      <c r="D5" s="3180"/>
      <c r="E5" s="3180"/>
      <c r="F5" s="3180"/>
      <c r="G5" s="3180"/>
      <c r="H5" s="566"/>
      <c r="I5" s="2936" t="s">
        <v>450</v>
      </c>
    </row>
    <row r="6" spans="1:15" s="642" customFormat="1" ht="18.75" customHeight="1">
      <c r="A6" s="567" t="s">
        <v>447</v>
      </c>
      <c r="B6" s="568"/>
      <c r="C6" s="569"/>
      <c r="D6" s="569">
        <v>2017</v>
      </c>
      <c r="E6" s="2636">
        <v>2018</v>
      </c>
      <c r="F6" s="2801">
        <v>2019</v>
      </c>
      <c r="G6" s="2636" t="s">
        <v>881</v>
      </c>
      <c r="H6" s="2637">
        <v>2020</v>
      </c>
      <c r="I6" s="3041" t="s">
        <v>882</v>
      </c>
      <c r="J6" s="3042">
        <v>2022</v>
      </c>
      <c r="K6" s="639"/>
      <c r="L6" s="640"/>
      <c r="M6" s="641"/>
      <c r="N6" s="570"/>
      <c r="O6" s="571"/>
    </row>
    <row r="7" spans="1:16" s="17" customFormat="1" ht="12.75">
      <c r="A7" s="573" t="s">
        <v>455</v>
      </c>
      <c r="B7" s="574"/>
      <c r="C7" s="575"/>
      <c r="D7" s="1552">
        <f>SUM(D8,D10,D12,D13)+D11+D16+D9</f>
        <v>224037.69</v>
      </c>
      <c r="E7" s="1599">
        <f>E8+E12+E13+E10+E11+E9</f>
        <v>265146</v>
      </c>
      <c r="F7" s="2802">
        <f>F8+F9+F12+F13+F10</f>
        <v>247750</v>
      </c>
      <c r="G7" s="1599">
        <f>G8+G12+G13+G10+G11+G9</f>
        <v>269544</v>
      </c>
      <c r="H7" s="1600">
        <f>H8+H9+H12+H13+H10</f>
        <v>254360</v>
      </c>
      <c r="I7" s="2997">
        <f>I8+I9+I12+I13+I10</f>
        <v>254520</v>
      </c>
      <c r="J7" s="1601">
        <f>J8+J9+J12+J13+J10</f>
        <v>254520</v>
      </c>
      <c r="K7" s="127"/>
      <c r="L7" s="127"/>
      <c r="M7" s="127"/>
      <c r="N7" s="576"/>
      <c r="O7" s="576"/>
      <c r="P7" s="577"/>
    </row>
    <row r="8" spans="1:15" s="67" customFormat="1" ht="11.25">
      <c r="A8" s="41">
        <v>610</v>
      </c>
      <c r="B8" s="578"/>
      <c r="C8" s="1286" t="s">
        <v>456</v>
      </c>
      <c r="D8" s="1598">
        <v>81159</v>
      </c>
      <c r="E8" s="2117">
        <v>90000</v>
      </c>
      <c r="F8" s="2675">
        <v>95000</v>
      </c>
      <c r="G8" s="2117">
        <v>96000</v>
      </c>
      <c r="H8" s="1537">
        <v>105500</v>
      </c>
      <c r="I8" s="2937">
        <v>107000</v>
      </c>
      <c r="J8" s="1602">
        <v>107000</v>
      </c>
      <c r="K8" s="117"/>
      <c r="L8" s="117"/>
      <c r="M8" s="117"/>
      <c r="O8" s="76"/>
    </row>
    <row r="9" spans="1:15" s="67" customFormat="1" ht="11.25">
      <c r="A9" s="770">
        <v>610</v>
      </c>
      <c r="B9" s="771"/>
      <c r="C9" s="1287" t="s">
        <v>661</v>
      </c>
      <c r="D9" s="1755">
        <v>0</v>
      </c>
      <c r="E9" s="2118">
        <v>0</v>
      </c>
      <c r="F9" s="2676">
        <v>0</v>
      </c>
      <c r="G9" s="2118">
        <v>0</v>
      </c>
      <c r="H9" s="1754">
        <v>0</v>
      </c>
      <c r="I9" s="2937">
        <v>0</v>
      </c>
      <c r="J9" s="1756">
        <v>0</v>
      </c>
      <c r="K9" s="117"/>
      <c r="L9" s="117"/>
      <c r="M9" s="117"/>
      <c r="O9" s="76"/>
    </row>
    <row r="10" spans="1:15" s="67" customFormat="1" ht="11.25">
      <c r="A10" s="579">
        <v>610</v>
      </c>
      <c r="B10" s="578"/>
      <c r="C10" s="1288" t="s">
        <v>457</v>
      </c>
      <c r="D10" s="1603">
        <v>1660</v>
      </c>
      <c r="E10" s="2119">
        <v>1500</v>
      </c>
      <c r="F10" s="2677">
        <v>3000</v>
      </c>
      <c r="G10" s="2119">
        <v>5124</v>
      </c>
      <c r="H10" s="1604">
        <v>1500</v>
      </c>
      <c r="I10" s="2938">
        <v>0</v>
      </c>
      <c r="J10" s="1605">
        <v>0</v>
      </c>
      <c r="K10" s="117"/>
      <c r="L10" s="580"/>
      <c r="M10" s="117"/>
      <c r="N10" s="572"/>
      <c r="O10" s="76"/>
    </row>
    <row r="11" spans="1:15" s="67" customFormat="1" ht="11.25">
      <c r="A11" s="581">
        <v>625</v>
      </c>
      <c r="B11" s="582" t="s">
        <v>96</v>
      </c>
      <c r="C11" s="1289" t="s">
        <v>458</v>
      </c>
      <c r="D11" s="1584">
        <v>0</v>
      </c>
      <c r="E11" s="2120">
        <v>0</v>
      </c>
      <c r="F11" s="2678">
        <v>0</v>
      </c>
      <c r="G11" s="2120">
        <v>0</v>
      </c>
      <c r="H11" s="1562">
        <v>0</v>
      </c>
      <c r="I11" s="2939">
        <v>0</v>
      </c>
      <c r="J11" s="1607">
        <v>0</v>
      </c>
      <c r="K11" s="117"/>
      <c r="L11" s="117"/>
      <c r="M11" s="117"/>
      <c r="N11" s="572"/>
      <c r="O11" s="76"/>
    </row>
    <row r="12" spans="1:15" ht="12.75">
      <c r="A12" s="41">
        <v>620</v>
      </c>
      <c r="B12" s="42"/>
      <c r="C12" s="1290" t="s">
        <v>198</v>
      </c>
      <c r="D12" s="1571">
        <v>30609</v>
      </c>
      <c r="E12" s="2121">
        <v>35500</v>
      </c>
      <c r="F12" s="2679">
        <v>35000</v>
      </c>
      <c r="G12" s="2121">
        <v>34350</v>
      </c>
      <c r="H12" s="1542">
        <v>39340</v>
      </c>
      <c r="I12" s="2939">
        <v>40600</v>
      </c>
      <c r="J12" s="1572">
        <v>40600</v>
      </c>
      <c r="K12" s="117"/>
      <c r="L12" s="117"/>
      <c r="M12" s="117"/>
      <c r="N12" s="67"/>
      <c r="O12" s="76"/>
    </row>
    <row r="13" spans="1:17" s="19" customFormat="1" ht="12.75">
      <c r="A13" s="583">
        <v>630</v>
      </c>
      <c r="B13" s="584"/>
      <c r="C13" s="1291" t="s">
        <v>369</v>
      </c>
      <c r="D13" s="1608">
        <f aca="true" t="shared" si="0" ref="D13:J13">D14+D15+D17+D30+D37+D41+D49+D69</f>
        <v>110609.69</v>
      </c>
      <c r="E13" s="2122">
        <f t="shared" si="0"/>
        <v>138146</v>
      </c>
      <c r="F13" s="2680">
        <f t="shared" si="0"/>
        <v>114750</v>
      </c>
      <c r="G13" s="2122">
        <f t="shared" si="0"/>
        <v>134070</v>
      </c>
      <c r="H13" s="1609">
        <f t="shared" si="0"/>
        <v>108020</v>
      </c>
      <c r="I13" s="3025">
        <f t="shared" si="0"/>
        <v>106920</v>
      </c>
      <c r="J13" s="1610">
        <f t="shared" si="0"/>
        <v>106920</v>
      </c>
      <c r="K13" s="137"/>
      <c r="L13" s="137"/>
      <c r="M13" s="137"/>
      <c r="N13" s="77"/>
      <c r="O13" s="77"/>
      <c r="Q13" s="20"/>
    </row>
    <row r="14" spans="1:15" s="19" customFormat="1" ht="12.75">
      <c r="A14" s="585" t="s">
        <v>459</v>
      </c>
      <c r="B14" s="586"/>
      <c r="C14" s="1292" t="s">
        <v>200</v>
      </c>
      <c r="D14" s="1611">
        <v>187</v>
      </c>
      <c r="E14" s="2123">
        <v>200</v>
      </c>
      <c r="F14" s="2681">
        <v>200</v>
      </c>
      <c r="G14" s="2123">
        <v>200</v>
      </c>
      <c r="H14" s="1612">
        <v>200</v>
      </c>
      <c r="I14" s="2988">
        <v>200</v>
      </c>
      <c r="J14" s="1613">
        <v>200</v>
      </c>
      <c r="K14" s="117"/>
      <c r="L14" s="587"/>
      <c r="M14" s="117"/>
      <c r="N14" s="588"/>
      <c r="O14" s="589"/>
    </row>
    <row r="15" spans="1:15" s="19" customFormat="1" ht="12.75">
      <c r="A15" s="590">
        <v>632</v>
      </c>
      <c r="B15" s="591"/>
      <c r="C15" s="1293" t="s">
        <v>460</v>
      </c>
      <c r="D15" s="1611">
        <v>12967</v>
      </c>
      <c r="E15" s="2123">
        <v>15200</v>
      </c>
      <c r="F15" s="2681">
        <v>16000</v>
      </c>
      <c r="G15" s="2123">
        <v>12153</v>
      </c>
      <c r="H15" s="1612">
        <v>15450</v>
      </c>
      <c r="I15" s="2988">
        <v>15450</v>
      </c>
      <c r="J15" s="1613">
        <v>15450</v>
      </c>
      <c r="K15" s="117"/>
      <c r="L15" s="2635"/>
      <c r="M15" s="117"/>
      <c r="N15" s="588"/>
      <c r="O15" s="589"/>
    </row>
    <row r="16" spans="1:15" s="596" customFormat="1" ht="12.75">
      <c r="A16" s="592">
        <v>632</v>
      </c>
      <c r="B16" s="593" t="s">
        <v>461</v>
      </c>
      <c r="C16" s="1294"/>
      <c r="D16" s="1606">
        <v>0</v>
      </c>
      <c r="E16" s="2120">
        <v>0</v>
      </c>
      <c r="F16" s="2678">
        <v>0</v>
      </c>
      <c r="G16" s="2120">
        <v>0</v>
      </c>
      <c r="H16" s="1562">
        <v>0</v>
      </c>
      <c r="I16" s="2939">
        <v>0</v>
      </c>
      <c r="J16" s="1607">
        <v>0</v>
      </c>
      <c r="K16" s="580"/>
      <c r="L16" s="580"/>
      <c r="M16" s="580"/>
      <c r="N16" s="594"/>
      <c r="O16" s="595"/>
    </row>
    <row r="17" spans="1:15" s="19" customFormat="1" ht="12.75">
      <c r="A17" s="597">
        <v>633</v>
      </c>
      <c r="B17" s="598"/>
      <c r="C17" s="1295" t="s">
        <v>462</v>
      </c>
      <c r="D17" s="1587">
        <f>SUM(D18:D29)</f>
        <v>24062.45</v>
      </c>
      <c r="E17" s="2124">
        <f aca="true" t="shared" si="1" ref="E17:J17">SUM(E18,E19,E20,E21,E22,E24,E25,E26,E27,E28,E29)</f>
        <v>34684</v>
      </c>
      <c r="F17" s="2682">
        <f t="shared" si="1"/>
        <v>26700</v>
      </c>
      <c r="G17" s="2124">
        <f t="shared" si="1"/>
        <v>33735</v>
      </c>
      <c r="H17" s="1588">
        <f t="shared" si="1"/>
        <v>26800</v>
      </c>
      <c r="I17" s="2988">
        <f t="shared" si="1"/>
        <v>25700</v>
      </c>
      <c r="J17" s="1589">
        <f t="shared" si="1"/>
        <v>25700</v>
      </c>
      <c r="K17" s="599"/>
      <c r="L17" s="599"/>
      <c r="M17" s="2935"/>
      <c r="N17" s="600"/>
      <c r="O17" s="600"/>
    </row>
    <row r="18" spans="1:15" s="19" customFormat="1" ht="12.75">
      <c r="A18" s="601">
        <v>633</v>
      </c>
      <c r="B18" s="602" t="s">
        <v>98</v>
      </c>
      <c r="C18" s="1282" t="s">
        <v>463</v>
      </c>
      <c r="D18" s="1671">
        <v>0</v>
      </c>
      <c r="E18" s="1671">
        <v>1700</v>
      </c>
      <c r="F18" s="2679">
        <v>1000</v>
      </c>
      <c r="G18" s="1671">
        <v>0</v>
      </c>
      <c r="H18" s="1542">
        <v>500</v>
      </c>
      <c r="I18" s="2939">
        <v>500</v>
      </c>
      <c r="J18" s="1572">
        <v>500</v>
      </c>
      <c r="K18" s="117"/>
      <c r="L18" s="117"/>
      <c r="M18" s="117"/>
      <c r="N18" s="67"/>
      <c r="O18" s="76"/>
    </row>
    <row r="19" spans="1:15" ht="12.75">
      <c r="A19" s="41">
        <v>633</v>
      </c>
      <c r="B19" s="603" t="s">
        <v>100</v>
      </c>
      <c r="C19" s="1290" t="s">
        <v>464</v>
      </c>
      <c r="D19" s="1671">
        <v>0</v>
      </c>
      <c r="E19" s="1671">
        <v>1515</v>
      </c>
      <c r="F19" s="2679">
        <v>1000</v>
      </c>
      <c r="G19" s="1671">
        <v>0</v>
      </c>
      <c r="H19" s="1542">
        <v>500</v>
      </c>
      <c r="I19" s="2939">
        <v>500</v>
      </c>
      <c r="J19" s="1572">
        <v>500</v>
      </c>
      <c r="K19" s="117"/>
      <c r="L19" s="117"/>
      <c r="M19" s="117"/>
      <c r="N19" s="67"/>
      <c r="O19" s="76"/>
    </row>
    <row r="20" spans="1:15" ht="12.75">
      <c r="A20" s="41">
        <v>633</v>
      </c>
      <c r="B20" s="603" t="s">
        <v>113</v>
      </c>
      <c r="C20" s="1290" t="s">
        <v>465</v>
      </c>
      <c r="D20" s="1671">
        <v>4787.58</v>
      </c>
      <c r="E20" s="1671">
        <v>1000</v>
      </c>
      <c r="F20" s="2679">
        <v>1500</v>
      </c>
      <c r="G20" s="3102">
        <v>6000</v>
      </c>
      <c r="H20" s="1542">
        <v>2000</v>
      </c>
      <c r="I20" s="2939">
        <v>1000</v>
      </c>
      <c r="J20" s="1572">
        <v>1000</v>
      </c>
      <c r="K20" s="117" t="s">
        <v>905</v>
      </c>
      <c r="L20" s="117"/>
      <c r="M20" s="117"/>
      <c r="N20" s="67"/>
      <c r="O20" s="76"/>
    </row>
    <row r="21" spans="1:15" ht="12.75">
      <c r="A21" s="41">
        <v>633</v>
      </c>
      <c r="B21" s="603" t="s">
        <v>127</v>
      </c>
      <c r="C21" s="1290" t="s">
        <v>466</v>
      </c>
      <c r="D21" s="1671">
        <v>0</v>
      </c>
      <c r="E21" s="1671">
        <v>0</v>
      </c>
      <c r="F21" s="2679">
        <v>0</v>
      </c>
      <c r="G21" s="1671">
        <v>0</v>
      </c>
      <c r="H21" s="1542">
        <v>0</v>
      </c>
      <c r="I21" s="2939">
        <v>0</v>
      </c>
      <c r="J21" s="1572">
        <v>0</v>
      </c>
      <c r="K21" s="117"/>
      <c r="L21" s="117"/>
      <c r="M21" s="117"/>
      <c r="N21" s="67"/>
      <c r="O21" s="76"/>
    </row>
    <row r="22" spans="1:15" ht="12.75">
      <c r="A22" s="41">
        <v>633</v>
      </c>
      <c r="B22" s="42" t="s">
        <v>127</v>
      </c>
      <c r="C22" s="1290" t="s">
        <v>467</v>
      </c>
      <c r="D22" s="1671">
        <v>10827.32</v>
      </c>
      <c r="E22" s="1671">
        <v>13568</v>
      </c>
      <c r="F22" s="2679">
        <v>12000</v>
      </c>
      <c r="G22" s="1671">
        <v>15001</v>
      </c>
      <c r="H22" s="1542">
        <v>12000</v>
      </c>
      <c r="I22" s="2939">
        <v>12000</v>
      </c>
      <c r="J22" s="1572">
        <v>12000</v>
      </c>
      <c r="K22" s="117"/>
      <c r="L22" s="117"/>
      <c r="M22" s="117"/>
      <c r="N22" s="67"/>
      <c r="O22" s="76"/>
    </row>
    <row r="23" spans="1:17" ht="12.75">
      <c r="A23" s="772">
        <v>633</v>
      </c>
      <c r="B23" s="773" t="s">
        <v>127</v>
      </c>
      <c r="C23" s="1296" t="s">
        <v>662</v>
      </c>
      <c r="D23" s="1938">
        <v>898.66</v>
      </c>
      <c r="E23" s="1941">
        <v>568</v>
      </c>
      <c r="F23" s="2683">
        <v>1000</v>
      </c>
      <c r="G23" s="1941">
        <v>951</v>
      </c>
      <c r="H23" s="1564">
        <v>1000</v>
      </c>
      <c r="I23" s="2939">
        <v>1000</v>
      </c>
      <c r="J23" s="1586">
        <v>1000</v>
      </c>
      <c r="K23" s="117"/>
      <c r="L23" s="580"/>
      <c r="M23" s="117"/>
      <c r="N23" s="572"/>
      <c r="O23" s="76"/>
      <c r="Q23" s="605"/>
    </row>
    <row r="24" spans="1:16" ht="12.75">
      <c r="A24" s="41">
        <v>633</v>
      </c>
      <c r="B24" s="42" t="s">
        <v>468</v>
      </c>
      <c r="C24" s="1290" t="s">
        <v>469</v>
      </c>
      <c r="D24" s="1671">
        <v>3554.21</v>
      </c>
      <c r="E24" s="1671">
        <v>5000</v>
      </c>
      <c r="F24" s="2679">
        <v>3500</v>
      </c>
      <c r="G24" s="1671">
        <v>3700</v>
      </c>
      <c r="H24" s="1542">
        <v>3500</v>
      </c>
      <c r="I24" s="2939">
        <v>3500</v>
      </c>
      <c r="J24" s="1572">
        <v>3500</v>
      </c>
      <c r="K24" s="117"/>
      <c r="L24" s="117"/>
      <c r="M24" s="117"/>
      <c r="N24" s="67"/>
      <c r="O24" s="76"/>
      <c r="P24" s="606"/>
    </row>
    <row r="25" spans="1:15" ht="12.75">
      <c r="A25" s="41">
        <v>633</v>
      </c>
      <c r="B25" s="42" t="s">
        <v>470</v>
      </c>
      <c r="C25" s="1290" t="s">
        <v>471</v>
      </c>
      <c r="D25" s="1671">
        <v>0</v>
      </c>
      <c r="E25" s="1671">
        <v>0</v>
      </c>
      <c r="F25" s="2679">
        <v>0</v>
      </c>
      <c r="G25" s="1671">
        <v>0</v>
      </c>
      <c r="H25" s="1542">
        <v>0</v>
      </c>
      <c r="I25" s="2939">
        <v>0</v>
      </c>
      <c r="J25" s="1572">
        <v>0</v>
      </c>
      <c r="K25" s="117"/>
      <c r="L25" s="117"/>
      <c r="M25" s="117"/>
      <c r="N25" s="67"/>
      <c r="O25" s="76"/>
    </row>
    <row r="26" spans="1:15" ht="12.75">
      <c r="A26" s="41">
        <v>633</v>
      </c>
      <c r="B26" s="42" t="s">
        <v>472</v>
      </c>
      <c r="C26" s="1290" t="s">
        <v>473</v>
      </c>
      <c r="D26" s="1671">
        <v>61.04</v>
      </c>
      <c r="E26" s="1671">
        <v>100</v>
      </c>
      <c r="F26" s="2679">
        <v>100</v>
      </c>
      <c r="G26" s="1671">
        <v>100</v>
      </c>
      <c r="H26" s="1542">
        <v>100</v>
      </c>
      <c r="I26" s="2939">
        <v>100</v>
      </c>
      <c r="J26" s="1572">
        <v>100</v>
      </c>
      <c r="K26" s="117"/>
      <c r="L26" s="117"/>
      <c r="M26" s="117"/>
      <c r="N26" s="67"/>
      <c r="O26" s="76"/>
    </row>
    <row r="27" spans="1:15" ht="12.75">
      <c r="A27" s="41">
        <v>633</v>
      </c>
      <c r="B27" s="42" t="s">
        <v>105</v>
      </c>
      <c r="C27" s="1290" t="s">
        <v>474</v>
      </c>
      <c r="D27" s="1671">
        <v>1108</v>
      </c>
      <c r="E27" s="1671">
        <v>2500</v>
      </c>
      <c r="F27" s="2679">
        <v>2500</v>
      </c>
      <c r="G27" s="1671">
        <v>2934</v>
      </c>
      <c r="H27" s="1542">
        <v>3100</v>
      </c>
      <c r="I27" s="2939">
        <v>3100</v>
      </c>
      <c r="J27" s="1572">
        <v>3100</v>
      </c>
      <c r="K27" s="117"/>
      <c r="L27" s="117"/>
      <c r="M27" s="117"/>
      <c r="N27" s="67"/>
      <c r="O27" s="76"/>
    </row>
    <row r="28" spans="1:15" ht="12.75">
      <c r="A28" s="65">
        <v>633</v>
      </c>
      <c r="B28" s="87" t="s">
        <v>475</v>
      </c>
      <c r="C28" s="1297" t="s">
        <v>476</v>
      </c>
      <c r="D28" s="1671">
        <v>2745.64</v>
      </c>
      <c r="E28" s="1671">
        <v>9201</v>
      </c>
      <c r="F28" s="2684">
        <v>5000</v>
      </c>
      <c r="G28" s="1671">
        <v>6000</v>
      </c>
      <c r="H28" s="1614">
        <v>5000</v>
      </c>
      <c r="I28" s="2939">
        <v>5000</v>
      </c>
      <c r="J28" s="1572">
        <v>5000</v>
      </c>
      <c r="K28" s="117"/>
      <c r="L28" s="117"/>
      <c r="M28" s="117"/>
      <c r="N28" s="67"/>
      <c r="O28" s="76"/>
    </row>
    <row r="29" spans="1:15" s="605" customFormat="1" ht="12.75">
      <c r="A29" s="41">
        <v>633</v>
      </c>
      <c r="B29" s="42" t="s">
        <v>502</v>
      </c>
      <c r="C29" s="1290" t="s">
        <v>663</v>
      </c>
      <c r="D29" s="1938">
        <v>80</v>
      </c>
      <c r="E29" s="1938">
        <v>100</v>
      </c>
      <c r="F29" s="2685">
        <v>100</v>
      </c>
      <c r="G29" s="1938">
        <v>0</v>
      </c>
      <c r="H29" s="942">
        <v>100</v>
      </c>
      <c r="I29" s="2939"/>
      <c r="J29" s="1530"/>
      <c r="K29" s="580"/>
      <c r="L29" s="580"/>
      <c r="M29" s="580"/>
      <c r="N29" s="607"/>
      <c r="O29" s="608"/>
    </row>
    <row r="30" spans="1:15" s="19" customFormat="1" ht="12.75">
      <c r="A30" s="597">
        <v>634</v>
      </c>
      <c r="B30" s="598"/>
      <c r="C30" s="1295" t="s">
        <v>477</v>
      </c>
      <c r="D30" s="1568">
        <f>SUM(D31:D36)</f>
        <v>13924.939999999999</v>
      </c>
      <c r="E30" s="2125">
        <f aca="true" t="shared" si="2" ref="E30:J30">SUM(E31,E33,E34,E35,E36,E32)</f>
        <v>14402</v>
      </c>
      <c r="F30" s="2686">
        <f t="shared" si="2"/>
        <v>12650</v>
      </c>
      <c r="G30" s="2125">
        <f t="shared" si="2"/>
        <v>15535</v>
      </c>
      <c r="H30" s="1569">
        <f t="shared" si="2"/>
        <v>12850</v>
      </c>
      <c r="I30" s="2988">
        <f t="shared" si="2"/>
        <v>12850</v>
      </c>
      <c r="J30" s="1570">
        <f t="shared" si="2"/>
        <v>12850</v>
      </c>
      <c r="K30" s="609"/>
      <c r="L30" s="609"/>
      <c r="M30" s="609"/>
      <c r="N30" s="610"/>
      <c r="O30" s="610"/>
    </row>
    <row r="31" spans="1:15" ht="12.75">
      <c r="A31" s="611">
        <v>634</v>
      </c>
      <c r="B31" s="612" t="s">
        <v>98</v>
      </c>
      <c r="C31" s="1298" t="s">
        <v>478</v>
      </c>
      <c r="D31" s="1671">
        <v>7676.15</v>
      </c>
      <c r="E31" s="1671">
        <v>7500</v>
      </c>
      <c r="F31" s="2679">
        <v>7000</v>
      </c>
      <c r="G31" s="1671">
        <v>7800</v>
      </c>
      <c r="H31" s="1542">
        <v>7000</v>
      </c>
      <c r="I31" s="2939">
        <v>7000</v>
      </c>
      <c r="J31" s="1572">
        <v>7000</v>
      </c>
      <c r="K31" s="117"/>
      <c r="L31" s="117"/>
      <c r="M31" s="117"/>
      <c r="N31" s="67"/>
      <c r="O31" s="76"/>
    </row>
    <row r="32" spans="1:15" s="605" customFormat="1" ht="12.75">
      <c r="A32" s="613">
        <v>634</v>
      </c>
      <c r="B32" s="614" t="s">
        <v>98</v>
      </c>
      <c r="C32" s="1299" t="s">
        <v>479</v>
      </c>
      <c r="D32" s="2247">
        <v>0</v>
      </c>
      <c r="E32" s="2247">
        <v>0</v>
      </c>
      <c r="F32" s="2678">
        <v>0</v>
      </c>
      <c r="G32" s="2247">
        <v>0</v>
      </c>
      <c r="H32" s="1562">
        <v>0</v>
      </c>
      <c r="I32" s="2939">
        <v>0</v>
      </c>
      <c r="J32" s="1607">
        <v>0</v>
      </c>
      <c r="K32" s="580"/>
      <c r="L32" s="580"/>
      <c r="M32" s="580"/>
      <c r="N32" s="607"/>
      <c r="O32" s="608"/>
    </row>
    <row r="33" spans="1:15" ht="12.75">
      <c r="A33" s="41">
        <v>634</v>
      </c>
      <c r="B33" s="42" t="s">
        <v>100</v>
      </c>
      <c r="C33" s="1290" t="s">
        <v>480</v>
      </c>
      <c r="D33" s="1671">
        <v>5023.57</v>
      </c>
      <c r="E33" s="1671">
        <v>4200</v>
      </c>
      <c r="F33" s="2679">
        <v>3000</v>
      </c>
      <c r="G33" s="1671">
        <v>5133</v>
      </c>
      <c r="H33" s="1542">
        <v>3000</v>
      </c>
      <c r="I33" s="2939">
        <v>3000</v>
      </c>
      <c r="J33" s="1572">
        <v>3000</v>
      </c>
      <c r="K33" s="117"/>
      <c r="L33" s="117"/>
      <c r="M33" s="117"/>
      <c r="N33" s="67"/>
      <c r="O33" s="76"/>
    </row>
    <row r="34" spans="1:15" ht="12.75">
      <c r="A34" s="41">
        <v>634</v>
      </c>
      <c r="B34" s="42" t="s">
        <v>96</v>
      </c>
      <c r="C34" s="1290" t="s">
        <v>481</v>
      </c>
      <c r="D34" s="1671">
        <v>852</v>
      </c>
      <c r="E34" s="1671">
        <v>852</v>
      </c>
      <c r="F34" s="2679">
        <v>800</v>
      </c>
      <c r="G34" s="1671">
        <v>852</v>
      </c>
      <c r="H34" s="1542">
        <v>1000</v>
      </c>
      <c r="I34" s="2939">
        <v>1000</v>
      </c>
      <c r="J34" s="1572">
        <v>1000</v>
      </c>
      <c r="K34" s="117"/>
      <c r="L34" s="117"/>
      <c r="M34" s="117"/>
      <c r="N34" s="67"/>
      <c r="O34" s="76"/>
    </row>
    <row r="35" spans="1:15" ht="12.75">
      <c r="A35" s="41">
        <v>634</v>
      </c>
      <c r="B35" s="42" t="s">
        <v>113</v>
      </c>
      <c r="C35" s="1290" t="s">
        <v>482</v>
      </c>
      <c r="D35" s="1671">
        <v>0</v>
      </c>
      <c r="E35" s="1671">
        <v>1500</v>
      </c>
      <c r="F35" s="2679">
        <v>1500</v>
      </c>
      <c r="G35" s="1671">
        <v>1500</v>
      </c>
      <c r="H35" s="1542">
        <v>1500</v>
      </c>
      <c r="I35" s="2939">
        <v>1500</v>
      </c>
      <c r="J35" s="1572">
        <v>1500</v>
      </c>
      <c r="K35" s="117"/>
      <c r="L35" s="117"/>
      <c r="M35" s="117"/>
      <c r="N35" s="67"/>
      <c r="O35" s="76"/>
    </row>
    <row r="36" spans="1:15" ht="12.75">
      <c r="A36" s="65">
        <v>634</v>
      </c>
      <c r="B36" s="87" t="s">
        <v>122</v>
      </c>
      <c r="C36" s="1297" t="s">
        <v>483</v>
      </c>
      <c r="D36" s="1671">
        <v>373.22</v>
      </c>
      <c r="E36" s="1671">
        <v>350</v>
      </c>
      <c r="F36" s="2679">
        <v>350</v>
      </c>
      <c r="G36" s="1671">
        <v>250</v>
      </c>
      <c r="H36" s="1542">
        <v>350</v>
      </c>
      <c r="I36" s="2939">
        <v>350</v>
      </c>
      <c r="J36" s="1572">
        <v>350</v>
      </c>
      <c r="K36" s="117"/>
      <c r="L36" s="117"/>
      <c r="M36" s="117"/>
      <c r="N36" s="67"/>
      <c r="O36" s="76"/>
    </row>
    <row r="37" spans="1:15" s="19" customFormat="1" ht="12.75">
      <c r="A37" s="615">
        <v>635</v>
      </c>
      <c r="B37" s="616"/>
      <c r="C37" s="1300" t="s">
        <v>484</v>
      </c>
      <c r="D37" s="1568">
        <f>SUM(D38:D40)</f>
        <v>3337.91</v>
      </c>
      <c r="E37" s="2125">
        <f aca="true" t="shared" si="3" ref="E37:J37">SUM(E38,E39,E40)</f>
        <v>3200</v>
      </c>
      <c r="F37" s="2686">
        <f t="shared" si="3"/>
        <v>2200</v>
      </c>
      <c r="G37" s="2125">
        <f t="shared" si="3"/>
        <v>200</v>
      </c>
      <c r="H37" s="1569">
        <f t="shared" si="3"/>
        <v>2200</v>
      </c>
      <c r="I37" s="2988">
        <f t="shared" si="3"/>
        <v>2200</v>
      </c>
      <c r="J37" s="1570">
        <f t="shared" si="3"/>
        <v>2200</v>
      </c>
      <c r="K37" s="609"/>
      <c r="L37" s="609"/>
      <c r="M37" s="609"/>
      <c r="N37" s="610"/>
      <c r="O37" s="610"/>
    </row>
    <row r="38" spans="1:15" ht="12.75">
      <c r="A38" s="611">
        <v>635</v>
      </c>
      <c r="B38" s="612" t="s">
        <v>100</v>
      </c>
      <c r="C38" s="1298" t="s">
        <v>485</v>
      </c>
      <c r="D38" s="1671">
        <v>0</v>
      </c>
      <c r="E38" s="1671">
        <v>200</v>
      </c>
      <c r="F38" s="2679">
        <v>200</v>
      </c>
      <c r="G38" s="1671">
        <v>200</v>
      </c>
      <c r="H38" s="1542">
        <v>200</v>
      </c>
      <c r="I38" s="2939">
        <v>200</v>
      </c>
      <c r="J38" s="1572">
        <v>200</v>
      </c>
      <c r="K38" s="117"/>
      <c r="L38" s="117"/>
      <c r="M38" s="117"/>
      <c r="N38" s="67"/>
      <c r="O38" s="76"/>
    </row>
    <row r="39" spans="1:15" ht="12.75">
      <c r="A39" s="41">
        <v>635</v>
      </c>
      <c r="B39" s="42" t="s">
        <v>113</v>
      </c>
      <c r="C39" s="1290" t="s">
        <v>486</v>
      </c>
      <c r="D39" s="1671">
        <v>1393.93</v>
      </c>
      <c r="E39" s="1671">
        <v>500</v>
      </c>
      <c r="F39" s="2679">
        <v>1000</v>
      </c>
      <c r="G39" s="1671"/>
      <c r="H39" s="1542">
        <v>1000</v>
      </c>
      <c r="I39" s="2939">
        <v>1000</v>
      </c>
      <c r="J39" s="1572">
        <v>1000</v>
      </c>
      <c r="K39" s="117"/>
      <c r="L39" s="117"/>
      <c r="M39" s="117"/>
      <c r="N39" s="67"/>
      <c r="O39" s="76"/>
    </row>
    <row r="40" spans="1:15" ht="12.75">
      <c r="A40" s="65">
        <v>635</v>
      </c>
      <c r="B40" s="87" t="s">
        <v>127</v>
      </c>
      <c r="C40" s="1297" t="s">
        <v>487</v>
      </c>
      <c r="D40" s="1671">
        <v>1943.98</v>
      </c>
      <c r="E40" s="1671">
        <v>2500</v>
      </c>
      <c r="F40" s="2679">
        <v>1000</v>
      </c>
      <c r="G40" s="1671"/>
      <c r="H40" s="1542">
        <v>1000</v>
      </c>
      <c r="I40" s="2939">
        <v>1000</v>
      </c>
      <c r="J40" s="1572">
        <v>1000</v>
      </c>
      <c r="K40" s="117"/>
      <c r="L40" s="117"/>
      <c r="M40" s="117"/>
      <c r="N40" s="67"/>
      <c r="O40" s="76"/>
    </row>
    <row r="41" spans="1:15" s="19" customFormat="1" ht="12.75">
      <c r="A41" s="615">
        <v>636</v>
      </c>
      <c r="B41" s="616"/>
      <c r="C41" s="1300" t="s">
        <v>488</v>
      </c>
      <c r="D41" s="1568">
        <f>SUM(D42:D44)</f>
        <v>20</v>
      </c>
      <c r="E41" s="2125">
        <f aca="true" t="shared" si="4" ref="E41:J41">SUM(E42,E43,E44)</f>
        <v>100</v>
      </c>
      <c r="F41" s="2686">
        <f t="shared" si="4"/>
        <v>700</v>
      </c>
      <c r="G41" s="2125">
        <f t="shared" si="4"/>
        <v>20</v>
      </c>
      <c r="H41" s="1569">
        <f t="shared" si="4"/>
        <v>220</v>
      </c>
      <c r="I41" s="2939">
        <f t="shared" si="4"/>
        <v>220</v>
      </c>
      <c r="J41" s="1570">
        <f t="shared" si="4"/>
        <v>220</v>
      </c>
      <c r="K41" s="609"/>
      <c r="L41" s="609"/>
      <c r="M41" s="609"/>
      <c r="N41" s="610"/>
      <c r="O41" s="610"/>
    </row>
    <row r="42" spans="1:15" ht="12.75">
      <c r="A42" s="611">
        <v>636</v>
      </c>
      <c r="B42" s="612" t="s">
        <v>98</v>
      </c>
      <c r="C42" s="1298" t="s">
        <v>487</v>
      </c>
      <c r="D42" s="1571">
        <v>20</v>
      </c>
      <c r="E42" s="2121">
        <v>100</v>
      </c>
      <c r="F42" s="2679">
        <v>500</v>
      </c>
      <c r="G42" s="2121">
        <v>20</v>
      </c>
      <c r="H42" s="1542">
        <v>20</v>
      </c>
      <c r="I42" s="2939">
        <v>20</v>
      </c>
      <c r="J42" s="1572">
        <v>20</v>
      </c>
      <c r="K42" s="117"/>
      <c r="L42" s="117"/>
      <c r="M42" s="117"/>
      <c r="N42" s="67"/>
      <c r="O42" s="76"/>
    </row>
    <row r="43" spans="1:15" ht="12.75">
      <c r="A43" s="617">
        <v>636</v>
      </c>
      <c r="B43" s="55" t="s">
        <v>100</v>
      </c>
      <c r="C43" s="1301" t="s">
        <v>486</v>
      </c>
      <c r="D43" s="1571">
        <v>0</v>
      </c>
      <c r="E43" s="2121">
        <v>0</v>
      </c>
      <c r="F43" s="2679">
        <v>200</v>
      </c>
      <c r="G43" s="2121">
        <v>0</v>
      </c>
      <c r="H43" s="1542">
        <v>200</v>
      </c>
      <c r="I43" s="2939">
        <v>200</v>
      </c>
      <c r="J43" s="1572">
        <v>200</v>
      </c>
      <c r="K43" s="117"/>
      <c r="L43" s="117"/>
      <c r="M43" s="117"/>
      <c r="N43" s="67"/>
      <c r="O43" s="76"/>
    </row>
    <row r="44" spans="1:15" ht="12.75">
      <c r="A44" s="41">
        <v>636</v>
      </c>
      <c r="B44" s="42" t="s">
        <v>113</v>
      </c>
      <c r="C44" s="1290" t="s">
        <v>489</v>
      </c>
      <c r="D44" s="1571">
        <v>0</v>
      </c>
      <c r="E44" s="2121">
        <v>0</v>
      </c>
      <c r="F44" s="2679">
        <v>0</v>
      </c>
      <c r="G44" s="2121">
        <v>0</v>
      </c>
      <c r="H44" s="1542">
        <v>0</v>
      </c>
      <c r="I44" s="2939">
        <v>0</v>
      </c>
      <c r="J44" s="1572">
        <v>0</v>
      </c>
      <c r="K44" s="117"/>
      <c r="L44" s="117"/>
      <c r="M44" s="117"/>
      <c r="N44" s="67"/>
      <c r="O44" s="76"/>
    </row>
    <row r="45" spans="1:15" ht="12.75" hidden="1">
      <c r="A45" s="617"/>
      <c r="B45" s="55"/>
      <c r="C45" s="1301"/>
      <c r="D45" s="1571"/>
      <c r="E45" s="2121"/>
      <c r="F45" s="2679"/>
      <c r="G45" s="2121"/>
      <c r="H45" s="1542"/>
      <c r="I45" s="2939"/>
      <c r="J45" s="1572"/>
      <c r="K45" s="117"/>
      <c r="L45" s="67"/>
      <c r="M45" s="117"/>
      <c r="N45" s="67"/>
      <c r="O45" s="67"/>
    </row>
    <row r="46" spans="1:15" ht="12.75" hidden="1">
      <c r="A46" s="617"/>
      <c r="B46" s="55"/>
      <c r="C46" s="1301"/>
      <c r="D46" s="1571"/>
      <c r="E46" s="2121"/>
      <c r="F46" s="2679"/>
      <c r="G46" s="2121"/>
      <c r="H46" s="1542"/>
      <c r="I46" s="2939"/>
      <c r="J46" s="1572"/>
      <c r="K46" s="117"/>
      <c r="L46" s="67"/>
      <c r="M46" s="117"/>
      <c r="N46" s="67"/>
      <c r="O46" s="67"/>
    </row>
    <row r="47" spans="1:13" ht="12.75" hidden="1">
      <c r="A47" s="617"/>
      <c r="B47" s="55"/>
      <c r="C47" s="1301"/>
      <c r="D47" s="1573"/>
      <c r="E47" s="2126"/>
      <c r="F47" s="2687"/>
      <c r="G47" s="2126"/>
      <c r="H47" s="1574"/>
      <c r="I47" s="2940"/>
      <c r="J47" s="1575"/>
      <c r="K47" s="20"/>
      <c r="M47" s="20"/>
    </row>
    <row r="48" spans="1:13" ht="12.75" hidden="1">
      <c r="A48" s="617"/>
      <c r="B48" s="55"/>
      <c r="C48" s="1301"/>
      <c r="D48" s="1573"/>
      <c r="E48" s="2126"/>
      <c r="F48" s="2687"/>
      <c r="G48" s="2126"/>
      <c r="H48" s="1574"/>
      <c r="I48" s="2940"/>
      <c r="J48" s="1575"/>
      <c r="K48" s="20"/>
      <c r="M48" s="20"/>
    </row>
    <row r="49" spans="1:15" s="19" customFormat="1" ht="12.75">
      <c r="A49" s="615">
        <v>637</v>
      </c>
      <c r="B49" s="616"/>
      <c r="C49" s="1300" t="s">
        <v>490</v>
      </c>
      <c r="D49" s="1568">
        <f>D50+D51+D52+D53+D55+D56+D57+D58+D60+D61+D62+D63+D64+D65+D67+D68</f>
        <v>47546.83</v>
      </c>
      <c r="E49" s="2125">
        <f>E50+E51+E52+E53+E58+E60+E61+E62+E63+E64+E65+E66+E67+E68+E55+E57+E56+E59</f>
        <v>56803</v>
      </c>
      <c r="F49" s="2686">
        <f>F50+F51+F52+F53+F55+F56+F57+F58+F60+F62+F63+F64+F65+F68</f>
        <v>51300</v>
      </c>
      <c r="G49" s="2125">
        <f>G50+G51+G52+G53+G58+G60+G61+G62+G63+G64+G65+G66+G67+G68+G55+G57+G56+G59</f>
        <v>51567</v>
      </c>
      <c r="H49" s="1569">
        <f>H50+H51+H52+H53+H55+H56+H57+H58+H60+H62+H63+H64+H65+H68</f>
        <v>44500</v>
      </c>
      <c r="I49" s="2988">
        <f>I50+I51+I52+I53+I55+I56+I57+I58+I60+I62+I63+I64+I65+I68</f>
        <v>44500</v>
      </c>
      <c r="J49" s="1570">
        <f>J50+J51+J52+J53+J55+J56+J57+J58+J60+J62+J63+J64+J65+J68</f>
        <v>44500</v>
      </c>
      <c r="K49" s="609"/>
      <c r="L49" s="609"/>
      <c r="M49" s="609"/>
      <c r="N49" s="610"/>
      <c r="O49" s="610"/>
    </row>
    <row r="50" spans="1:15" ht="12.75">
      <c r="A50" s="611">
        <v>637</v>
      </c>
      <c r="B50" s="612" t="s">
        <v>98</v>
      </c>
      <c r="C50" s="1298" t="s">
        <v>491</v>
      </c>
      <c r="D50" s="1671">
        <v>348</v>
      </c>
      <c r="E50" s="2121">
        <v>300</v>
      </c>
      <c r="F50" s="2679">
        <v>300</v>
      </c>
      <c r="G50" s="2121">
        <v>600</v>
      </c>
      <c r="H50" s="1542">
        <v>300</v>
      </c>
      <c r="I50" s="2939">
        <v>300</v>
      </c>
      <c r="J50" s="1572">
        <v>300</v>
      </c>
      <c r="K50" s="117"/>
      <c r="L50" s="117"/>
      <c r="M50" s="117"/>
      <c r="N50" s="67"/>
      <c r="O50" s="67"/>
    </row>
    <row r="51" spans="1:15" ht="12.75">
      <c r="A51" s="41">
        <v>637</v>
      </c>
      <c r="B51" s="42" t="s">
        <v>492</v>
      </c>
      <c r="C51" s="1290" t="s">
        <v>493</v>
      </c>
      <c r="D51" s="1671">
        <v>240.38</v>
      </c>
      <c r="E51" s="2121">
        <v>100</v>
      </c>
      <c r="F51" s="2679">
        <v>100</v>
      </c>
      <c r="G51" s="2121">
        <v>800</v>
      </c>
      <c r="H51" s="1542">
        <v>100</v>
      </c>
      <c r="I51" s="2939">
        <v>100</v>
      </c>
      <c r="J51" s="1572">
        <v>100</v>
      </c>
      <c r="K51" s="117"/>
      <c r="L51" s="117"/>
      <c r="M51" s="117"/>
      <c r="N51" s="67"/>
      <c r="O51" s="67"/>
    </row>
    <row r="52" spans="1:15" ht="12.75">
      <c r="A52" s="41">
        <v>637</v>
      </c>
      <c r="B52" s="42" t="s">
        <v>96</v>
      </c>
      <c r="C52" s="1290" t="s">
        <v>494</v>
      </c>
      <c r="D52" s="1671">
        <v>1540.12</v>
      </c>
      <c r="E52" s="2121">
        <v>1000</v>
      </c>
      <c r="F52" s="2679">
        <v>1000</v>
      </c>
      <c r="G52" s="2121">
        <v>1100</v>
      </c>
      <c r="H52" s="1542">
        <v>1000</v>
      </c>
      <c r="I52" s="2939">
        <v>1000</v>
      </c>
      <c r="J52" s="1572">
        <v>1000</v>
      </c>
      <c r="K52" s="117"/>
      <c r="L52" s="117"/>
      <c r="M52" s="117"/>
      <c r="N52" s="67"/>
      <c r="O52" s="67"/>
    </row>
    <row r="53" spans="1:15" ht="12.75">
      <c r="A53" s="1192">
        <v>637</v>
      </c>
      <c r="B53" s="1193" t="s">
        <v>113</v>
      </c>
      <c r="C53" s="1302" t="s">
        <v>495</v>
      </c>
      <c r="D53" s="1671">
        <v>11972.89</v>
      </c>
      <c r="E53" s="2127">
        <v>12000</v>
      </c>
      <c r="F53" s="2688">
        <v>10000</v>
      </c>
      <c r="G53" s="2127">
        <v>20000</v>
      </c>
      <c r="H53" s="1576">
        <v>12000</v>
      </c>
      <c r="I53" s="2941">
        <v>12000</v>
      </c>
      <c r="J53" s="1577">
        <v>12000</v>
      </c>
      <c r="K53" s="2674" t="s">
        <v>849</v>
      </c>
      <c r="L53" s="117"/>
      <c r="M53" s="117"/>
      <c r="N53" s="67"/>
      <c r="O53" s="67"/>
    </row>
    <row r="54" spans="1:15" ht="12.75" hidden="1">
      <c r="A54" s="1215"/>
      <c r="B54" s="1216"/>
      <c r="C54" s="1303"/>
      <c r="D54" s="2248"/>
      <c r="E54" s="2128"/>
      <c r="F54" s="2689"/>
      <c r="G54" s="2128"/>
      <c r="H54" s="1578"/>
      <c r="I54" s="2942"/>
      <c r="J54" s="1579"/>
      <c r="K54" s="117"/>
      <c r="L54" s="117"/>
      <c r="M54" s="117"/>
      <c r="N54" s="67"/>
      <c r="O54" s="67"/>
    </row>
    <row r="55" spans="1:15" ht="12.75">
      <c r="A55" s="41">
        <v>637</v>
      </c>
      <c r="B55" s="42" t="s">
        <v>113</v>
      </c>
      <c r="C55" s="1290" t="s">
        <v>664</v>
      </c>
      <c r="D55" s="1671">
        <v>460</v>
      </c>
      <c r="E55" s="2121">
        <v>450</v>
      </c>
      <c r="F55" s="2679">
        <v>500</v>
      </c>
      <c r="G55" s="2121">
        <v>563</v>
      </c>
      <c r="H55" s="1542">
        <v>500</v>
      </c>
      <c r="I55" s="2939">
        <v>500</v>
      </c>
      <c r="J55" s="1572">
        <v>500</v>
      </c>
      <c r="K55" s="117"/>
      <c r="L55" s="47"/>
      <c r="M55" s="117"/>
      <c r="N55" s="618"/>
      <c r="O55" s="67"/>
    </row>
    <row r="56" spans="1:15" ht="12.75">
      <c r="A56" s="41">
        <v>637</v>
      </c>
      <c r="B56" s="42" t="s">
        <v>122</v>
      </c>
      <c r="C56" s="1290" t="s">
        <v>333</v>
      </c>
      <c r="D56" s="1671">
        <v>459</v>
      </c>
      <c r="E56" s="2121">
        <v>627</v>
      </c>
      <c r="F56" s="2679">
        <v>500</v>
      </c>
      <c r="G56" s="2121">
        <v>0</v>
      </c>
      <c r="H56" s="1542">
        <v>500</v>
      </c>
      <c r="I56" s="2939">
        <v>500</v>
      </c>
      <c r="J56" s="1572">
        <v>500</v>
      </c>
      <c r="K56" s="117"/>
      <c r="L56" s="117"/>
      <c r="M56" s="117"/>
      <c r="N56" s="67"/>
      <c r="O56" s="67"/>
    </row>
    <row r="57" spans="1:15" ht="12.75">
      <c r="A57" s="41">
        <v>637</v>
      </c>
      <c r="B57" s="42" t="s">
        <v>472</v>
      </c>
      <c r="C57" s="1290" t="s">
        <v>665</v>
      </c>
      <c r="D57" s="1671">
        <v>222.96</v>
      </c>
      <c r="E57" s="2121">
        <v>223</v>
      </c>
      <c r="F57" s="2679">
        <v>200</v>
      </c>
      <c r="G57" s="2121">
        <v>223</v>
      </c>
      <c r="H57" s="1542">
        <v>200</v>
      </c>
      <c r="I57" s="2939">
        <v>200</v>
      </c>
      <c r="J57" s="1572">
        <v>200</v>
      </c>
      <c r="K57" s="117"/>
      <c r="L57" s="117"/>
      <c r="M57" s="117"/>
      <c r="N57" s="67"/>
      <c r="O57" s="67"/>
    </row>
    <row r="58" spans="1:15" ht="12.75">
      <c r="A58" s="41">
        <v>637</v>
      </c>
      <c r="B58" s="42" t="s">
        <v>104</v>
      </c>
      <c r="C58" s="1290" t="s">
        <v>496</v>
      </c>
      <c r="D58" s="1671">
        <v>2000.05</v>
      </c>
      <c r="E58" s="2121">
        <v>2577</v>
      </c>
      <c r="F58" s="2679">
        <v>3000</v>
      </c>
      <c r="G58" s="2121">
        <v>2177</v>
      </c>
      <c r="H58" s="1542">
        <v>3000</v>
      </c>
      <c r="I58" s="2939">
        <v>3000</v>
      </c>
      <c r="J58" s="1572">
        <v>3000</v>
      </c>
      <c r="K58" s="117"/>
      <c r="L58" s="117"/>
      <c r="M58" s="117"/>
      <c r="N58" s="67"/>
      <c r="O58" s="67"/>
    </row>
    <row r="59" spans="1:15" ht="12.75">
      <c r="A59" s="611">
        <v>637</v>
      </c>
      <c r="B59" s="612" t="s">
        <v>104</v>
      </c>
      <c r="C59" s="1298" t="s">
        <v>791</v>
      </c>
      <c r="D59" s="1671"/>
      <c r="E59" s="2121">
        <v>3326</v>
      </c>
      <c r="F59" s="2679"/>
      <c r="G59" s="2121">
        <v>309</v>
      </c>
      <c r="H59" s="1542">
        <v>0</v>
      </c>
      <c r="I59" s="2939">
        <v>0</v>
      </c>
      <c r="J59" s="1572">
        <v>0</v>
      </c>
      <c r="K59" s="117"/>
      <c r="L59" s="117"/>
      <c r="M59" s="117"/>
      <c r="N59" s="67"/>
      <c r="O59" s="67"/>
    </row>
    <row r="60" spans="1:15" ht="12.75">
      <c r="A60" s="611">
        <v>637</v>
      </c>
      <c r="B60" s="612" t="s">
        <v>107</v>
      </c>
      <c r="C60" s="1298" t="s">
        <v>497</v>
      </c>
      <c r="D60" s="1671">
        <v>25733.93</v>
      </c>
      <c r="E60" s="2121">
        <v>30000</v>
      </c>
      <c r="F60" s="2679">
        <v>30000</v>
      </c>
      <c r="G60" s="2121">
        <v>19200</v>
      </c>
      <c r="H60" s="1542">
        <v>20400</v>
      </c>
      <c r="I60" s="2939">
        <v>20400</v>
      </c>
      <c r="J60" s="1572">
        <v>20400</v>
      </c>
      <c r="K60" s="92"/>
      <c r="M60" s="76"/>
      <c r="N60" s="67"/>
      <c r="O60" s="67"/>
    </row>
    <row r="61" spans="1:15" s="605" customFormat="1" ht="12.75">
      <c r="A61" s="579">
        <v>637</v>
      </c>
      <c r="B61" s="604" t="s">
        <v>107</v>
      </c>
      <c r="C61" s="1304" t="s">
        <v>498</v>
      </c>
      <c r="D61" s="2249">
        <v>0</v>
      </c>
      <c r="E61" s="1642">
        <v>0</v>
      </c>
      <c r="F61" s="2690">
        <v>0</v>
      </c>
      <c r="G61" s="1642">
        <v>0</v>
      </c>
      <c r="H61" s="1580">
        <v>0</v>
      </c>
      <c r="I61" s="2940">
        <v>0</v>
      </c>
      <c r="J61" s="1581">
        <v>0</v>
      </c>
      <c r="K61" s="619"/>
      <c r="L61" s="596"/>
      <c r="M61" s="608"/>
      <c r="N61" s="607"/>
      <c r="O61" s="607"/>
    </row>
    <row r="62" spans="1:15" ht="12.75">
      <c r="A62" s="41">
        <v>637</v>
      </c>
      <c r="B62" s="42" t="s">
        <v>499</v>
      </c>
      <c r="C62" s="1290" t="s">
        <v>500</v>
      </c>
      <c r="D62" s="1671">
        <v>1873.48</v>
      </c>
      <c r="E62" s="2121">
        <v>1900</v>
      </c>
      <c r="F62" s="2679">
        <v>2000</v>
      </c>
      <c r="G62" s="2121">
        <v>1900</v>
      </c>
      <c r="H62" s="1542">
        <v>2000</v>
      </c>
      <c r="I62" s="2939">
        <v>2000</v>
      </c>
      <c r="J62" s="1572">
        <v>2000</v>
      </c>
      <c r="K62" s="92"/>
      <c r="M62" s="76"/>
      <c r="N62" s="67"/>
      <c r="O62" s="67"/>
    </row>
    <row r="63" spans="1:15" ht="12.75">
      <c r="A63" s="41">
        <v>637</v>
      </c>
      <c r="B63" s="42" t="s">
        <v>475</v>
      </c>
      <c r="C63" s="1290" t="s">
        <v>501</v>
      </c>
      <c r="D63" s="1671">
        <v>2073.52</v>
      </c>
      <c r="E63" s="2121">
        <v>3000</v>
      </c>
      <c r="F63" s="2679">
        <v>3000</v>
      </c>
      <c r="G63" s="2121">
        <v>4000</v>
      </c>
      <c r="H63" s="1542">
        <v>4000</v>
      </c>
      <c r="I63" s="2939">
        <v>4000</v>
      </c>
      <c r="J63" s="1572">
        <v>4000</v>
      </c>
      <c r="K63" s="620"/>
      <c r="M63" s="76"/>
      <c r="N63" s="67"/>
      <c r="O63" s="67"/>
    </row>
    <row r="64" spans="1:15" ht="12.75">
      <c r="A64" s="41">
        <v>637</v>
      </c>
      <c r="B64" s="42" t="s">
        <v>502</v>
      </c>
      <c r="C64" s="1290" t="s">
        <v>503</v>
      </c>
      <c r="D64" s="1671">
        <v>0</v>
      </c>
      <c r="E64" s="2121">
        <v>600</v>
      </c>
      <c r="F64" s="2679">
        <v>0</v>
      </c>
      <c r="G64" s="2121">
        <v>345</v>
      </c>
      <c r="H64" s="1542">
        <v>0</v>
      </c>
      <c r="I64" s="2939">
        <v>0</v>
      </c>
      <c r="J64" s="1572">
        <v>0</v>
      </c>
      <c r="K64" s="620"/>
      <c r="M64" s="76"/>
      <c r="N64" s="67"/>
      <c r="O64" s="67"/>
    </row>
    <row r="65" spans="1:15" ht="12.75">
      <c r="A65" s="41">
        <v>637</v>
      </c>
      <c r="B65" s="42" t="s">
        <v>504</v>
      </c>
      <c r="C65" s="1290" t="s">
        <v>505</v>
      </c>
      <c r="D65" s="1671">
        <v>522.5</v>
      </c>
      <c r="E65" s="2121">
        <v>700</v>
      </c>
      <c r="F65" s="2679">
        <v>700</v>
      </c>
      <c r="G65" s="2121">
        <v>350</v>
      </c>
      <c r="H65" s="1542">
        <v>500</v>
      </c>
      <c r="I65" s="2939">
        <v>500</v>
      </c>
      <c r="J65" s="1572">
        <v>500</v>
      </c>
      <c r="K65" s="92"/>
      <c r="M65" s="67"/>
      <c r="N65" s="67"/>
      <c r="O65" s="67"/>
    </row>
    <row r="66" spans="1:256" ht="12.75" hidden="1">
      <c r="A66" s="621"/>
      <c r="B66" s="168"/>
      <c r="C66" s="1305"/>
      <c r="D66" s="2250"/>
      <c r="E66" s="2129"/>
      <c r="F66" s="2691">
        <f>výdavky!B30</f>
        <v>0</v>
      </c>
      <c r="G66" s="2129"/>
      <c r="H66" s="1582">
        <f>výdavky!D30</f>
        <v>13924.939999999999</v>
      </c>
      <c r="I66" s="2943">
        <f>výdavky!E30</f>
        <v>14402</v>
      </c>
      <c r="J66" s="1583">
        <f>výdavky!F30</f>
        <v>12650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15" s="605" customFormat="1" ht="12.75">
      <c r="A67" s="622">
        <v>637</v>
      </c>
      <c r="B67" s="623" t="s">
        <v>506</v>
      </c>
      <c r="C67" s="1306" t="s">
        <v>507</v>
      </c>
      <c r="D67" s="2251">
        <v>0</v>
      </c>
      <c r="E67" s="2130">
        <v>0</v>
      </c>
      <c r="F67" s="2690">
        <v>0</v>
      </c>
      <c r="G67" s="2130">
        <v>0</v>
      </c>
      <c r="H67" s="1580">
        <v>0</v>
      </c>
      <c r="I67" s="2939">
        <v>0</v>
      </c>
      <c r="J67" s="1585">
        <v>0</v>
      </c>
      <c r="K67" s="619"/>
      <c r="L67" s="596"/>
      <c r="M67" s="607"/>
      <c r="N67" s="572"/>
      <c r="O67" s="607"/>
    </row>
    <row r="68" spans="1:15" s="605" customFormat="1" ht="12.75">
      <c r="A68" s="65">
        <v>637</v>
      </c>
      <c r="B68" s="87" t="s">
        <v>506</v>
      </c>
      <c r="C68" s="1297" t="s">
        <v>262</v>
      </c>
      <c r="D68" s="1938">
        <v>100</v>
      </c>
      <c r="E68" s="1890">
        <v>0</v>
      </c>
      <c r="F68" s="2685">
        <v>0</v>
      </c>
      <c r="G68" s="1890">
        <v>0</v>
      </c>
      <c r="H68" s="942">
        <v>0</v>
      </c>
      <c r="I68" s="2939">
        <v>0</v>
      </c>
      <c r="J68" s="1586">
        <v>0</v>
      </c>
      <c r="K68" s="619"/>
      <c r="L68" s="596"/>
      <c r="M68" s="607"/>
      <c r="N68" s="572"/>
      <c r="O68" s="607"/>
    </row>
    <row r="69" spans="1:15" s="625" customFormat="1" ht="12.75">
      <c r="A69" s="624">
        <v>640</v>
      </c>
      <c r="B69" s="616"/>
      <c r="C69" s="1300" t="s">
        <v>508</v>
      </c>
      <c r="D69" s="1587">
        <f>SUM(D71:D78)</f>
        <v>8563.56</v>
      </c>
      <c r="E69" s="2124">
        <f>E71+E73+E77+E78+E72</f>
        <v>13557</v>
      </c>
      <c r="F69" s="2682">
        <f>F71+F73+F78+F72+F70</f>
        <v>5000</v>
      </c>
      <c r="G69" s="2124">
        <f>G71+G73+G77+G78+G72</f>
        <v>20660</v>
      </c>
      <c r="H69" s="1588">
        <f>H71+H73+H78+H72+H70</f>
        <v>5800</v>
      </c>
      <c r="I69" s="2988">
        <f>I71+I73+I72+I70</f>
        <v>5800</v>
      </c>
      <c r="J69" s="1589">
        <f>J71+J73+J72+J70</f>
        <v>5800</v>
      </c>
      <c r="K69" s="600"/>
      <c r="L69" s="600"/>
      <c r="M69" s="600"/>
      <c r="N69" s="600"/>
      <c r="O69" s="600"/>
    </row>
    <row r="70" spans="1:15" s="625" customFormat="1" ht="12.75">
      <c r="A70" s="2242">
        <v>641</v>
      </c>
      <c r="B70" s="2243" t="s">
        <v>468</v>
      </c>
      <c r="C70" s="2244" t="s">
        <v>779</v>
      </c>
      <c r="D70" s="1940"/>
      <c r="E70" s="1940"/>
      <c r="F70" s="2692"/>
      <c r="G70" s="1940"/>
      <c r="H70" s="2245"/>
      <c r="I70" s="2939"/>
      <c r="J70" s="1729"/>
      <c r="K70" s="600"/>
      <c r="L70" s="600"/>
      <c r="M70" s="600"/>
      <c r="N70" s="600"/>
      <c r="O70" s="600"/>
    </row>
    <row r="71" spans="1:15" s="19" customFormat="1" ht="12.75">
      <c r="A71" s="626">
        <v>642</v>
      </c>
      <c r="B71" s="602" t="s">
        <v>98</v>
      </c>
      <c r="C71" s="1282" t="s">
        <v>509</v>
      </c>
      <c r="D71" s="1671"/>
      <c r="E71" s="1804"/>
      <c r="F71" s="2679"/>
      <c r="G71" s="1804"/>
      <c r="H71" s="1542"/>
      <c r="I71" s="2939"/>
      <c r="J71" s="1572"/>
      <c r="K71" s="627"/>
      <c r="M71" s="67"/>
      <c r="N71" s="67"/>
      <c r="O71" s="67"/>
    </row>
    <row r="72" spans="1:15" s="19" customFormat="1" ht="12.75">
      <c r="A72" s="628">
        <v>642</v>
      </c>
      <c r="B72" s="67" t="s">
        <v>100</v>
      </c>
      <c r="C72" s="1283" t="s">
        <v>224</v>
      </c>
      <c r="D72" s="1671">
        <v>0</v>
      </c>
      <c r="E72" s="1804">
        <v>0</v>
      </c>
      <c r="F72" s="2679">
        <v>0</v>
      </c>
      <c r="G72" s="1804">
        <v>0</v>
      </c>
      <c r="H72" s="1542">
        <v>0</v>
      </c>
      <c r="I72" s="2939">
        <v>0</v>
      </c>
      <c r="J72" s="1572">
        <v>0</v>
      </c>
      <c r="K72" s="627"/>
      <c r="M72" s="67"/>
      <c r="N72" s="67"/>
      <c r="O72" s="67"/>
    </row>
    <row r="73" spans="1:15" ht="12.75">
      <c r="A73" s="65">
        <v>642</v>
      </c>
      <c r="B73" s="66" t="s">
        <v>127</v>
      </c>
      <c r="C73" s="1281" t="s">
        <v>792</v>
      </c>
      <c r="D73" s="1671">
        <v>5288.06</v>
      </c>
      <c r="E73" s="1804">
        <v>10417</v>
      </c>
      <c r="F73" s="2679">
        <v>5000</v>
      </c>
      <c r="G73" s="1804">
        <v>7660</v>
      </c>
      <c r="H73" s="1542">
        <v>5800</v>
      </c>
      <c r="I73" s="2939">
        <v>5800</v>
      </c>
      <c r="J73" s="1572">
        <v>5800</v>
      </c>
      <c r="K73" s="627"/>
      <c r="M73" s="67"/>
      <c r="N73" s="67"/>
      <c r="O73" s="67"/>
    </row>
    <row r="74" spans="1:15" ht="12.75">
      <c r="A74" s="65">
        <v>642</v>
      </c>
      <c r="B74" s="66" t="s">
        <v>107</v>
      </c>
      <c r="C74" s="1281" t="s">
        <v>793</v>
      </c>
      <c r="D74" s="1671">
        <v>2550</v>
      </c>
      <c r="E74" s="1804">
        <v>100</v>
      </c>
      <c r="F74" s="2679"/>
      <c r="G74" s="1804">
        <v>0</v>
      </c>
      <c r="H74" s="1542"/>
      <c r="I74" s="2939"/>
      <c r="J74" s="1572"/>
      <c r="K74" s="627"/>
      <c r="M74" s="67"/>
      <c r="N74" s="67"/>
      <c r="O74" s="67"/>
    </row>
    <row r="75" spans="1:15" ht="12.75">
      <c r="A75" s="65">
        <v>642</v>
      </c>
      <c r="B75" s="66" t="s">
        <v>499</v>
      </c>
      <c r="C75" s="1281" t="s">
        <v>309</v>
      </c>
      <c r="D75" s="1671">
        <v>163.1</v>
      </c>
      <c r="E75" s="1804">
        <v>0</v>
      </c>
      <c r="F75" s="2679"/>
      <c r="G75" s="1804">
        <v>0</v>
      </c>
      <c r="H75" s="1542"/>
      <c r="I75" s="2939"/>
      <c r="J75" s="1572"/>
      <c r="K75" s="627"/>
      <c r="M75" s="67"/>
      <c r="N75" s="67"/>
      <c r="O75" s="67"/>
    </row>
    <row r="76" spans="1:15" ht="12.75">
      <c r="A76" s="629" t="s">
        <v>841</v>
      </c>
      <c r="B76" s="630"/>
      <c r="C76" s="630"/>
      <c r="D76" s="1554">
        <v>0</v>
      </c>
      <c r="E76" s="2131">
        <v>0</v>
      </c>
      <c r="F76" s="2803">
        <f>F77+F78</f>
        <v>40000</v>
      </c>
      <c r="G76" s="2131">
        <f>G77+G78</f>
        <v>13000</v>
      </c>
      <c r="H76" s="1591">
        <f>H77+H78</f>
        <v>10000</v>
      </c>
      <c r="I76" s="2994">
        <f>I77+I78</f>
        <v>8000</v>
      </c>
      <c r="J76" s="1529">
        <f>J77+J78</f>
        <v>8000</v>
      </c>
      <c r="K76" s="627"/>
      <c r="M76" s="67"/>
      <c r="N76" s="67"/>
      <c r="O76" s="67"/>
    </row>
    <row r="77" spans="1:15" ht="12.75">
      <c r="A77" s="41">
        <v>651</v>
      </c>
      <c r="B77" s="35" t="s">
        <v>100</v>
      </c>
      <c r="C77" s="1280" t="s">
        <v>794</v>
      </c>
      <c r="D77" s="1671">
        <v>371.42</v>
      </c>
      <c r="E77" s="1804">
        <v>3020</v>
      </c>
      <c r="F77" s="2679">
        <v>40000</v>
      </c>
      <c r="G77" s="1804">
        <v>13000</v>
      </c>
      <c r="H77" s="1542">
        <v>10000</v>
      </c>
      <c r="I77" s="2939">
        <v>8000</v>
      </c>
      <c r="J77" s="1572">
        <v>8000</v>
      </c>
      <c r="K77" s="627"/>
      <c r="M77" s="76"/>
      <c r="N77" s="67"/>
      <c r="O77" s="67"/>
    </row>
    <row r="78" spans="1:15" ht="12.75">
      <c r="A78" s="34">
        <v>653</v>
      </c>
      <c r="B78" s="35" t="s">
        <v>100</v>
      </c>
      <c r="C78" s="1280" t="s">
        <v>510</v>
      </c>
      <c r="D78" s="2133">
        <v>190.98</v>
      </c>
      <c r="E78" s="2252">
        <v>120</v>
      </c>
      <c r="F78" s="2679">
        <v>0</v>
      </c>
      <c r="G78" s="2252">
        <v>0</v>
      </c>
      <c r="H78" s="1542">
        <v>0</v>
      </c>
      <c r="I78" s="2939">
        <v>0</v>
      </c>
      <c r="J78" s="1572">
        <v>0</v>
      </c>
      <c r="K78" s="627"/>
      <c r="M78" s="67"/>
      <c r="N78" s="67"/>
      <c r="O78" s="67"/>
    </row>
    <row r="79" spans="1:15" s="17" customFormat="1" ht="12.75">
      <c r="A79" s="629" t="s">
        <v>511</v>
      </c>
      <c r="B79" s="630"/>
      <c r="C79" s="630"/>
      <c r="D79" s="1554">
        <f>SUM(D80:D86)</f>
        <v>15565</v>
      </c>
      <c r="E79" s="2131">
        <f>E80+E81+E84+E85+E86+E82</f>
        <v>20186</v>
      </c>
      <c r="F79" s="2803">
        <f>F80+F81+F82+F84+F85+F86</f>
        <v>20200</v>
      </c>
      <c r="G79" s="2131">
        <f>G80+G81+G84+G85+G86+G82</f>
        <v>20874</v>
      </c>
      <c r="H79" s="1591">
        <f>H80+H81+H82+H84+H85+H86</f>
        <v>21860</v>
      </c>
      <c r="I79" s="2994">
        <f>I80+I81+I82+I84+I85+I86</f>
        <v>22375</v>
      </c>
      <c r="J79" s="1529">
        <f>J80+J81+J82+J84+J85+J86</f>
        <v>22375</v>
      </c>
      <c r="K79" s="576"/>
      <c r="L79" s="631"/>
      <c r="M79" s="576"/>
      <c r="N79" s="576"/>
      <c r="O79" s="576"/>
    </row>
    <row r="80" spans="1:15" ht="12.75">
      <c r="A80" s="611">
        <v>610</v>
      </c>
      <c r="B80" s="612"/>
      <c r="C80" s="1244" t="s">
        <v>456</v>
      </c>
      <c r="D80" s="951">
        <v>7102</v>
      </c>
      <c r="E80" s="113">
        <v>7350</v>
      </c>
      <c r="F80" s="2685">
        <v>8000</v>
      </c>
      <c r="G80" s="113">
        <v>8506</v>
      </c>
      <c r="H80" s="942">
        <v>8800</v>
      </c>
      <c r="I80" s="2940">
        <v>9000</v>
      </c>
      <c r="J80" s="1523">
        <v>9000</v>
      </c>
      <c r="K80" s="76"/>
      <c r="M80" s="76"/>
      <c r="N80" s="67"/>
      <c r="O80" s="67"/>
    </row>
    <row r="81" spans="1:15" ht="12.75">
      <c r="A81" s="41">
        <v>620</v>
      </c>
      <c r="B81" s="42"/>
      <c r="C81" s="1241" t="s">
        <v>198</v>
      </c>
      <c r="D81" s="951">
        <v>2711</v>
      </c>
      <c r="E81" s="113">
        <v>2890</v>
      </c>
      <c r="F81" s="2685">
        <v>2800</v>
      </c>
      <c r="G81" s="113">
        <v>3363</v>
      </c>
      <c r="H81" s="942">
        <v>3160</v>
      </c>
      <c r="I81" s="2940">
        <v>3475</v>
      </c>
      <c r="J81" s="1523">
        <v>3475</v>
      </c>
      <c r="K81" s="76"/>
      <c r="M81" s="76"/>
      <c r="N81" s="67"/>
      <c r="O81" s="67"/>
    </row>
    <row r="82" spans="1:15" ht="12.75">
      <c r="A82" s="41">
        <v>631</v>
      </c>
      <c r="B82" s="42" t="s">
        <v>98</v>
      </c>
      <c r="C82" s="1241" t="s">
        <v>526</v>
      </c>
      <c r="D82" s="1592">
        <v>406</v>
      </c>
      <c r="E82" s="1751">
        <v>400</v>
      </c>
      <c r="F82" s="2693">
        <v>400</v>
      </c>
      <c r="G82" s="1751">
        <v>300</v>
      </c>
      <c r="H82" s="1593">
        <v>400</v>
      </c>
      <c r="I82" s="2944">
        <v>400</v>
      </c>
      <c r="J82" s="1594">
        <v>400</v>
      </c>
      <c r="K82" s="76"/>
      <c r="M82" s="76"/>
      <c r="N82" s="67"/>
      <c r="O82" s="67"/>
    </row>
    <row r="83" spans="1:15" ht="12.75" hidden="1">
      <c r="A83" s="968"/>
      <c r="B83" s="969"/>
      <c r="C83" s="1259"/>
      <c r="D83" s="2256"/>
      <c r="E83" s="2132"/>
      <c r="F83" s="2694"/>
      <c r="G83" s="2132"/>
      <c r="H83" s="1595"/>
      <c r="I83" s="2945"/>
      <c r="J83" s="1596"/>
      <c r="K83" s="76"/>
      <c r="M83" s="76"/>
      <c r="N83" s="67"/>
      <c r="O83" s="67"/>
    </row>
    <row r="84" spans="1:15" ht="12.75">
      <c r="A84" s="41">
        <v>637</v>
      </c>
      <c r="B84" s="42"/>
      <c r="C84" s="1241" t="s">
        <v>212</v>
      </c>
      <c r="D84" s="1743">
        <v>457</v>
      </c>
      <c r="E84" s="1743">
        <v>1246</v>
      </c>
      <c r="F84" s="2695">
        <v>500</v>
      </c>
      <c r="G84" s="1743">
        <v>205</v>
      </c>
      <c r="H84" s="2203">
        <v>500</v>
      </c>
      <c r="I84" s="2943">
        <v>500</v>
      </c>
      <c r="J84" s="1597">
        <v>500</v>
      </c>
      <c r="K84" s="76"/>
      <c r="M84" s="67"/>
      <c r="N84" s="67"/>
      <c r="O84" s="67"/>
    </row>
    <row r="85" spans="1:15" ht="12.75">
      <c r="A85" s="41">
        <v>637</v>
      </c>
      <c r="B85" s="42" t="s">
        <v>512</v>
      </c>
      <c r="C85" s="1249" t="s">
        <v>513</v>
      </c>
      <c r="D85" s="2257">
        <v>2489</v>
      </c>
      <c r="E85" s="76">
        <v>3500</v>
      </c>
      <c r="F85" s="2679">
        <v>3500</v>
      </c>
      <c r="G85" s="76">
        <v>3500</v>
      </c>
      <c r="H85" s="1542">
        <v>3500</v>
      </c>
      <c r="I85" s="2939">
        <v>3500</v>
      </c>
      <c r="J85" s="1572">
        <v>3500</v>
      </c>
      <c r="K85" s="76"/>
      <c r="M85" s="67"/>
      <c r="N85" s="67"/>
      <c r="O85" s="67"/>
    </row>
    <row r="86" spans="1:15" ht="12.75">
      <c r="A86" s="1192">
        <v>637</v>
      </c>
      <c r="B86" s="1193"/>
      <c r="C86" s="1285" t="s">
        <v>514</v>
      </c>
      <c r="D86" s="1592">
        <v>2400</v>
      </c>
      <c r="E86" s="1751">
        <v>4800</v>
      </c>
      <c r="F86" s="2693">
        <v>5000</v>
      </c>
      <c r="G86" s="1751">
        <v>5000</v>
      </c>
      <c r="H86" s="2114">
        <v>5500</v>
      </c>
      <c r="I86" s="2941">
        <v>5500</v>
      </c>
      <c r="J86" s="1535">
        <v>5500</v>
      </c>
      <c r="K86" s="76"/>
      <c r="M86" s="67"/>
      <c r="N86" s="67"/>
      <c r="O86" s="67"/>
    </row>
    <row r="87" spans="1:15" ht="12.75">
      <c r="A87" s="55"/>
      <c r="B87" s="55"/>
      <c r="C87" s="67"/>
      <c r="D87" s="76"/>
      <c r="E87" s="133"/>
      <c r="F87" s="2696"/>
      <c r="G87" s="133"/>
      <c r="H87" s="45"/>
      <c r="J87" s="133"/>
      <c r="K87" s="76"/>
      <c r="M87" s="67"/>
      <c r="N87" s="67"/>
      <c r="O87" s="67"/>
    </row>
    <row r="88" spans="1:16" s="17" customFormat="1" ht="12.75">
      <c r="A88" s="972" t="s">
        <v>829</v>
      </c>
      <c r="B88" s="1218"/>
      <c r="C88" s="1218"/>
      <c r="D88" s="1557">
        <f>SUM(D89:D99)-D95-D96</f>
        <v>13518.960000000001</v>
      </c>
      <c r="E88" s="2135">
        <f aca="true" t="shared" si="5" ref="E88:J88">E89+E91+E93+E94+E97+E98+E99</f>
        <v>15046</v>
      </c>
      <c r="F88" s="2804">
        <f t="shared" si="5"/>
        <v>15270</v>
      </c>
      <c r="G88" s="2135">
        <f t="shared" si="5"/>
        <v>16585</v>
      </c>
      <c r="H88" s="1559">
        <f t="shared" si="5"/>
        <v>18140</v>
      </c>
      <c r="I88" s="2993">
        <f t="shared" si="5"/>
        <v>18400</v>
      </c>
      <c r="J88" s="1560">
        <f t="shared" si="5"/>
        <v>18400</v>
      </c>
      <c r="K88" s="576"/>
      <c r="L88" s="631"/>
      <c r="M88" s="576"/>
      <c r="N88" s="576"/>
      <c r="O88" s="576"/>
      <c r="P88" s="572"/>
    </row>
    <row r="89" spans="1:15" s="19" customFormat="1" ht="12.75">
      <c r="A89" s="41">
        <v>610</v>
      </c>
      <c r="B89" s="42"/>
      <c r="C89" s="1244" t="s">
        <v>456</v>
      </c>
      <c r="D89" s="1947">
        <v>4879.18</v>
      </c>
      <c r="E89" s="1948">
        <v>10856</v>
      </c>
      <c r="F89" s="2679">
        <v>11000</v>
      </c>
      <c r="G89" s="1948">
        <v>12250</v>
      </c>
      <c r="H89" s="1542">
        <v>13400</v>
      </c>
      <c r="I89" s="2940">
        <v>13500</v>
      </c>
      <c r="J89" s="1545">
        <v>13500</v>
      </c>
      <c r="K89" s="620"/>
      <c r="M89" s="76"/>
      <c r="N89" s="67"/>
      <c r="O89" s="67"/>
    </row>
    <row r="90" spans="1:15" ht="12.75">
      <c r="A90" s="579">
        <v>610</v>
      </c>
      <c r="B90" s="604"/>
      <c r="C90" s="1246" t="s">
        <v>666</v>
      </c>
      <c r="D90" s="2249">
        <v>5198.27</v>
      </c>
      <c r="E90" s="2247">
        <v>5356</v>
      </c>
      <c r="F90" s="2678">
        <v>5500</v>
      </c>
      <c r="G90" s="2247">
        <v>5998</v>
      </c>
      <c r="H90" s="1562">
        <v>5900</v>
      </c>
      <c r="I90" s="2946">
        <v>5900</v>
      </c>
      <c r="J90" s="1563">
        <v>5900</v>
      </c>
      <c r="K90" s="619"/>
      <c r="M90" s="608"/>
      <c r="N90" s="572"/>
      <c r="O90" s="607"/>
    </row>
    <row r="91" spans="1:15" ht="12.75">
      <c r="A91" s="41">
        <v>620</v>
      </c>
      <c r="B91" s="42"/>
      <c r="C91" s="1241" t="s">
        <v>198</v>
      </c>
      <c r="D91" s="1639">
        <v>3304.24</v>
      </c>
      <c r="E91" s="1671">
        <v>3570</v>
      </c>
      <c r="F91" s="2679">
        <v>3700</v>
      </c>
      <c r="G91" s="1671">
        <v>3825</v>
      </c>
      <c r="H91" s="1542">
        <v>4170</v>
      </c>
      <c r="I91" s="2940">
        <v>4330</v>
      </c>
      <c r="J91" s="1545">
        <v>4330</v>
      </c>
      <c r="K91" s="92"/>
      <c r="M91" s="76"/>
      <c r="N91" s="67"/>
      <c r="O91" s="67"/>
    </row>
    <row r="92" spans="1:16" ht="12.75">
      <c r="A92" s="579">
        <v>620</v>
      </c>
      <c r="B92" s="604"/>
      <c r="C92" s="1243" t="s">
        <v>515</v>
      </c>
      <c r="D92" s="2254">
        <v>0</v>
      </c>
      <c r="E92" s="2247">
        <v>0</v>
      </c>
      <c r="F92" s="2678">
        <v>0</v>
      </c>
      <c r="G92" s="2247">
        <v>0</v>
      </c>
      <c r="H92" s="1562">
        <v>0</v>
      </c>
      <c r="I92" s="2940">
        <v>0</v>
      </c>
      <c r="J92" s="1563">
        <v>0</v>
      </c>
      <c r="K92" s="619"/>
      <c r="M92" s="608"/>
      <c r="N92" s="572"/>
      <c r="O92" s="607"/>
      <c r="P92" s="607"/>
    </row>
    <row r="93" spans="1:15" ht="12.75">
      <c r="A93" s="34">
        <v>632</v>
      </c>
      <c r="B93" s="42"/>
      <c r="C93" s="1241" t="s">
        <v>202</v>
      </c>
      <c r="D93" s="1639">
        <v>12.6</v>
      </c>
      <c r="E93" s="1671">
        <v>20</v>
      </c>
      <c r="F93" s="2679">
        <v>20</v>
      </c>
      <c r="G93" s="1671">
        <v>10</v>
      </c>
      <c r="H93" s="1542">
        <v>20</v>
      </c>
      <c r="I93" s="2940">
        <v>20</v>
      </c>
      <c r="J93" s="1545">
        <v>20</v>
      </c>
      <c r="K93" s="92"/>
      <c r="M93" s="67"/>
      <c r="N93" s="67"/>
      <c r="O93" s="67"/>
    </row>
    <row r="94" spans="1:15" ht="12.75">
      <c r="A94" s="34">
        <v>633</v>
      </c>
      <c r="B94" s="42"/>
      <c r="C94" s="1241" t="s">
        <v>204</v>
      </c>
      <c r="D94" s="1639">
        <f>D95+D96</f>
        <v>99.58</v>
      </c>
      <c r="E94" s="1671">
        <f aca="true" t="shared" si="6" ref="E94:J94">SUM(E95:E96)</f>
        <v>400</v>
      </c>
      <c r="F94" s="2679">
        <f t="shared" si="6"/>
        <v>300</v>
      </c>
      <c r="G94" s="1671">
        <f t="shared" si="6"/>
        <v>400</v>
      </c>
      <c r="H94" s="1542">
        <f t="shared" si="6"/>
        <v>300</v>
      </c>
      <c r="I94" s="2940">
        <f t="shared" si="6"/>
        <v>300</v>
      </c>
      <c r="J94" s="1545">
        <f t="shared" si="6"/>
        <v>300</v>
      </c>
      <c r="K94" s="92"/>
      <c r="L94" s="67"/>
      <c r="M94" s="67"/>
      <c r="N94" s="67"/>
      <c r="O94" s="67"/>
    </row>
    <row r="95" spans="1:15" ht="12.75">
      <c r="A95" s="34">
        <v>633</v>
      </c>
      <c r="B95" s="42" t="s">
        <v>127</v>
      </c>
      <c r="C95" s="1241" t="s">
        <v>363</v>
      </c>
      <c r="D95" s="1697">
        <v>0</v>
      </c>
      <c r="E95" s="1941">
        <v>300</v>
      </c>
      <c r="F95" s="2683">
        <v>200</v>
      </c>
      <c r="G95" s="1941">
        <v>300</v>
      </c>
      <c r="H95" s="1564">
        <v>200</v>
      </c>
      <c r="I95" s="2940">
        <v>200</v>
      </c>
      <c r="J95" s="1524">
        <v>200</v>
      </c>
      <c r="K95" s="627"/>
      <c r="M95" s="67"/>
      <c r="N95" s="67"/>
      <c r="O95" s="67"/>
    </row>
    <row r="96" spans="1:15" ht="12.75">
      <c r="A96" s="34">
        <v>633</v>
      </c>
      <c r="B96" s="42"/>
      <c r="C96" s="1241" t="s">
        <v>516</v>
      </c>
      <c r="D96" s="1697">
        <v>99.58</v>
      </c>
      <c r="E96" s="1941">
        <v>100</v>
      </c>
      <c r="F96" s="2683">
        <v>100</v>
      </c>
      <c r="G96" s="2989">
        <v>100</v>
      </c>
      <c r="H96" s="2990">
        <v>100</v>
      </c>
      <c r="I96" s="2991">
        <v>100</v>
      </c>
      <c r="J96" s="2992">
        <v>100</v>
      </c>
      <c r="K96" s="633"/>
      <c r="M96" s="67"/>
      <c r="N96" s="572"/>
      <c r="O96" s="67"/>
    </row>
    <row r="97" spans="1:15" ht="12.75">
      <c r="A97" s="34">
        <v>635</v>
      </c>
      <c r="B97" s="42"/>
      <c r="C97" s="1241" t="s">
        <v>300</v>
      </c>
      <c r="D97" s="1639">
        <v>0</v>
      </c>
      <c r="E97" s="1671">
        <v>0</v>
      </c>
      <c r="F97" s="2679">
        <v>0</v>
      </c>
      <c r="G97" s="1671">
        <v>0</v>
      </c>
      <c r="H97" s="1542">
        <v>0</v>
      </c>
      <c r="I97" s="2940">
        <v>0</v>
      </c>
      <c r="J97" s="1545">
        <v>0</v>
      </c>
      <c r="K97" s="92"/>
      <c r="M97" s="67"/>
      <c r="N97" s="67"/>
      <c r="O97" s="67"/>
    </row>
    <row r="98" spans="1:15" ht="12.75">
      <c r="A98" s="86">
        <v>637</v>
      </c>
      <c r="B98" s="87"/>
      <c r="C98" s="1269" t="s">
        <v>212</v>
      </c>
      <c r="D98" s="1639">
        <v>25.09</v>
      </c>
      <c r="E98" s="1671">
        <v>200</v>
      </c>
      <c r="F98" s="2679">
        <v>200</v>
      </c>
      <c r="G98" s="1671">
        <v>100</v>
      </c>
      <c r="H98" s="1542">
        <v>200</v>
      </c>
      <c r="I98" s="2940">
        <v>200</v>
      </c>
      <c r="J98" s="1545">
        <v>200</v>
      </c>
      <c r="K98" s="92"/>
      <c r="M98" s="67"/>
      <c r="N98" s="67"/>
      <c r="O98" s="67"/>
    </row>
    <row r="99" spans="1:15" ht="12.75">
      <c r="A99" s="34">
        <v>637</v>
      </c>
      <c r="B99" s="35" t="s">
        <v>98</v>
      </c>
      <c r="C99" s="1241" t="s">
        <v>517</v>
      </c>
      <c r="D99" s="1639">
        <v>0</v>
      </c>
      <c r="E99" s="1671">
        <v>0</v>
      </c>
      <c r="F99" s="2697">
        <v>50</v>
      </c>
      <c r="G99" s="1671">
        <v>0</v>
      </c>
      <c r="H99" s="2139">
        <v>50</v>
      </c>
      <c r="I99" s="2940">
        <v>50</v>
      </c>
      <c r="J99" s="1545">
        <v>50</v>
      </c>
      <c r="K99" s="627"/>
      <c r="M99" s="67"/>
      <c r="N99" s="67"/>
      <c r="O99" s="67"/>
    </row>
    <row r="100" spans="1:16" ht="13.5" thickBot="1">
      <c r="A100" s="634" t="s">
        <v>518</v>
      </c>
      <c r="B100" s="635"/>
      <c r="C100" s="636" t="s">
        <v>519</v>
      </c>
      <c r="D100" s="1558">
        <f>SUM(D7,D79,D88)</f>
        <v>253121.65</v>
      </c>
      <c r="E100" s="1565">
        <f>E7+E79+E88</f>
        <v>300378</v>
      </c>
      <c r="F100" s="2818">
        <f>F88+F79+F76+F7</f>
        <v>323220</v>
      </c>
      <c r="G100" s="1565">
        <f>G7+G79+G88</f>
        <v>307003</v>
      </c>
      <c r="H100" s="1566">
        <f>H88+H79+H76+H7</f>
        <v>304360</v>
      </c>
      <c r="I100" s="2995">
        <f>I7+I79+I88+I76</f>
        <v>303295</v>
      </c>
      <c r="J100" s="1567">
        <f>J7+J79+J88+J76</f>
        <v>303295</v>
      </c>
      <c r="K100" s="93"/>
      <c r="L100" s="38"/>
      <c r="M100" s="93"/>
      <c r="N100" s="93"/>
      <c r="O100" s="93"/>
      <c r="P100" s="637"/>
    </row>
    <row r="101" spans="1:16" s="19" customFormat="1" ht="12.75" hidden="1">
      <c r="A101" s="67"/>
      <c r="B101" s="67"/>
      <c r="C101" s="67"/>
      <c r="D101" s="67"/>
      <c r="E101" s="638"/>
      <c r="F101" s="2698"/>
      <c r="G101" s="638"/>
      <c r="H101" s="638"/>
      <c r="I101" s="2947"/>
      <c r="J101" s="46"/>
      <c r="P101" s="16"/>
    </row>
    <row r="102" spans="1:16" s="19" customFormat="1" ht="12.75">
      <c r="A102" s="67"/>
      <c r="B102" s="67"/>
      <c r="C102" s="67"/>
      <c r="D102" s="67"/>
      <c r="E102" s="638"/>
      <c r="F102" s="2698"/>
      <c r="G102" s="638"/>
      <c r="H102" s="638"/>
      <c r="I102" s="2947"/>
      <c r="J102" s="46"/>
      <c r="P102" s="16"/>
    </row>
    <row r="103" spans="1:16" s="19" customFormat="1" ht="12.75" hidden="1">
      <c r="A103" s="67"/>
      <c r="B103" s="67"/>
      <c r="C103" s="67"/>
      <c r="D103" s="67"/>
      <c r="E103" s="638"/>
      <c r="F103" s="2698"/>
      <c r="G103" s="638"/>
      <c r="H103" s="638"/>
      <c r="I103" s="2947"/>
      <c r="J103" s="46"/>
      <c r="P103" s="16"/>
    </row>
    <row r="104" spans="1:16" s="19" customFormat="1" ht="12.75" hidden="1">
      <c r="A104" s="67"/>
      <c r="B104" s="67"/>
      <c r="C104" s="67"/>
      <c r="D104" s="67"/>
      <c r="E104" s="638"/>
      <c r="F104" s="2698"/>
      <c r="G104" s="638"/>
      <c r="H104" s="638"/>
      <c r="I104" s="2947"/>
      <c r="J104" s="46"/>
      <c r="P104" s="16"/>
    </row>
    <row r="105" spans="1:16" s="19" customFormat="1" ht="12.75" hidden="1">
      <c r="A105" s="67"/>
      <c r="B105" s="67"/>
      <c r="C105" s="67"/>
      <c r="D105" s="67"/>
      <c r="E105" s="638"/>
      <c r="F105" s="2698"/>
      <c r="G105" s="638"/>
      <c r="H105" s="638"/>
      <c r="I105" s="2947"/>
      <c r="J105" s="46"/>
      <c r="P105" s="16"/>
    </row>
    <row r="106" spans="1:16" s="19" customFormat="1" ht="13.5" thickBot="1">
      <c r="A106" s="67"/>
      <c r="B106" s="67"/>
      <c r="C106" s="67"/>
      <c r="D106" s="67"/>
      <c r="E106" s="638"/>
      <c r="F106" s="2698"/>
      <c r="G106" s="638"/>
      <c r="H106" s="638"/>
      <c r="I106" s="3238" t="s">
        <v>520</v>
      </c>
      <c r="J106" s="3238"/>
      <c r="K106" s="140"/>
      <c r="M106" s="140"/>
      <c r="N106" s="140"/>
      <c r="O106" s="140"/>
      <c r="P106" s="16"/>
    </row>
    <row r="107" spans="1:16" s="19" customFormat="1" ht="13.5" hidden="1" thickBot="1">
      <c r="A107" s="67"/>
      <c r="B107" s="67"/>
      <c r="C107" s="67"/>
      <c r="D107" s="67"/>
      <c r="E107" s="638"/>
      <c r="F107" s="2698"/>
      <c r="G107" s="638"/>
      <c r="H107" s="638"/>
      <c r="I107" s="2947"/>
      <c r="J107" s="46"/>
      <c r="P107" s="16"/>
    </row>
    <row r="108" spans="1:15" s="642" customFormat="1" ht="18.75" customHeight="1">
      <c r="A108" s="567" t="s">
        <v>447</v>
      </c>
      <c r="B108" s="568"/>
      <c r="C108" s="569"/>
      <c r="D108" s="569">
        <v>2017</v>
      </c>
      <c r="E108" s="2636">
        <v>2018</v>
      </c>
      <c r="F108" s="2801">
        <v>2019</v>
      </c>
      <c r="G108" s="2636" t="s">
        <v>881</v>
      </c>
      <c r="H108" s="2637">
        <v>2020</v>
      </c>
      <c r="I108" s="3041" t="s">
        <v>882</v>
      </c>
      <c r="J108" s="3042">
        <v>2022</v>
      </c>
      <c r="K108" s="639"/>
      <c r="L108" s="640"/>
      <c r="M108" s="641"/>
      <c r="N108" s="570"/>
      <c r="O108" s="571"/>
    </row>
    <row r="109" spans="1:16" s="149" customFormat="1" ht="12.75">
      <c r="A109" s="573" t="s">
        <v>521</v>
      </c>
      <c r="B109" s="630"/>
      <c r="C109" s="630"/>
      <c r="D109" s="1554">
        <f>SUM(D110,D112,D111)</f>
        <v>927</v>
      </c>
      <c r="E109" s="1615">
        <f>SUM(E110,E111,E112)</f>
        <v>1240</v>
      </c>
      <c r="F109" s="2805">
        <f>F110+F111+F112</f>
        <v>1240</v>
      </c>
      <c r="G109" s="1615">
        <f>SUM(G110,G111,G112)</f>
        <v>1025</v>
      </c>
      <c r="H109" s="1616">
        <f>H110+H111+H112</f>
        <v>1160</v>
      </c>
      <c r="I109" s="2994">
        <f>I110+I111+I112</f>
        <v>1170</v>
      </c>
      <c r="J109" s="1617">
        <f>J110+J111+J112</f>
        <v>1470</v>
      </c>
      <c r="K109" s="643"/>
      <c r="L109" s="644"/>
      <c r="M109" s="645"/>
      <c r="N109" s="645"/>
      <c r="O109" s="645"/>
      <c r="P109" s="646"/>
    </row>
    <row r="110" spans="1:16" s="19" customFormat="1" ht="12.75">
      <c r="A110" s="34">
        <v>632</v>
      </c>
      <c r="B110" s="42" t="s">
        <v>96</v>
      </c>
      <c r="C110" s="1241" t="s">
        <v>522</v>
      </c>
      <c r="D110" s="1536">
        <v>151</v>
      </c>
      <c r="E110" s="1543">
        <v>300</v>
      </c>
      <c r="F110" s="2679">
        <v>300</v>
      </c>
      <c r="G110" s="1543">
        <v>200</v>
      </c>
      <c r="H110" s="1542">
        <v>200</v>
      </c>
      <c r="I110" s="2940">
        <v>200</v>
      </c>
      <c r="J110" s="1545">
        <v>200</v>
      </c>
      <c r="K110" s="647"/>
      <c r="L110" s="67"/>
      <c r="M110" s="67"/>
      <c r="N110" s="67"/>
      <c r="O110" s="67"/>
      <c r="P110" s="16"/>
    </row>
    <row r="111" spans="1:16" s="19" customFormat="1" ht="12.75">
      <c r="A111" s="34">
        <v>637</v>
      </c>
      <c r="B111" s="42" t="s">
        <v>113</v>
      </c>
      <c r="C111" s="1241" t="s">
        <v>212</v>
      </c>
      <c r="D111" s="1536">
        <v>506</v>
      </c>
      <c r="E111" s="1543">
        <v>640</v>
      </c>
      <c r="F111" s="2679">
        <v>640</v>
      </c>
      <c r="G111" s="1543">
        <v>525</v>
      </c>
      <c r="H111" s="1542">
        <v>640</v>
      </c>
      <c r="I111" s="2940">
        <v>640</v>
      </c>
      <c r="J111" s="1545">
        <v>940</v>
      </c>
      <c r="K111" s="647"/>
      <c r="L111" s="67"/>
      <c r="M111" s="67"/>
      <c r="N111" s="67"/>
      <c r="O111" s="67"/>
      <c r="P111" s="16"/>
    </row>
    <row r="112" spans="1:16" ht="12.75">
      <c r="A112" s="34">
        <v>637</v>
      </c>
      <c r="B112" s="42" t="s">
        <v>512</v>
      </c>
      <c r="C112" s="1241" t="s">
        <v>262</v>
      </c>
      <c r="D112" s="1536">
        <v>270</v>
      </c>
      <c r="E112" s="1543">
        <v>300</v>
      </c>
      <c r="F112" s="2679">
        <v>300</v>
      </c>
      <c r="G112" s="1543">
        <v>300</v>
      </c>
      <c r="H112" s="1542">
        <v>320</v>
      </c>
      <c r="I112" s="2940">
        <v>330</v>
      </c>
      <c r="J112" s="1545">
        <v>330</v>
      </c>
      <c r="K112" s="82"/>
      <c r="L112" s="67"/>
      <c r="M112" s="67"/>
      <c r="N112" s="67"/>
      <c r="O112" s="67"/>
      <c r="P112" s="55"/>
    </row>
    <row r="113" spans="1:15" ht="13.5" thickBot="1">
      <c r="A113" s="634" t="s">
        <v>523</v>
      </c>
      <c r="B113" s="635"/>
      <c r="C113" s="636" t="s">
        <v>259</v>
      </c>
      <c r="D113" s="1618">
        <f>SUM(D110,D112,D111)</f>
        <v>927</v>
      </c>
      <c r="E113" s="1619">
        <f>SUM(E110,E111,E112)</f>
        <v>1240</v>
      </c>
      <c r="F113" s="2819">
        <f>F109</f>
        <v>1240</v>
      </c>
      <c r="G113" s="1619">
        <f>SUM(G110,G111,G112)</f>
        <v>1025</v>
      </c>
      <c r="H113" s="1620">
        <f>H109</f>
        <v>1160</v>
      </c>
      <c r="I113" s="2995">
        <f>I109</f>
        <v>1170</v>
      </c>
      <c r="J113" s="1621">
        <f>J109</f>
        <v>1470</v>
      </c>
      <c r="K113" s="93"/>
      <c r="L113" s="644"/>
      <c r="M113" s="631"/>
      <c r="N113" s="631"/>
      <c r="O113" s="631"/>
    </row>
    <row r="114" spans="1:11" ht="12.75" hidden="1">
      <c r="A114" s="648"/>
      <c r="B114" s="67"/>
      <c r="C114" s="149"/>
      <c r="D114" s="149"/>
      <c r="E114" s="649"/>
      <c r="F114" s="2699"/>
      <c r="G114" s="649"/>
      <c r="H114" s="649"/>
      <c r="I114" s="2947"/>
      <c r="J114" s="650"/>
      <c r="K114" s="156"/>
    </row>
    <row r="115" spans="1:11" ht="12.75">
      <c r="A115" s="648"/>
      <c r="B115" s="67"/>
      <c r="C115" s="149"/>
      <c r="D115" s="149"/>
      <c r="E115" s="649"/>
      <c r="F115" s="2699"/>
      <c r="G115" s="649"/>
      <c r="H115" s="649"/>
      <c r="I115" s="2947"/>
      <c r="J115" s="650"/>
      <c r="K115" s="156"/>
    </row>
    <row r="116" spans="1:15" ht="13.5" thickBot="1">
      <c r="A116" s="648"/>
      <c r="B116" s="67"/>
      <c r="C116" s="149"/>
      <c r="D116" s="149"/>
      <c r="E116" s="649"/>
      <c r="F116" s="2699"/>
      <c r="G116" s="649"/>
      <c r="H116" s="649"/>
      <c r="I116" s="3238" t="s">
        <v>524</v>
      </c>
      <c r="J116" s="3238"/>
      <c r="K116" s="140"/>
      <c r="M116" s="140"/>
      <c r="N116" s="140"/>
      <c r="O116" s="140"/>
    </row>
    <row r="117" spans="1:15" ht="13.5" hidden="1" thickBot="1">
      <c r="A117" s="648"/>
      <c r="B117" s="67"/>
      <c r="C117" s="149"/>
      <c r="D117" s="149"/>
      <c r="E117" s="649"/>
      <c r="F117" s="2699"/>
      <c r="G117" s="649"/>
      <c r="H117" s="649"/>
      <c r="I117" s="2947"/>
      <c r="J117" s="650"/>
      <c r="K117" s="156"/>
      <c r="M117" s="651"/>
      <c r="N117" s="651"/>
      <c r="O117" s="651"/>
    </row>
    <row r="118" spans="1:15" s="642" customFormat="1" ht="18.75" customHeight="1">
      <c r="A118" s="567" t="s">
        <v>447</v>
      </c>
      <c r="B118" s="568"/>
      <c r="C118" s="569"/>
      <c r="D118" s="569">
        <v>2017</v>
      </c>
      <c r="E118" s="2636">
        <v>2018</v>
      </c>
      <c r="F118" s="2801">
        <v>2019</v>
      </c>
      <c r="G118" s="2636" t="s">
        <v>881</v>
      </c>
      <c r="H118" s="2637">
        <v>2020</v>
      </c>
      <c r="I118" s="3041" t="s">
        <v>882</v>
      </c>
      <c r="J118" s="3042">
        <v>2022</v>
      </c>
      <c r="K118" s="639"/>
      <c r="L118" s="640"/>
      <c r="M118" s="641"/>
      <c r="N118" s="570"/>
      <c r="O118" s="571"/>
    </row>
    <row r="119" spans="1:15" s="17" customFormat="1" ht="12.75">
      <c r="A119" s="779" t="s">
        <v>525</v>
      </c>
      <c r="B119" s="632"/>
      <c r="C119" s="630"/>
      <c r="D119" s="1622">
        <f aca="true" t="shared" si="7" ref="D119:J119">D120+D121+D122+D123+D124+D132+D136+D137+D138+D139</f>
        <v>80062.22000000002</v>
      </c>
      <c r="E119" s="1590">
        <f t="shared" si="7"/>
        <v>82967</v>
      </c>
      <c r="F119" s="2806">
        <f t="shared" si="7"/>
        <v>85600</v>
      </c>
      <c r="G119" s="1590">
        <f t="shared" si="7"/>
        <v>101068</v>
      </c>
      <c r="H119" s="1650">
        <f t="shared" si="7"/>
        <v>100686</v>
      </c>
      <c r="I119" s="2994">
        <f t="shared" si="7"/>
        <v>100780</v>
      </c>
      <c r="J119" s="1624">
        <f t="shared" si="7"/>
        <v>100780</v>
      </c>
      <c r="K119" s="652"/>
      <c r="L119" s="631"/>
      <c r="M119" s="576"/>
      <c r="N119" s="576"/>
      <c r="O119" s="576"/>
    </row>
    <row r="120" spans="1:16" s="19" customFormat="1" ht="12.75">
      <c r="A120" s="782">
        <v>610</v>
      </c>
      <c r="B120" s="42"/>
      <c r="C120" s="1244" t="s">
        <v>456</v>
      </c>
      <c r="D120" s="1947">
        <v>49934.25</v>
      </c>
      <c r="E120" s="2267">
        <v>53000</v>
      </c>
      <c r="F120" s="2700">
        <v>55000</v>
      </c>
      <c r="G120" s="2267">
        <v>67416</v>
      </c>
      <c r="H120" s="3081">
        <v>67416</v>
      </c>
      <c r="I120" s="3096">
        <v>67500</v>
      </c>
      <c r="J120" s="3097">
        <v>67500</v>
      </c>
      <c r="K120" s="92"/>
      <c r="M120" s="76"/>
      <c r="N120" s="67"/>
      <c r="O120" s="67"/>
      <c r="P120" s="16"/>
    </row>
    <row r="121" spans="1:15" ht="12.75">
      <c r="A121" s="782">
        <v>620</v>
      </c>
      <c r="B121" s="42"/>
      <c r="C121" s="1241" t="s">
        <v>198</v>
      </c>
      <c r="D121" s="1639">
        <v>17910.27</v>
      </c>
      <c r="E121" s="2237">
        <v>19455</v>
      </c>
      <c r="F121" s="2700">
        <v>20000</v>
      </c>
      <c r="G121" s="2237">
        <v>23190</v>
      </c>
      <c r="H121" s="3081">
        <v>23190</v>
      </c>
      <c r="I121" s="3096">
        <v>23200</v>
      </c>
      <c r="J121" s="3097">
        <v>23200</v>
      </c>
      <c r="K121" s="92"/>
      <c r="M121" s="76"/>
      <c r="N121" s="67"/>
      <c r="O121" s="67"/>
    </row>
    <row r="122" spans="1:15" ht="12.75">
      <c r="A122" s="782">
        <v>631</v>
      </c>
      <c r="B122" s="42"/>
      <c r="C122" s="1241" t="s">
        <v>526</v>
      </c>
      <c r="D122" s="1639">
        <v>0</v>
      </c>
      <c r="E122" s="2237">
        <v>50</v>
      </c>
      <c r="F122" s="2700">
        <v>50</v>
      </c>
      <c r="G122" s="2237">
        <v>0</v>
      </c>
      <c r="H122" s="1656">
        <v>50</v>
      </c>
      <c r="I122" s="2940">
        <v>50</v>
      </c>
      <c r="J122" s="1545">
        <v>50</v>
      </c>
      <c r="K122" s="92"/>
      <c r="M122" s="76"/>
      <c r="N122" s="67"/>
      <c r="O122" s="67"/>
    </row>
    <row r="123" spans="1:15" ht="12.75">
      <c r="A123" s="782">
        <v>632</v>
      </c>
      <c r="B123" s="42"/>
      <c r="C123" s="1241" t="s">
        <v>202</v>
      </c>
      <c r="D123" s="1639">
        <v>871.45</v>
      </c>
      <c r="E123" s="2237">
        <v>890</v>
      </c>
      <c r="F123" s="2700">
        <v>1000</v>
      </c>
      <c r="G123" s="2237">
        <v>830</v>
      </c>
      <c r="H123" s="1656">
        <v>880</v>
      </c>
      <c r="I123" s="2940">
        <v>880</v>
      </c>
      <c r="J123" s="1545">
        <v>880</v>
      </c>
      <c r="K123" s="92"/>
      <c r="M123" s="76"/>
      <c r="N123" s="67"/>
      <c r="O123" s="67"/>
    </row>
    <row r="124" spans="1:15" ht="12.75">
      <c r="A124" s="782">
        <v>633</v>
      </c>
      <c r="B124" s="42"/>
      <c r="C124" s="1241" t="s">
        <v>204</v>
      </c>
      <c r="D124" s="1743">
        <f>SUM(D126,D127,D128,D129,D130,D125)+D131</f>
        <v>3783.24</v>
      </c>
      <c r="E124" s="2227">
        <f>E128+E129+E130+E126+E125+E127+E131</f>
        <v>3356</v>
      </c>
      <c r="F124" s="2701">
        <f>F128+F129+F130+F126+F125+F127</f>
        <v>3200</v>
      </c>
      <c r="G124" s="2227">
        <f>G128+G129+G130+G126+G125+G127+G131</f>
        <v>2962</v>
      </c>
      <c r="H124" s="1757">
        <f>H128+H129+H130+H126+H125+H127</f>
        <v>3050</v>
      </c>
      <c r="I124" s="2940">
        <f>I128+I129+I130+I126+I125+I127</f>
        <v>3050</v>
      </c>
      <c r="J124" s="1523">
        <f>J128+J129+J130+J126+J125+J127</f>
        <v>3050</v>
      </c>
      <c r="K124" s="92"/>
      <c r="L124" s="92"/>
      <c r="M124" s="92"/>
      <c r="N124" s="92"/>
      <c r="O124" s="92"/>
    </row>
    <row r="125" spans="1:15" ht="12.75">
      <c r="A125" s="782">
        <v>633</v>
      </c>
      <c r="B125" s="42" t="s">
        <v>98</v>
      </c>
      <c r="C125" s="1241" t="s">
        <v>463</v>
      </c>
      <c r="D125" s="1697">
        <v>0</v>
      </c>
      <c r="E125" s="2268">
        <v>100</v>
      </c>
      <c r="F125" s="2702">
        <v>100</v>
      </c>
      <c r="G125" s="2268">
        <v>0</v>
      </c>
      <c r="H125" s="1674">
        <v>100</v>
      </c>
      <c r="I125" s="2940">
        <v>100</v>
      </c>
      <c r="J125" s="1524">
        <v>100</v>
      </c>
      <c r="K125" s="92"/>
      <c r="L125" s="92"/>
      <c r="M125" s="92"/>
      <c r="N125" s="92"/>
      <c r="O125" s="92"/>
    </row>
    <row r="126" spans="1:15" ht="12.75">
      <c r="A126" s="782">
        <v>633</v>
      </c>
      <c r="B126" s="42" t="s">
        <v>100</v>
      </c>
      <c r="C126" s="1241" t="s">
        <v>527</v>
      </c>
      <c r="D126" s="1697">
        <v>0</v>
      </c>
      <c r="E126" s="2268">
        <v>0</v>
      </c>
      <c r="F126" s="2702">
        <v>0</v>
      </c>
      <c r="G126" s="2268">
        <v>0</v>
      </c>
      <c r="H126" s="1674">
        <v>0</v>
      </c>
      <c r="I126" s="2940">
        <v>0</v>
      </c>
      <c r="J126" s="1524">
        <v>0</v>
      </c>
      <c r="K126" s="92"/>
      <c r="L126" s="92"/>
      <c r="M126" s="92"/>
      <c r="N126" s="92"/>
      <c r="O126" s="92"/>
    </row>
    <row r="127" spans="1:15" ht="12.75">
      <c r="A127" s="782">
        <v>633</v>
      </c>
      <c r="B127" s="42" t="s">
        <v>113</v>
      </c>
      <c r="C127" s="1241" t="s">
        <v>465</v>
      </c>
      <c r="D127" s="1697">
        <v>581.46</v>
      </c>
      <c r="E127" s="2268">
        <v>500</v>
      </c>
      <c r="F127" s="2702">
        <v>500</v>
      </c>
      <c r="G127" s="2268">
        <v>50</v>
      </c>
      <c r="H127" s="1674">
        <v>500</v>
      </c>
      <c r="I127" s="2940">
        <v>500</v>
      </c>
      <c r="J127" s="1524">
        <v>500</v>
      </c>
      <c r="K127" s="92"/>
      <c r="L127" s="92"/>
      <c r="M127" s="92"/>
      <c r="N127" s="92"/>
      <c r="O127" s="92"/>
    </row>
    <row r="128" spans="1:15" ht="12.75">
      <c r="A128" s="782">
        <v>633</v>
      </c>
      <c r="B128" s="42" t="s">
        <v>127</v>
      </c>
      <c r="C128" s="1241" t="s">
        <v>363</v>
      </c>
      <c r="D128" s="1697">
        <v>1160.76</v>
      </c>
      <c r="E128" s="2268">
        <v>1000</v>
      </c>
      <c r="F128" s="2702">
        <v>1000</v>
      </c>
      <c r="G128" s="2268">
        <v>1000</v>
      </c>
      <c r="H128" s="1674">
        <v>800</v>
      </c>
      <c r="I128" s="2940">
        <v>800</v>
      </c>
      <c r="J128" s="1524">
        <v>800</v>
      </c>
      <c r="K128" s="627"/>
      <c r="M128" s="653"/>
      <c r="N128" s="653"/>
      <c r="O128" s="653"/>
    </row>
    <row r="129" spans="1:15" ht="12.75">
      <c r="A129" s="782">
        <v>633</v>
      </c>
      <c r="B129" s="42" t="s">
        <v>468</v>
      </c>
      <c r="C129" s="1241" t="s">
        <v>528</v>
      </c>
      <c r="D129" s="1697">
        <v>42.49</v>
      </c>
      <c r="E129" s="2268">
        <v>26</v>
      </c>
      <c r="F129" s="2702">
        <v>100</v>
      </c>
      <c r="G129" s="2268">
        <v>40</v>
      </c>
      <c r="H129" s="1674">
        <v>150</v>
      </c>
      <c r="I129" s="2940">
        <v>150</v>
      </c>
      <c r="J129" s="1524">
        <v>150</v>
      </c>
      <c r="K129" s="627"/>
      <c r="M129" s="653"/>
      <c r="N129" s="653"/>
      <c r="O129" s="653"/>
    </row>
    <row r="130" spans="1:15" ht="12.75">
      <c r="A130" s="782">
        <v>633</v>
      </c>
      <c r="B130" s="42" t="s">
        <v>470</v>
      </c>
      <c r="C130" s="1241" t="s">
        <v>529</v>
      </c>
      <c r="D130" s="1697">
        <v>1791.49</v>
      </c>
      <c r="E130" s="2268">
        <v>1700</v>
      </c>
      <c r="F130" s="2702">
        <v>1500</v>
      </c>
      <c r="G130" s="2268">
        <v>1800</v>
      </c>
      <c r="H130" s="1674">
        <v>1500</v>
      </c>
      <c r="I130" s="2940">
        <v>1500</v>
      </c>
      <c r="J130" s="1524">
        <v>1500</v>
      </c>
      <c r="K130" s="627"/>
      <c r="M130" s="653"/>
      <c r="N130" s="653"/>
      <c r="O130" s="67"/>
    </row>
    <row r="131" spans="1:15" ht="12.75">
      <c r="A131" s="782">
        <v>633</v>
      </c>
      <c r="B131" s="42" t="s">
        <v>475</v>
      </c>
      <c r="C131" s="1241" t="s">
        <v>476</v>
      </c>
      <c r="D131" s="1697">
        <v>207.04</v>
      </c>
      <c r="E131" s="2268">
        <v>30</v>
      </c>
      <c r="F131" s="2702"/>
      <c r="G131" s="2268">
        <v>72</v>
      </c>
      <c r="H131" s="1674"/>
      <c r="I131" s="2940"/>
      <c r="J131" s="1524"/>
      <c r="K131" s="627"/>
      <c r="M131" s="653"/>
      <c r="N131" s="653"/>
      <c r="O131" s="67"/>
    </row>
    <row r="132" spans="1:15" ht="12.75">
      <c r="A132" s="782">
        <v>634</v>
      </c>
      <c r="B132" s="42"/>
      <c r="C132" s="1241" t="s">
        <v>206</v>
      </c>
      <c r="D132" s="1639">
        <f>D133+D134+D135</f>
        <v>6977.4400000000005</v>
      </c>
      <c r="E132" s="2237">
        <f aca="true" t="shared" si="8" ref="E132:J132">SUM(E133,E134,E135)</f>
        <v>5350</v>
      </c>
      <c r="F132" s="2700">
        <f t="shared" si="8"/>
        <v>5850</v>
      </c>
      <c r="G132" s="2237">
        <f t="shared" si="8"/>
        <v>5837</v>
      </c>
      <c r="H132" s="1656">
        <f t="shared" si="8"/>
        <v>5600</v>
      </c>
      <c r="I132" s="2940">
        <f t="shared" si="8"/>
        <v>5600</v>
      </c>
      <c r="J132" s="1545">
        <f t="shared" si="8"/>
        <v>5600</v>
      </c>
      <c r="K132" s="92"/>
      <c r="M132" s="67"/>
      <c r="N132" s="67"/>
      <c r="O132" s="67"/>
    </row>
    <row r="133" spans="1:16" ht="12.75">
      <c r="A133" s="782">
        <v>634</v>
      </c>
      <c r="B133" s="42" t="s">
        <v>98</v>
      </c>
      <c r="C133" s="1241" t="s">
        <v>530</v>
      </c>
      <c r="D133" s="1697">
        <v>3804.09</v>
      </c>
      <c r="E133" s="2268">
        <v>3500</v>
      </c>
      <c r="F133" s="2702">
        <v>3500</v>
      </c>
      <c r="G133" s="2268">
        <v>3500</v>
      </c>
      <c r="H133" s="1674">
        <v>4000</v>
      </c>
      <c r="I133" s="2940">
        <v>4000</v>
      </c>
      <c r="J133" s="1524">
        <v>4000</v>
      </c>
      <c r="K133" s="627"/>
      <c r="M133" s="627"/>
      <c r="N133" s="653"/>
      <c r="O133" s="653"/>
      <c r="P133" s="33"/>
    </row>
    <row r="134" spans="1:15" ht="12.75">
      <c r="A134" s="782">
        <v>634</v>
      </c>
      <c r="B134" s="42" t="s">
        <v>100</v>
      </c>
      <c r="C134" s="1241" t="s">
        <v>531</v>
      </c>
      <c r="D134" s="1697">
        <v>2836.38</v>
      </c>
      <c r="E134" s="2268">
        <v>1500</v>
      </c>
      <c r="F134" s="2702">
        <v>2000</v>
      </c>
      <c r="G134" s="2268">
        <v>2000</v>
      </c>
      <c r="H134" s="1674">
        <v>1000</v>
      </c>
      <c r="I134" s="2940">
        <v>1000</v>
      </c>
      <c r="J134" s="1524">
        <v>1000</v>
      </c>
      <c r="K134" s="627"/>
      <c r="M134" s="653"/>
      <c r="N134" s="653"/>
      <c r="O134" s="653"/>
    </row>
    <row r="135" spans="1:16" ht="12.75">
      <c r="A135" s="782">
        <v>634</v>
      </c>
      <c r="B135" s="42" t="s">
        <v>96</v>
      </c>
      <c r="C135" s="1241" t="s">
        <v>532</v>
      </c>
      <c r="D135" s="1697">
        <v>336.97</v>
      </c>
      <c r="E135" s="2268">
        <v>350</v>
      </c>
      <c r="F135" s="2702">
        <v>350</v>
      </c>
      <c r="G135" s="2268">
        <v>337</v>
      </c>
      <c r="H135" s="1674">
        <v>600</v>
      </c>
      <c r="I135" s="2940">
        <v>600</v>
      </c>
      <c r="J135" s="1524">
        <v>600</v>
      </c>
      <c r="K135" s="627"/>
      <c r="M135" s="653"/>
      <c r="N135" s="653"/>
      <c r="O135" s="653"/>
      <c r="P135" s="55"/>
    </row>
    <row r="136" spans="1:16" ht="12.75">
      <c r="A136" s="782">
        <v>635</v>
      </c>
      <c r="B136" s="42"/>
      <c r="C136" s="1241" t="s">
        <v>893</v>
      </c>
      <c r="D136" s="1639">
        <v>93.97</v>
      </c>
      <c r="E136" s="2237">
        <v>400</v>
      </c>
      <c r="F136" s="2700">
        <v>100</v>
      </c>
      <c r="G136" s="2237">
        <v>235</v>
      </c>
      <c r="H136" s="1656">
        <v>100</v>
      </c>
      <c r="I136" s="2940">
        <v>100</v>
      </c>
      <c r="J136" s="1545">
        <v>100</v>
      </c>
      <c r="K136" s="627"/>
      <c r="M136" s="653"/>
      <c r="N136" s="653"/>
      <c r="O136" s="653"/>
      <c r="P136" s="55"/>
    </row>
    <row r="137" spans="1:16" ht="12.75">
      <c r="A137" s="782">
        <v>637</v>
      </c>
      <c r="B137" s="42"/>
      <c r="C137" s="1241" t="s">
        <v>533</v>
      </c>
      <c r="D137" s="1639">
        <v>425.6</v>
      </c>
      <c r="E137" s="2237">
        <v>400</v>
      </c>
      <c r="F137" s="2700">
        <v>300</v>
      </c>
      <c r="G137" s="2237">
        <v>532</v>
      </c>
      <c r="H137" s="1656">
        <v>300</v>
      </c>
      <c r="I137" s="2940">
        <v>300</v>
      </c>
      <c r="J137" s="1545">
        <v>300</v>
      </c>
      <c r="K137" s="92"/>
      <c r="M137" s="67"/>
      <c r="N137" s="67"/>
      <c r="O137" s="67"/>
      <c r="P137" s="55"/>
    </row>
    <row r="138" spans="1:15" ht="12.75">
      <c r="A138" s="782">
        <v>642</v>
      </c>
      <c r="B138" s="42"/>
      <c r="C138" s="1241" t="s">
        <v>534</v>
      </c>
      <c r="D138" s="1639">
        <v>66</v>
      </c>
      <c r="E138" s="2237">
        <v>66</v>
      </c>
      <c r="F138" s="2700">
        <v>100</v>
      </c>
      <c r="G138" s="2237">
        <v>66</v>
      </c>
      <c r="H138" s="1656">
        <v>100</v>
      </c>
      <c r="I138" s="2940">
        <v>100</v>
      </c>
      <c r="J138" s="1545">
        <v>100</v>
      </c>
      <c r="K138" s="92"/>
      <c r="M138" s="67"/>
      <c r="N138" s="67"/>
      <c r="O138" s="67"/>
    </row>
    <row r="139" spans="1:16" ht="13.5" thickBot="1">
      <c r="A139" s="800">
        <v>637</v>
      </c>
      <c r="B139" s="801" t="s">
        <v>506</v>
      </c>
      <c r="C139" s="1256" t="s">
        <v>277</v>
      </c>
      <c r="D139" s="1869">
        <v>0</v>
      </c>
      <c r="E139" s="2285">
        <v>0</v>
      </c>
      <c r="F139" s="2703">
        <v>0</v>
      </c>
      <c r="G139" s="2285">
        <v>0</v>
      </c>
      <c r="H139" s="2266">
        <v>0</v>
      </c>
      <c r="I139" s="2948">
        <v>0</v>
      </c>
      <c r="J139" s="1628">
        <v>0</v>
      </c>
      <c r="K139" s="92"/>
      <c r="M139" s="67"/>
      <c r="N139" s="67"/>
      <c r="O139" s="67"/>
      <c r="P139" s="654"/>
    </row>
    <row r="140" spans="1:10" ht="13.5" thickBot="1">
      <c r="A140" s="655"/>
      <c r="B140" s="19"/>
      <c r="C140" s="19"/>
      <c r="D140" s="112"/>
      <c r="E140" s="112"/>
      <c r="F140" s="2704"/>
      <c r="G140" s="112"/>
      <c r="H140" s="112"/>
      <c r="I140" s="2947"/>
      <c r="J140" s="112"/>
    </row>
    <row r="141" spans="1:15" s="17" customFormat="1" ht="12.75">
      <c r="A141" s="788" t="s">
        <v>535</v>
      </c>
      <c r="B141" s="2144"/>
      <c r="C141" s="2144"/>
      <c r="D141" s="1713">
        <f>D142+D143+D149+D154+D155+D156+D157</f>
        <v>7591.959999999999</v>
      </c>
      <c r="E141" s="1714">
        <f>SUM(E142,E143,E149,E154,E155,E157,E156)</f>
        <v>9727</v>
      </c>
      <c r="F141" s="2807">
        <f>SUM(F142,F143,F149,F154,F155,F157)+F156</f>
        <v>9850</v>
      </c>
      <c r="G141" s="1714">
        <f>SUM(G142,G143,G149,G154,G155,G157,G156)</f>
        <v>11258</v>
      </c>
      <c r="H141" s="1669">
        <f>SUM(H142,H143,H149,H154,H155,H157)+H156</f>
        <v>8845</v>
      </c>
      <c r="I141" s="2996">
        <f>SUM(I142,I143,I149,I154,I155,I157)+I156</f>
        <v>8545</v>
      </c>
      <c r="J141" s="1630">
        <f>SUM(J142,J143,J149,J154,J155,J157)+J156</f>
        <v>8545</v>
      </c>
      <c r="K141" s="576"/>
      <c r="L141" s="631"/>
      <c r="M141" s="576"/>
      <c r="N141" s="576"/>
      <c r="O141" s="576"/>
    </row>
    <row r="142" spans="1:16" s="19" customFormat="1" ht="12.75">
      <c r="A142" s="790">
        <v>632</v>
      </c>
      <c r="B142" s="42"/>
      <c r="C142" s="1241" t="s">
        <v>202</v>
      </c>
      <c r="D142" s="1546">
        <v>1293.66</v>
      </c>
      <c r="E142" s="2281">
        <v>2270</v>
      </c>
      <c r="F142" s="2700">
        <v>2000</v>
      </c>
      <c r="G142" s="2281">
        <v>1382</v>
      </c>
      <c r="H142" s="1656">
        <v>1895</v>
      </c>
      <c r="I142" s="2940">
        <v>1895</v>
      </c>
      <c r="J142" s="1545">
        <v>1895</v>
      </c>
      <c r="K142" s="92"/>
      <c r="M142" s="76"/>
      <c r="N142" s="67"/>
      <c r="O142" s="67"/>
      <c r="P142" s="16"/>
    </row>
    <row r="143" spans="1:15" ht="12.75">
      <c r="A143" s="790">
        <v>633</v>
      </c>
      <c r="B143" s="42"/>
      <c r="C143" s="1241" t="s">
        <v>204</v>
      </c>
      <c r="D143" s="1536">
        <f aca="true" t="shared" si="9" ref="D143:J143">D144+D145+D146+D147+D148</f>
        <v>3370.59</v>
      </c>
      <c r="E143" s="2282">
        <f t="shared" si="9"/>
        <v>4301</v>
      </c>
      <c r="F143" s="2700">
        <f t="shared" si="9"/>
        <v>4500</v>
      </c>
      <c r="G143" s="2282">
        <f t="shared" si="9"/>
        <v>5987</v>
      </c>
      <c r="H143" s="1656">
        <f t="shared" si="9"/>
        <v>4500</v>
      </c>
      <c r="I143" s="2940">
        <f t="shared" si="9"/>
        <v>4200</v>
      </c>
      <c r="J143" s="1545">
        <f t="shared" si="9"/>
        <v>4200</v>
      </c>
      <c r="K143" s="92"/>
      <c r="M143" s="76"/>
      <c r="N143" s="76"/>
      <c r="O143" s="76"/>
    </row>
    <row r="144" spans="1:15" ht="12.75">
      <c r="A144" s="790">
        <v>633</v>
      </c>
      <c r="B144" s="42" t="s">
        <v>98</v>
      </c>
      <c r="C144" s="1241" t="s">
        <v>536</v>
      </c>
      <c r="D144" s="1512">
        <v>0</v>
      </c>
      <c r="E144" s="1522">
        <v>501</v>
      </c>
      <c r="F144" s="2702">
        <v>500</v>
      </c>
      <c r="G144" s="1522">
        <v>0</v>
      </c>
      <c r="H144" s="1674">
        <v>500</v>
      </c>
      <c r="I144" s="2940">
        <v>500</v>
      </c>
      <c r="J144" s="1524">
        <v>500</v>
      </c>
      <c r="K144" s="627"/>
      <c r="M144" s="67"/>
      <c r="N144" s="653"/>
      <c r="O144" s="653"/>
    </row>
    <row r="145" spans="1:15" ht="12.75">
      <c r="A145" s="2145">
        <v>633</v>
      </c>
      <c r="B145" s="604" t="s">
        <v>113</v>
      </c>
      <c r="C145" s="1243" t="s">
        <v>537</v>
      </c>
      <c r="D145" s="1561">
        <v>3000</v>
      </c>
      <c r="E145" s="2283">
        <v>3000</v>
      </c>
      <c r="F145" s="2705">
        <v>3000</v>
      </c>
      <c r="G145" s="2283">
        <v>3000</v>
      </c>
      <c r="H145" s="2274">
        <v>3000</v>
      </c>
      <c r="I145" s="2940">
        <v>3000</v>
      </c>
      <c r="J145" s="1563">
        <v>3000</v>
      </c>
      <c r="K145" s="633"/>
      <c r="M145" s="657"/>
      <c r="N145" s="572"/>
      <c r="O145" s="653"/>
    </row>
    <row r="146" spans="1:15" ht="12.75">
      <c r="A146" s="790">
        <v>633</v>
      </c>
      <c r="B146" s="42" t="s">
        <v>113</v>
      </c>
      <c r="C146" s="1241" t="s">
        <v>537</v>
      </c>
      <c r="D146" s="1512">
        <v>43.59</v>
      </c>
      <c r="E146" s="1522">
        <v>400</v>
      </c>
      <c r="F146" s="2702">
        <v>400</v>
      </c>
      <c r="G146" s="1522">
        <v>832</v>
      </c>
      <c r="H146" s="1674">
        <v>400</v>
      </c>
      <c r="I146" s="2940">
        <v>400</v>
      </c>
      <c r="J146" s="1524">
        <v>400</v>
      </c>
      <c r="K146" s="627"/>
      <c r="M146" s="76"/>
      <c r="N146" s="653"/>
      <c r="O146" s="653"/>
    </row>
    <row r="147" spans="1:15" ht="12.75">
      <c r="A147" s="791">
        <v>633</v>
      </c>
      <c r="B147" s="87" t="s">
        <v>127</v>
      </c>
      <c r="C147" s="1269" t="s">
        <v>363</v>
      </c>
      <c r="D147" s="1512">
        <v>147.06</v>
      </c>
      <c r="E147" s="1522">
        <v>300</v>
      </c>
      <c r="F147" s="2702">
        <v>100</v>
      </c>
      <c r="G147" s="1522">
        <v>1545</v>
      </c>
      <c r="H147" s="1674">
        <v>400</v>
      </c>
      <c r="I147" s="2940">
        <v>100</v>
      </c>
      <c r="J147" s="1524">
        <v>100</v>
      </c>
      <c r="K147" s="627"/>
      <c r="M147" s="67"/>
      <c r="N147" s="653"/>
      <c r="O147" s="653"/>
    </row>
    <row r="148" spans="1:15" ht="12.75">
      <c r="A148" s="790">
        <v>633</v>
      </c>
      <c r="B148" s="42" t="s">
        <v>475</v>
      </c>
      <c r="C148" s="1241" t="s">
        <v>364</v>
      </c>
      <c r="D148" s="1512">
        <v>179.94</v>
      </c>
      <c r="E148" s="1522">
        <v>100</v>
      </c>
      <c r="F148" s="2702">
        <v>500</v>
      </c>
      <c r="G148" s="1522">
        <v>610</v>
      </c>
      <c r="H148" s="1674">
        <v>200</v>
      </c>
      <c r="I148" s="2940">
        <v>200</v>
      </c>
      <c r="J148" s="1524">
        <v>200</v>
      </c>
      <c r="K148" s="627"/>
      <c r="M148" s="67"/>
      <c r="N148" s="653"/>
      <c r="O148" s="67"/>
    </row>
    <row r="149" spans="1:15" ht="12.75">
      <c r="A149" s="793">
        <v>634</v>
      </c>
      <c r="B149" s="55"/>
      <c r="C149" s="1272" t="s">
        <v>206</v>
      </c>
      <c r="D149" s="1536">
        <f>D150+D152+D153+D151</f>
        <v>1728.31</v>
      </c>
      <c r="E149" s="2282">
        <f>E150+E152+E153+E151</f>
        <v>1360</v>
      </c>
      <c r="F149" s="2700">
        <f>SUM(F150:F153)</f>
        <v>1350</v>
      </c>
      <c r="G149" s="2282">
        <f>G150+G152+G153+G151</f>
        <v>870</v>
      </c>
      <c r="H149" s="1656">
        <f>SUM(H150:H153)</f>
        <v>1350</v>
      </c>
      <c r="I149" s="2940">
        <f>SUM(I150:I153)</f>
        <v>1350</v>
      </c>
      <c r="J149" s="1545">
        <f>SUM(J150:J153)</f>
        <v>1350</v>
      </c>
      <c r="K149" s="92"/>
      <c r="M149" s="67"/>
      <c r="N149" s="67"/>
      <c r="O149" s="67"/>
    </row>
    <row r="150" spans="1:16" ht="12.75">
      <c r="A150" s="782">
        <v>634</v>
      </c>
      <c r="B150" s="42" t="s">
        <v>98</v>
      </c>
      <c r="C150" s="1241" t="s">
        <v>530</v>
      </c>
      <c r="D150" s="1512">
        <v>360.49</v>
      </c>
      <c r="E150" s="1522">
        <v>500</v>
      </c>
      <c r="F150" s="2702">
        <v>500</v>
      </c>
      <c r="G150" s="1522">
        <v>100</v>
      </c>
      <c r="H150" s="1674">
        <v>500</v>
      </c>
      <c r="I150" s="2940">
        <v>500</v>
      </c>
      <c r="J150" s="1524">
        <v>500</v>
      </c>
      <c r="K150" s="627"/>
      <c r="M150" s="653"/>
      <c r="N150" s="653"/>
      <c r="O150" s="653"/>
      <c r="P150" s="605"/>
    </row>
    <row r="151" spans="1:16" ht="12.75">
      <c r="A151" s="782">
        <v>634</v>
      </c>
      <c r="B151" s="42" t="s">
        <v>100</v>
      </c>
      <c r="C151" s="1241" t="s">
        <v>667</v>
      </c>
      <c r="D151" s="1512">
        <v>1007.82</v>
      </c>
      <c r="E151" s="1522">
        <v>300</v>
      </c>
      <c r="F151" s="2702">
        <v>300</v>
      </c>
      <c r="G151" s="1522">
        <v>410</v>
      </c>
      <c r="H151" s="1674">
        <v>300</v>
      </c>
      <c r="I151" s="2940">
        <v>300</v>
      </c>
      <c r="J151" s="1524">
        <v>300</v>
      </c>
      <c r="K151" s="627"/>
      <c r="M151" s="653"/>
      <c r="N151" s="653"/>
      <c r="O151" s="653"/>
      <c r="P151" s="605"/>
    </row>
    <row r="152" spans="1:15" ht="12.75">
      <c r="A152" s="782">
        <v>634</v>
      </c>
      <c r="B152" s="42" t="s">
        <v>113</v>
      </c>
      <c r="C152" s="1241" t="s">
        <v>354</v>
      </c>
      <c r="D152" s="1512">
        <v>0</v>
      </c>
      <c r="E152" s="1522">
        <v>200</v>
      </c>
      <c r="F152" s="2702">
        <v>200</v>
      </c>
      <c r="G152" s="1522">
        <v>0</v>
      </c>
      <c r="H152" s="1674">
        <v>200</v>
      </c>
      <c r="I152" s="2940">
        <v>200</v>
      </c>
      <c r="J152" s="1524">
        <v>200</v>
      </c>
      <c r="K152" s="627"/>
      <c r="M152" s="653"/>
      <c r="N152" s="653"/>
      <c r="O152" s="653"/>
    </row>
    <row r="153" spans="1:15" ht="12.75">
      <c r="A153" s="782">
        <v>634</v>
      </c>
      <c r="B153" s="42" t="s">
        <v>96</v>
      </c>
      <c r="C153" s="1241" t="s">
        <v>532</v>
      </c>
      <c r="D153" s="1512">
        <v>360</v>
      </c>
      <c r="E153" s="1522">
        <v>360</v>
      </c>
      <c r="F153" s="2702">
        <v>350</v>
      </c>
      <c r="G153" s="1522">
        <v>360</v>
      </c>
      <c r="H153" s="1674">
        <v>350</v>
      </c>
      <c r="I153" s="2940">
        <v>350</v>
      </c>
      <c r="J153" s="1524">
        <v>350</v>
      </c>
      <c r="K153" s="627"/>
      <c r="M153" s="653"/>
      <c r="N153" s="653"/>
      <c r="O153" s="653"/>
    </row>
    <row r="154" spans="1:15" ht="12.75">
      <c r="A154" s="790">
        <v>635</v>
      </c>
      <c r="B154" s="42"/>
      <c r="C154" s="1241" t="s">
        <v>300</v>
      </c>
      <c r="D154" s="1536">
        <v>0</v>
      </c>
      <c r="E154" s="2282">
        <v>500</v>
      </c>
      <c r="F154" s="2700">
        <v>500</v>
      </c>
      <c r="G154" s="2282">
        <v>110</v>
      </c>
      <c r="H154" s="1656">
        <v>500</v>
      </c>
      <c r="I154" s="2940">
        <v>500</v>
      </c>
      <c r="J154" s="1545">
        <v>500</v>
      </c>
      <c r="K154" s="92"/>
      <c r="M154" s="67"/>
      <c r="N154" s="67"/>
      <c r="O154" s="67"/>
    </row>
    <row r="155" spans="1:15" ht="12.75">
      <c r="A155" s="2145">
        <v>637</v>
      </c>
      <c r="B155" s="604" t="s">
        <v>122</v>
      </c>
      <c r="C155" s="1243" t="s">
        <v>327</v>
      </c>
      <c r="D155" s="951">
        <v>0</v>
      </c>
      <c r="E155" s="1521">
        <v>0</v>
      </c>
      <c r="F155" s="2701">
        <v>0</v>
      </c>
      <c r="G155" s="1521">
        <v>0</v>
      </c>
      <c r="H155" s="1757">
        <v>0</v>
      </c>
      <c r="I155" s="2940">
        <v>0</v>
      </c>
      <c r="J155" s="1523">
        <v>0</v>
      </c>
      <c r="K155" s="619"/>
      <c r="M155" s="657"/>
      <c r="N155" s="572"/>
      <c r="O155" s="67"/>
    </row>
    <row r="156" spans="1:15" ht="12.75">
      <c r="A156" s="790">
        <v>637</v>
      </c>
      <c r="B156" s="42"/>
      <c r="C156" s="1241" t="s">
        <v>533</v>
      </c>
      <c r="D156" s="950">
        <v>1199.4</v>
      </c>
      <c r="E156" s="1519">
        <v>1296</v>
      </c>
      <c r="F156" s="2701">
        <v>500</v>
      </c>
      <c r="G156" s="1519">
        <v>2909</v>
      </c>
      <c r="H156" s="1757">
        <v>600</v>
      </c>
      <c r="I156" s="2940">
        <v>600</v>
      </c>
      <c r="J156" s="1523">
        <v>600</v>
      </c>
      <c r="K156" s="619"/>
      <c r="M156" s="657"/>
      <c r="N156" s="572"/>
      <c r="O156" s="67"/>
    </row>
    <row r="157" spans="1:16" ht="12.75">
      <c r="A157" s="790">
        <v>642</v>
      </c>
      <c r="B157" s="42" t="s">
        <v>100</v>
      </c>
      <c r="C157" s="1241" t="s">
        <v>538</v>
      </c>
      <c r="D157" s="1639">
        <v>0</v>
      </c>
      <c r="E157" s="2237">
        <v>0</v>
      </c>
      <c r="F157" s="2700">
        <v>1000</v>
      </c>
      <c r="G157" s="2237">
        <v>0</v>
      </c>
      <c r="H157" s="1656"/>
      <c r="I157" s="2940"/>
      <c r="J157" s="1545"/>
      <c r="K157" s="92"/>
      <c r="M157" s="67"/>
      <c r="N157" s="67"/>
      <c r="O157" s="67"/>
      <c r="P157" s="658"/>
    </row>
    <row r="158" spans="1:16" ht="13.5" thickBot="1">
      <c r="A158" s="795" t="s">
        <v>539</v>
      </c>
      <c r="B158" s="796"/>
      <c r="C158" s="2146" t="s">
        <v>540</v>
      </c>
      <c r="D158" s="2147">
        <f>SUM(D119,D141)</f>
        <v>87654.18000000002</v>
      </c>
      <c r="E158" s="2163">
        <f aca="true" t="shared" si="10" ref="E158:J158">E119+E141</f>
        <v>92694</v>
      </c>
      <c r="F158" s="2820">
        <f t="shared" si="10"/>
        <v>95450</v>
      </c>
      <c r="G158" s="2163">
        <f t="shared" si="10"/>
        <v>112326</v>
      </c>
      <c r="H158" s="2284">
        <f t="shared" si="10"/>
        <v>109531</v>
      </c>
      <c r="I158" s="2995">
        <f t="shared" si="10"/>
        <v>109325</v>
      </c>
      <c r="J158" s="1567">
        <f t="shared" si="10"/>
        <v>109325</v>
      </c>
      <c r="K158" s="93"/>
      <c r="L158" s="644"/>
      <c r="M158" s="576"/>
      <c r="N158" s="576"/>
      <c r="O158" s="576"/>
      <c r="P158" s="654"/>
    </row>
    <row r="159" spans="1:15" ht="12.75">
      <c r="A159" s="659"/>
      <c r="B159" s="660"/>
      <c r="C159" s="661"/>
      <c r="D159" s="661"/>
      <c r="E159" s="662"/>
      <c r="F159" s="2706"/>
      <c r="G159" s="662"/>
      <c r="H159" s="662"/>
      <c r="I159" s="2949"/>
      <c r="J159" s="663"/>
      <c r="K159" s="156"/>
      <c r="L159" s="664"/>
      <c r="M159" s="105"/>
      <c r="N159" s="105"/>
      <c r="O159" s="105"/>
    </row>
    <row r="160" spans="1:15" ht="12.75" hidden="1">
      <c r="A160" s="659"/>
      <c r="B160" s="660"/>
      <c r="C160" s="661"/>
      <c r="D160" s="661"/>
      <c r="E160" s="662"/>
      <c r="F160" s="2706"/>
      <c r="G160" s="662"/>
      <c r="H160" s="662"/>
      <c r="I160" s="2949"/>
      <c r="J160" s="663"/>
      <c r="K160" s="156"/>
      <c r="L160" s="664"/>
      <c r="M160" s="105"/>
      <c r="N160" s="105"/>
      <c r="O160" s="105"/>
    </row>
    <row r="161" spans="1:15" ht="12.75" hidden="1">
      <c r="A161" s="659"/>
      <c r="B161" s="660"/>
      <c r="C161" s="661"/>
      <c r="D161" s="661"/>
      <c r="E161" s="662"/>
      <c r="F161" s="2706"/>
      <c r="G161" s="662"/>
      <c r="H161" s="662"/>
      <c r="I161" s="2949"/>
      <c r="J161" s="663"/>
      <c r="K161" s="156"/>
      <c r="L161" s="664"/>
      <c r="M161" s="105"/>
      <c r="N161" s="105"/>
      <c r="O161" s="105"/>
    </row>
    <row r="162" spans="1:15" ht="12.75" hidden="1">
      <c r="A162" s="659"/>
      <c r="B162" s="660"/>
      <c r="C162" s="661"/>
      <c r="D162" s="661"/>
      <c r="E162" s="662"/>
      <c r="F162" s="2706"/>
      <c r="G162" s="662"/>
      <c r="H162" s="662"/>
      <c r="I162" s="2949"/>
      <c r="J162" s="663"/>
      <c r="K162" s="156"/>
      <c r="L162" s="664"/>
      <c r="M162" s="105"/>
      <c r="N162" s="105"/>
      <c r="O162" s="105"/>
    </row>
    <row r="163" spans="1:15" ht="12.75" hidden="1">
      <c r="A163" s="659"/>
      <c r="B163" s="660"/>
      <c r="C163" s="661"/>
      <c r="D163" s="661"/>
      <c r="E163" s="662"/>
      <c r="F163" s="2706"/>
      <c r="G163" s="662"/>
      <c r="H163" s="662"/>
      <c r="I163" s="2949"/>
      <c r="J163" s="663"/>
      <c r="K163" s="156"/>
      <c r="L163" s="664"/>
      <c r="M163" s="105"/>
      <c r="N163" s="105"/>
      <c r="O163" s="105"/>
    </row>
    <row r="164" spans="1:15" ht="12.75">
      <c r="A164" s="659"/>
      <c r="B164" s="660"/>
      <c r="C164" s="661"/>
      <c r="D164" s="661"/>
      <c r="E164" s="662"/>
      <c r="F164" s="2706"/>
      <c r="G164" s="662"/>
      <c r="H164" s="662"/>
      <c r="I164" s="2949"/>
      <c r="J164" s="663"/>
      <c r="K164" s="156"/>
      <c r="L164" s="664"/>
      <c r="M164" s="105"/>
      <c r="N164" s="105"/>
      <c r="O164" s="105"/>
    </row>
    <row r="165" spans="1:15" ht="12.75" hidden="1">
      <c r="A165" s="659"/>
      <c r="B165" s="660"/>
      <c r="C165" s="661"/>
      <c r="D165" s="661"/>
      <c r="E165" s="662"/>
      <c r="F165" s="2706"/>
      <c r="G165" s="662"/>
      <c r="H165" s="662"/>
      <c r="I165" s="2949"/>
      <c r="J165" s="663"/>
      <c r="K165" s="156"/>
      <c r="L165" s="664"/>
      <c r="M165" s="105"/>
      <c r="N165" s="105"/>
      <c r="O165" s="105"/>
    </row>
    <row r="166" spans="1:15" ht="12.75" hidden="1">
      <c r="A166" s="659"/>
      <c r="B166" s="660"/>
      <c r="C166" s="661"/>
      <c r="D166" s="661"/>
      <c r="E166" s="662"/>
      <c r="F166" s="2706"/>
      <c r="G166" s="662"/>
      <c r="H166" s="662"/>
      <c r="I166" s="2949"/>
      <c r="J166" s="663"/>
      <c r="K166" s="156"/>
      <c r="L166" s="664"/>
      <c r="M166" s="105"/>
      <c r="N166" s="105"/>
      <c r="O166" s="105"/>
    </row>
    <row r="167" spans="1:15" ht="12.75" hidden="1">
      <c r="A167" s="659"/>
      <c r="B167" s="660"/>
      <c r="C167" s="661"/>
      <c r="D167" s="661"/>
      <c r="E167" s="662"/>
      <c r="F167" s="2706"/>
      <c r="G167" s="662"/>
      <c r="H167" s="662"/>
      <c r="I167" s="2949"/>
      <c r="J167" s="663"/>
      <c r="K167" s="156"/>
      <c r="L167" s="664"/>
      <c r="M167" s="105"/>
      <c r="N167" s="105"/>
      <c r="O167" s="105"/>
    </row>
    <row r="168" spans="1:15" ht="12.75" hidden="1">
      <c r="A168" s="659"/>
      <c r="B168" s="660"/>
      <c r="C168" s="661"/>
      <c r="D168" s="661"/>
      <c r="E168" s="662"/>
      <c r="F168" s="2706"/>
      <c r="G168" s="662"/>
      <c r="H168" s="662"/>
      <c r="I168" s="2949"/>
      <c r="J168" s="663"/>
      <c r="K168" s="156"/>
      <c r="L168" s="664"/>
      <c r="M168" s="105"/>
      <c r="N168" s="105"/>
      <c r="O168" s="105"/>
    </row>
    <row r="169" spans="1:15" ht="12.75" hidden="1">
      <c r="A169" s="659"/>
      <c r="B169" s="660"/>
      <c r="C169" s="661"/>
      <c r="D169" s="661"/>
      <c r="E169" s="662"/>
      <c r="F169" s="2706"/>
      <c r="G169" s="662"/>
      <c r="H169" s="662"/>
      <c r="I169" s="2949"/>
      <c r="J169" s="663"/>
      <c r="K169" s="156"/>
      <c r="L169" s="664"/>
      <c r="M169" s="105"/>
      <c r="N169" s="105"/>
      <c r="O169" s="105"/>
    </row>
    <row r="170" spans="1:15" ht="12.75">
      <c r="A170" s="659"/>
      <c r="B170" s="660"/>
      <c r="C170" s="661"/>
      <c r="D170" s="661"/>
      <c r="E170" s="662"/>
      <c r="F170" s="2706"/>
      <c r="G170" s="662"/>
      <c r="H170" s="662"/>
      <c r="I170" s="2949"/>
      <c r="J170" s="663"/>
      <c r="K170" s="156"/>
      <c r="L170" s="664"/>
      <c r="M170" s="105"/>
      <c r="N170" s="105"/>
      <c r="O170" s="105"/>
    </row>
    <row r="171" spans="1:15" ht="12.75">
      <c r="A171" s="659"/>
      <c r="B171" s="660"/>
      <c r="C171" s="661"/>
      <c r="D171" s="661"/>
      <c r="E171" s="662"/>
      <c r="F171" s="2706"/>
      <c r="G171" s="662"/>
      <c r="H171" s="662"/>
      <c r="I171" s="2949"/>
      <c r="J171" s="663"/>
      <c r="K171" s="156"/>
      <c r="L171" s="664"/>
      <c r="M171" s="105"/>
      <c r="N171" s="105"/>
      <c r="O171" s="105"/>
    </row>
    <row r="172" spans="1:15" ht="12.75">
      <c r="A172" s="659"/>
      <c r="B172" s="660"/>
      <c r="C172" s="661"/>
      <c r="D172" s="661"/>
      <c r="E172" s="662"/>
      <c r="F172" s="2706"/>
      <c r="G172" s="662"/>
      <c r="H172" s="662"/>
      <c r="I172" s="2949"/>
      <c r="J172" s="663"/>
      <c r="K172" s="156"/>
      <c r="L172" s="664"/>
      <c r="M172" s="105"/>
      <c r="N172" s="105"/>
      <c r="O172" s="105"/>
    </row>
    <row r="173" spans="1:15" ht="12.75">
      <c r="A173" s="659"/>
      <c r="B173" s="660"/>
      <c r="C173" s="661"/>
      <c r="D173" s="661"/>
      <c r="E173" s="662"/>
      <c r="F173" s="2706"/>
      <c r="G173" s="662"/>
      <c r="H173" s="662"/>
      <c r="I173" s="2949"/>
      <c r="J173" s="663"/>
      <c r="K173" s="156"/>
      <c r="L173" s="664"/>
      <c r="M173" s="105"/>
      <c r="N173" s="105"/>
      <c r="O173" s="105"/>
    </row>
    <row r="174" spans="1:15" ht="12.75">
      <c r="A174" s="648"/>
      <c r="B174" s="67"/>
      <c r="C174" s="149"/>
      <c r="D174" s="149"/>
      <c r="E174" s="149"/>
      <c r="F174" s="2707"/>
      <c r="G174" s="3239" t="s">
        <v>541</v>
      </c>
      <c r="H174" s="3239"/>
      <c r="I174" s="3239"/>
      <c r="J174" s="3239"/>
      <c r="K174" s="665"/>
      <c r="L174" s="665"/>
      <c r="M174" s="665"/>
      <c r="N174" s="665"/>
      <c r="O174" s="665"/>
    </row>
    <row r="175" spans="1:11" ht="13.5" thickBot="1">
      <c r="A175" s="648"/>
      <c r="B175" s="67"/>
      <c r="C175" s="149"/>
      <c r="D175" s="149"/>
      <c r="E175" s="649"/>
      <c r="F175" s="2699"/>
      <c r="G175" s="649"/>
      <c r="H175" s="649"/>
      <c r="I175" s="2947"/>
      <c r="J175" s="650"/>
      <c r="K175" s="156"/>
    </row>
    <row r="176" spans="1:15" s="642" customFormat="1" ht="18.75" customHeight="1">
      <c r="A176" s="567" t="s">
        <v>447</v>
      </c>
      <c r="B176" s="568"/>
      <c r="C176" s="569"/>
      <c r="D176" s="569">
        <v>2017</v>
      </c>
      <c r="E176" s="2636">
        <v>2018</v>
      </c>
      <c r="F176" s="2801">
        <v>2019</v>
      </c>
      <c r="G176" s="2636" t="s">
        <v>881</v>
      </c>
      <c r="H176" s="2637">
        <v>2020</v>
      </c>
      <c r="I176" s="3041" t="s">
        <v>882</v>
      </c>
      <c r="J176" s="3042">
        <v>2022</v>
      </c>
      <c r="K176" s="639"/>
      <c r="L176" s="640"/>
      <c r="M176" s="641"/>
      <c r="N176" s="570"/>
      <c r="O176" s="571"/>
    </row>
    <row r="177" spans="1:15" s="17" customFormat="1" ht="12.75">
      <c r="A177" s="666" t="s">
        <v>542</v>
      </c>
      <c r="B177" s="667"/>
      <c r="C177" s="667"/>
      <c r="D177" s="1631">
        <f aca="true" t="shared" si="11" ref="D177:J177">SUM(D178,D180,D181,D182,D188,D193,D194,D195,D196)+D179</f>
        <v>85175.62999999999</v>
      </c>
      <c r="E177" s="1590">
        <f t="shared" si="11"/>
        <v>111230</v>
      </c>
      <c r="F177" s="2806">
        <f t="shared" si="11"/>
        <v>112150</v>
      </c>
      <c r="G177" s="1590">
        <f t="shared" si="11"/>
        <v>110580</v>
      </c>
      <c r="H177" s="1650">
        <f t="shared" si="11"/>
        <v>115760</v>
      </c>
      <c r="I177" s="2994">
        <f t="shared" si="11"/>
        <v>117890</v>
      </c>
      <c r="J177" s="1624">
        <f t="shared" si="11"/>
        <v>117890</v>
      </c>
      <c r="K177" s="652"/>
      <c r="L177" s="644"/>
      <c r="M177" s="576"/>
      <c r="N177" s="576"/>
      <c r="O177" s="576"/>
    </row>
    <row r="178" spans="1:16" s="19" customFormat="1" ht="12.75">
      <c r="A178" s="41">
        <v>610</v>
      </c>
      <c r="B178" s="42"/>
      <c r="C178" s="1278" t="s">
        <v>456</v>
      </c>
      <c r="D178" s="1639">
        <v>48317.55</v>
      </c>
      <c r="E178" s="2267">
        <v>58000</v>
      </c>
      <c r="F178" s="2700">
        <v>70000</v>
      </c>
      <c r="G178" s="2267">
        <v>60000</v>
      </c>
      <c r="H178" s="1656">
        <v>73000</v>
      </c>
      <c r="I178" s="2940">
        <v>74000</v>
      </c>
      <c r="J178" s="1545">
        <v>74000</v>
      </c>
      <c r="K178" s="92"/>
      <c r="M178" s="76"/>
      <c r="N178" s="76"/>
      <c r="O178" s="76"/>
      <c r="P178" s="16"/>
    </row>
    <row r="179" spans="1:16" s="19" customFormat="1" ht="12.75">
      <c r="A179" s="770">
        <v>610</v>
      </c>
      <c r="B179" s="774"/>
      <c r="C179" s="1279" t="s">
        <v>661</v>
      </c>
      <c r="D179" s="2259">
        <v>0</v>
      </c>
      <c r="E179" s="2237">
        <v>15000</v>
      </c>
      <c r="F179" s="2700">
        <v>0</v>
      </c>
      <c r="G179" s="2237">
        <v>0</v>
      </c>
      <c r="H179" s="1656">
        <v>0</v>
      </c>
      <c r="I179" s="2940">
        <v>0</v>
      </c>
      <c r="J179" s="1632">
        <v>0</v>
      </c>
      <c r="K179" s="92"/>
      <c r="M179" s="76"/>
      <c r="N179" s="76"/>
      <c r="O179" s="76"/>
      <c r="P179" s="16"/>
    </row>
    <row r="180" spans="1:15" ht="12.75">
      <c r="A180" s="41">
        <v>620</v>
      </c>
      <c r="B180" s="42"/>
      <c r="C180" s="1280" t="s">
        <v>198</v>
      </c>
      <c r="D180" s="1639">
        <v>17667.35</v>
      </c>
      <c r="E180" s="2237">
        <v>18000</v>
      </c>
      <c r="F180" s="2700">
        <v>25000</v>
      </c>
      <c r="G180" s="2237">
        <v>20700</v>
      </c>
      <c r="H180" s="1656">
        <v>26050</v>
      </c>
      <c r="I180" s="2940">
        <v>27180</v>
      </c>
      <c r="J180" s="1545">
        <v>27180</v>
      </c>
      <c r="K180" s="92"/>
      <c r="M180" s="76"/>
      <c r="N180" s="76"/>
      <c r="O180" s="76"/>
    </row>
    <row r="181" spans="1:15" ht="12.75">
      <c r="A181" s="41">
        <v>632</v>
      </c>
      <c r="B181" s="42"/>
      <c r="C181" s="1280" t="s">
        <v>202</v>
      </c>
      <c r="D181" s="1639">
        <v>1422.5</v>
      </c>
      <c r="E181" s="2237">
        <v>1600</v>
      </c>
      <c r="F181" s="2700">
        <v>1600</v>
      </c>
      <c r="G181" s="2237">
        <v>670</v>
      </c>
      <c r="H181" s="1656">
        <v>750</v>
      </c>
      <c r="I181" s="2940">
        <v>750</v>
      </c>
      <c r="J181" s="1545">
        <v>750</v>
      </c>
      <c r="K181" s="92"/>
      <c r="M181" s="76"/>
      <c r="N181" s="67"/>
      <c r="O181" s="67"/>
    </row>
    <row r="182" spans="1:15" ht="12.75">
      <c r="A182" s="65">
        <v>633</v>
      </c>
      <c r="B182" s="87"/>
      <c r="C182" s="1281" t="s">
        <v>204</v>
      </c>
      <c r="D182" s="1743">
        <f>D183+D184+D185+D187+D186</f>
        <v>12172.42</v>
      </c>
      <c r="E182" s="2227">
        <f aca="true" t="shared" si="12" ref="E182:J182">SUM(E183:E187)</f>
        <v>14050</v>
      </c>
      <c r="F182" s="2701">
        <f t="shared" si="12"/>
        <v>9200</v>
      </c>
      <c r="G182" s="2227">
        <f t="shared" si="12"/>
        <v>15300</v>
      </c>
      <c r="H182" s="1757">
        <f t="shared" si="12"/>
        <v>9400</v>
      </c>
      <c r="I182" s="2940">
        <f t="shared" si="12"/>
        <v>9400</v>
      </c>
      <c r="J182" s="1523">
        <f t="shared" si="12"/>
        <v>9400</v>
      </c>
      <c r="K182" s="92"/>
      <c r="L182" s="92"/>
      <c r="M182" s="92"/>
      <c r="N182" s="92"/>
      <c r="O182" s="92"/>
    </row>
    <row r="183" spans="1:15" ht="12.75">
      <c r="A183" s="41">
        <v>633</v>
      </c>
      <c r="B183" s="42" t="s">
        <v>113</v>
      </c>
      <c r="C183" s="1280" t="s">
        <v>543</v>
      </c>
      <c r="D183" s="1697">
        <v>0</v>
      </c>
      <c r="E183" s="2268">
        <v>1200</v>
      </c>
      <c r="F183" s="2702">
        <v>1200</v>
      </c>
      <c r="G183" s="2268">
        <v>1200</v>
      </c>
      <c r="H183" s="1674">
        <v>1200</v>
      </c>
      <c r="I183" s="2940">
        <v>1200</v>
      </c>
      <c r="J183" s="1524">
        <v>1200</v>
      </c>
      <c r="K183" s="92"/>
      <c r="L183" s="92"/>
      <c r="M183" s="92"/>
      <c r="N183" s="92"/>
      <c r="O183" s="92"/>
    </row>
    <row r="184" spans="1:15" ht="12.75">
      <c r="A184" s="601">
        <v>633</v>
      </c>
      <c r="B184" s="612" t="s">
        <v>127</v>
      </c>
      <c r="C184" s="1282" t="s">
        <v>363</v>
      </c>
      <c r="D184" s="1697">
        <v>7894.91</v>
      </c>
      <c r="E184" s="2268">
        <v>9000</v>
      </c>
      <c r="F184" s="2702">
        <v>5000</v>
      </c>
      <c r="G184" s="2268">
        <v>11000</v>
      </c>
      <c r="H184" s="1674">
        <v>5200</v>
      </c>
      <c r="I184" s="2940">
        <v>5200</v>
      </c>
      <c r="J184" s="1524">
        <v>5200</v>
      </c>
      <c r="K184" s="627"/>
      <c r="M184" s="67"/>
      <c r="N184" s="653"/>
      <c r="O184" s="653"/>
    </row>
    <row r="185" spans="1:15" ht="12.75">
      <c r="A185" s="86">
        <v>633</v>
      </c>
      <c r="B185" s="87" t="s">
        <v>470</v>
      </c>
      <c r="C185" s="1281" t="s">
        <v>544</v>
      </c>
      <c r="D185" s="1697">
        <v>1521.59</v>
      </c>
      <c r="E185" s="2268">
        <v>850</v>
      </c>
      <c r="F185" s="2702">
        <v>1000</v>
      </c>
      <c r="G185" s="2268">
        <v>1000</v>
      </c>
      <c r="H185" s="1674">
        <v>1000</v>
      </c>
      <c r="I185" s="2940">
        <v>1000</v>
      </c>
      <c r="J185" s="1524">
        <v>1000</v>
      </c>
      <c r="K185" s="627"/>
      <c r="M185" s="67"/>
      <c r="N185" s="653"/>
      <c r="O185" s="653"/>
    </row>
    <row r="186" spans="1:15" ht="12.75">
      <c r="A186" s="798">
        <v>633</v>
      </c>
      <c r="B186" s="799" t="s">
        <v>470</v>
      </c>
      <c r="C186" s="798" t="s">
        <v>668</v>
      </c>
      <c r="D186" s="2260">
        <v>0</v>
      </c>
      <c r="E186" s="2269">
        <v>0</v>
      </c>
      <c r="F186" s="2708">
        <v>0</v>
      </c>
      <c r="G186" s="2269">
        <v>0</v>
      </c>
      <c r="H186" s="2273">
        <v>0</v>
      </c>
      <c r="I186" s="2940">
        <v>0</v>
      </c>
      <c r="J186" s="1635">
        <v>0</v>
      </c>
      <c r="K186" s="627"/>
      <c r="M186" s="67"/>
      <c r="N186" s="653"/>
      <c r="O186" s="653"/>
    </row>
    <row r="187" spans="1:15" ht="12.75">
      <c r="A187" s="777">
        <v>633</v>
      </c>
      <c r="B187" s="778" t="s">
        <v>499</v>
      </c>
      <c r="C187" s="777" t="s">
        <v>545</v>
      </c>
      <c r="D187" s="1697">
        <v>2755.92</v>
      </c>
      <c r="E187" s="2268">
        <v>3000</v>
      </c>
      <c r="F187" s="2702">
        <v>2000</v>
      </c>
      <c r="G187" s="2268">
        <v>2100</v>
      </c>
      <c r="H187" s="1674">
        <v>2000</v>
      </c>
      <c r="I187" s="2940">
        <v>2000</v>
      </c>
      <c r="J187" s="1524">
        <v>2000</v>
      </c>
      <c r="K187" s="627"/>
      <c r="M187" s="67"/>
      <c r="N187" s="653"/>
      <c r="O187" s="653"/>
    </row>
    <row r="188" spans="1:15" ht="12.75">
      <c r="A188" s="119">
        <v>634</v>
      </c>
      <c r="B188" s="55"/>
      <c r="C188" s="1283" t="s">
        <v>206</v>
      </c>
      <c r="D188" s="1639">
        <f>SUM(D189,D190,D191)</f>
        <v>1627.6200000000001</v>
      </c>
      <c r="E188" s="2237">
        <f>SUM(E189,E190,E191)</f>
        <v>2718</v>
      </c>
      <c r="F188" s="2700">
        <f>SUM(F189,F190,F191)</f>
        <v>2100</v>
      </c>
      <c r="G188" s="2237">
        <f>SUM(G189,G190,G191)</f>
        <v>5600</v>
      </c>
      <c r="H188" s="1656">
        <f>SUM(H189,H190,H191)</f>
        <v>2100</v>
      </c>
      <c r="I188" s="2940">
        <f>SUM(I189,I190,I191)+I192</f>
        <v>2100</v>
      </c>
      <c r="J188" s="1545">
        <f>SUM(J189,J190,J191)+J192</f>
        <v>2100</v>
      </c>
      <c r="K188" s="92"/>
      <c r="M188" s="76"/>
      <c r="N188" s="76"/>
      <c r="O188" s="76"/>
    </row>
    <row r="189" spans="1:15" ht="12.75">
      <c r="A189" s="41">
        <v>634</v>
      </c>
      <c r="B189" s="42" t="s">
        <v>98</v>
      </c>
      <c r="C189" s="1280" t="s">
        <v>530</v>
      </c>
      <c r="D189" s="1697">
        <v>1285.15</v>
      </c>
      <c r="E189" s="2268">
        <v>1500</v>
      </c>
      <c r="F189" s="2702">
        <v>1500</v>
      </c>
      <c r="G189" s="2268">
        <v>1000</v>
      </c>
      <c r="H189" s="1674">
        <v>1500</v>
      </c>
      <c r="I189" s="2940">
        <v>1500</v>
      </c>
      <c r="J189" s="1524">
        <v>1500</v>
      </c>
      <c r="K189" s="627"/>
      <c r="M189" s="76"/>
      <c r="N189" s="653"/>
      <c r="O189" s="653"/>
    </row>
    <row r="190" spans="1:15" ht="12.75">
      <c r="A190" s="41">
        <v>634</v>
      </c>
      <c r="B190" s="42" t="s">
        <v>96</v>
      </c>
      <c r="C190" s="1280" t="s">
        <v>532</v>
      </c>
      <c r="D190" s="1697">
        <v>18</v>
      </c>
      <c r="E190" s="2268">
        <v>18</v>
      </c>
      <c r="F190" s="2702">
        <v>100</v>
      </c>
      <c r="G190" s="2268">
        <v>100</v>
      </c>
      <c r="H190" s="1674">
        <v>100</v>
      </c>
      <c r="I190" s="2940">
        <v>100</v>
      </c>
      <c r="J190" s="1524">
        <v>100</v>
      </c>
      <c r="K190" s="627"/>
      <c r="M190" s="67"/>
      <c r="N190" s="653"/>
      <c r="O190" s="653"/>
    </row>
    <row r="191" spans="1:15" ht="12.75">
      <c r="A191" s="41">
        <v>634</v>
      </c>
      <c r="B191" s="42" t="s">
        <v>100</v>
      </c>
      <c r="C191" s="1280" t="s">
        <v>531</v>
      </c>
      <c r="D191" s="1697">
        <v>324.47</v>
      </c>
      <c r="E191" s="2268">
        <v>1200</v>
      </c>
      <c r="F191" s="2702">
        <v>500</v>
      </c>
      <c r="G191" s="2268">
        <v>4500</v>
      </c>
      <c r="H191" s="1674">
        <v>500</v>
      </c>
      <c r="I191" s="2940">
        <v>500</v>
      </c>
      <c r="J191" s="1524">
        <v>500</v>
      </c>
      <c r="K191" s="627"/>
      <c r="M191" s="76"/>
      <c r="N191" s="653"/>
      <c r="O191" s="653"/>
    </row>
    <row r="192" spans="1:15" ht="12.75">
      <c r="A192" s="65"/>
      <c r="B192" s="87"/>
      <c r="C192" s="1281" t="s">
        <v>850</v>
      </c>
      <c r="D192" s="1697"/>
      <c r="E192" s="2268"/>
      <c r="F192" s="2702"/>
      <c r="G192" s="2268"/>
      <c r="H192" s="1674"/>
      <c r="I192" s="2940"/>
      <c r="J192" s="1524"/>
      <c r="K192" s="627"/>
      <c r="M192" s="76"/>
      <c r="N192" s="653"/>
      <c r="O192" s="653"/>
    </row>
    <row r="193" spans="1:15" ht="12.75">
      <c r="A193" s="86">
        <v>635</v>
      </c>
      <c r="B193" s="87"/>
      <c r="C193" s="1281" t="s">
        <v>300</v>
      </c>
      <c r="D193" s="1639">
        <v>2718.16</v>
      </c>
      <c r="E193" s="2237">
        <v>1000</v>
      </c>
      <c r="F193" s="2700">
        <v>3500</v>
      </c>
      <c r="G193" s="2237">
        <v>2500</v>
      </c>
      <c r="H193" s="1656">
        <v>3500</v>
      </c>
      <c r="I193" s="2940">
        <v>3500</v>
      </c>
      <c r="J193" s="1545">
        <v>3500</v>
      </c>
      <c r="K193" s="92"/>
      <c r="M193" s="76"/>
      <c r="N193" s="67"/>
      <c r="O193" s="67"/>
    </row>
    <row r="194" spans="1:15" ht="12.75">
      <c r="A194" s="34">
        <v>637</v>
      </c>
      <c r="B194" s="42"/>
      <c r="C194" s="1280" t="s">
        <v>894</v>
      </c>
      <c r="D194" s="1639">
        <v>904.26</v>
      </c>
      <c r="E194" s="2237">
        <v>862</v>
      </c>
      <c r="F194" s="2700">
        <v>750</v>
      </c>
      <c r="G194" s="2237">
        <v>5810</v>
      </c>
      <c r="H194" s="1656">
        <v>960</v>
      </c>
      <c r="I194" s="2940">
        <v>960</v>
      </c>
      <c r="J194" s="1545">
        <v>960</v>
      </c>
      <c r="K194" s="92"/>
      <c r="M194" s="67"/>
      <c r="N194" s="67"/>
      <c r="O194" s="67"/>
    </row>
    <row r="195" spans="1:16" ht="12.75">
      <c r="A195" s="34">
        <v>642</v>
      </c>
      <c r="B195" s="42" t="s">
        <v>104</v>
      </c>
      <c r="C195" s="1280" t="s">
        <v>546</v>
      </c>
      <c r="D195" s="1639">
        <v>0</v>
      </c>
      <c r="E195" s="2237">
        <v>0</v>
      </c>
      <c r="F195" s="2700">
        <v>0</v>
      </c>
      <c r="G195" s="2237">
        <v>0</v>
      </c>
      <c r="H195" s="1656">
        <v>0</v>
      </c>
      <c r="I195" s="2940">
        <v>0</v>
      </c>
      <c r="J195" s="1545">
        <v>0</v>
      </c>
      <c r="K195" s="92"/>
      <c r="M195" s="67"/>
      <c r="N195" s="67"/>
      <c r="O195" s="67"/>
      <c r="P195" s="654"/>
    </row>
    <row r="196" spans="1:10" ht="12.75">
      <c r="A196" s="119">
        <v>642</v>
      </c>
      <c r="B196" s="55" t="s">
        <v>499</v>
      </c>
      <c r="C196" s="1284" t="s">
        <v>309</v>
      </c>
      <c r="D196" s="1946">
        <v>345.77</v>
      </c>
      <c r="E196" s="2270">
        <v>0</v>
      </c>
      <c r="F196" s="2709">
        <v>0</v>
      </c>
      <c r="G196" s="2270">
        <v>0</v>
      </c>
      <c r="H196" s="2228">
        <v>0</v>
      </c>
      <c r="I196" s="2936">
        <v>0</v>
      </c>
      <c r="J196" s="1597">
        <v>0</v>
      </c>
    </row>
    <row r="197" spans="1:16" s="17" customFormat="1" ht="12.75" customHeight="1">
      <c r="A197" s="573" t="s">
        <v>547</v>
      </c>
      <c r="B197" s="630"/>
      <c r="C197" s="630"/>
      <c r="D197" s="1694">
        <f>D198+D200+D202+D204+D205+D206+D203</f>
        <v>15031.21</v>
      </c>
      <c r="E197" s="1695">
        <f>E198+E200+E204+E202+E203+E206+E205</f>
        <v>12695</v>
      </c>
      <c r="F197" s="2808">
        <f>F198+F200+F204+F203+F205+F206+F202</f>
        <v>12600</v>
      </c>
      <c r="G197" s="1695">
        <f>G198+G200+G204+G202+G203+G206+G205+G199</f>
        <v>24583</v>
      </c>
      <c r="H197" s="1981">
        <f>H198+H200+H204+H203+H205+H206+H202+H199</f>
        <v>15900</v>
      </c>
      <c r="I197" s="2997">
        <f>I198+I200+I204+I203+I205+I206+I202+I199</f>
        <v>0</v>
      </c>
      <c r="J197" s="1637">
        <f>J198+J200+J204+J203+J205+J206+J202+J199</f>
        <v>0</v>
      </c>
      <c r="K197" s="652"/>
      <c r="L197" s="631"/>
      <c r="M197" s="576"/>
      <c r="N197" s="576"/>
      <c r="O197" s="576"/>
      <c r="P197" s="606"/>
    </row>
    <row r="198" spans="1:15" ht="12.75">
      <c r="A198" s="41">
        <v>610</v>
      </c>
      <c r="B198" s="42"/>
      <c r="C198" s="1244" t="s">
        <v>456</v>
      </c>
      <c r="D198" s="1947">
        <v>7993.08</v>
      </c>
      <c r="E198" s="2267">
        <v>8700</v>
      </c>
      <c r="F198" s="2700">
        <v>8700</v>
      </c>
      <c r="G198" s="2267">
        <v>9720</v>
      </c>
      <c r="H198" s="3081">
        <v>11000</v>
      </c>
      <c r="I198" s="2940"/>
      <c r="J198" s="1545"/>
      <c r="K198" s="92"/>
      <c r="M198" s="76"/>
      <c r="N198" s="67"/>
      <c r="O198" s="67"/>
    </row>
    <row r="199" spans="1:16" s="19" customFormat="1" ht="12.75">
      <c r="A199" s="579">
        <v>610</v>
      </c>
      <c r="B199" s="604"/>
      <c r="C199" s="1246" t="s">
        <v>843</v>
      </c>
      <c r="D199" s="2254">
        <v>2275.75</v>
      </c>
      <c r="E199" s="2271">
        <v>0</v>
      </c>
      <c r="F199" s="2705">
        <v>0</v>
      </c>
      <c r="G199" s="2272">
        <v>8320</v>
      </c>
      <c r="H199" s="2275">
        <v>0</v>
      </c>
      <c r="I199" s="2940"/>
      <c r="J199" s="1581"/>
      <c r="K199" s="619"/>
      <c r="M199" s="657"/>
      <c r="N199" s="572"/>
      <c r="O199" s="668"/>
      <c r="P199" s="16"/>
    </row>
    <row r="200" spans="1:15" ht="12.75" customHeight="1">
      <c r="A200" s="41">
        <v>620</v>
      </c>
      <c r="B200" s="42"/>
      <c r="C200" s="1241" t="s">
        <v>198</v>
      </c>
      <c r="D200" s="1639">
        <v>2707</v>
      </c>
      <c r="E200" s="2237">
        <v>3085</v>
      </c>
      <c r="F200" s="2700">
        <v>2800</v>
      </c>
      <c r="G200" s="2237">
        <v>6233</v>
      </c>
      <c r="H200" s="3081">
        <v>3800</v>
      </c>
      <c r="I200" s="2940"/>
      <c r="J200" s="1545"/>
      <c r="K200" s="92"/>
      <c r="M200" s="67"/>
      <c r="N200" s="67"/>
      <c r="O200" s="67"/>
    </row>
    <row r="201" spans="1:15" ht="12.75" customHeight="1">
      <c r="A201" s="579">
        <v>620</v>
      </c>
      <c r="B201" s="604"/>
      <c r="C201" s="1243" t="s">
        <v>548</v>
      </c>
      <c r="D201" s="2254">
        <v>317.05</v>
      </c>
      <c r="E201" s="2271">
        <v>0</v>
      </c>
      <c r="F201" s="2705">
        <v>0</v>
      </c>
      <c r="G201" s="2271">
        <v>0</v>
      </c>
      <c r="H201" s="2274">
        <v>0</v>
      </c>
      <c r="I201" s="2940"/>
      <c r="J201" s="1563"/>
      <c r="K201" s="619"/>
      <c r="M201" s="657"/>
      <c r="N201" s="572"/>
      <c r="O201" s="668"/>
    </row>
    <row r="202" spans="1:15" ht="12.75" customHeight="1">
      <c r="A202" s="41">
        <v>632</v>
      </c>
      <c r="B202" s="42"/>
      <c r="C202" s="1241" t="s">
        <v>669</v>
      </c>
      <c r="D202" s="1743">
        <v>99</v>
      </c>
      <c r="E202" s="2227">
        <v>110</v>
      </c>
      <c r="F202" s="2701">
        <v>100</v>
      </c>
      <c r="G202" s="2227">
        <v>110</v>
      </c>
      <c r="H202" s="1757">
        <v>100</v>
      </c>
      <c r="I202" s="2940"/>
      <c r="J202" s="1523"/>
      <c r="K202" s="619"/>
      <c r="M202" s="657"/>
      <c r="N202" s="572"/>
      <c r="O202" s="668"/>
    </row>
    <row r="203" spans="1:15" ht="12.75" customHeight="1">
      <c r="A203" s="579">
        <v>633</v>
      </c>
      <c r="B203" s="604"/>
      <c r="C203" s="1243" t="s">
        <v>549</v>
      </c>
      <c r="D203" s="2249">
        <v>3736.99</v>
      </c>
      <c r="E203" s="2272">
        <v>0</v>
      </c>
      <c r="F203" s="2710">
        <v>0</v>
      </c>
      <c r="G203" s="2272">
        <v>0</v>
      </c>
      <c r="H203" s="2275">
        <v>0</v>
      </c>
      <c r="I203" s="2940"/>
      <c r="J203" s="1581"/>
      <c r="K203" s="619"/>
      <c r="M203" s="657"/>
      <c r="N203" s="572"/>
      <c r="O203" s="669"/>
    </row>
    <row r="204" spans="1:15" ht="12.75">
      <c r="A204" s="41">
        <v>633</v>
      </c>
      <c r="B204" s="604"/>
      <c r="C204" s="1241" t="s">
        <v>252</v>
      </c>
      <c r="D204" s="1743">
        <v>495.14</v>
      </c>
      <c r="E204" s="2227">
        <v>800</v>
      </c>
      <c r="F204" s="2701">
        <v>1000</v>
      </c>
      <c r="G204" s="2227">
        <v>200</v>
      </c>
      <c r="H204" s="1757">
        <v>1000</v>
      </c>
      <c r="I204" s="2940"/>
      <c r="J204" s="1523"/>
      <c r="K204" s="92"/>
      <c r="M204" s="67"/>
      <c r="N204" s="67"/>
      <c r="O204" s="67"/>
    </row>
    <row r="205" spans="1:15" ht="12.75">
      <c r="A205" s="41">
        <v>634</v>
      </c>
      <c r="B205" s="42"/>
      <c r="C205" s="1241" t="s">
        <v>206</v>
      </c>
      <c r="D205" s="1639">
        <v>0</v>
      </c>
      <c r="E205" s="2237">
        <v>0</v>
      </c>
      <c r="F205" s="2700">
        <v>0</v>
      </c>
      <c r="G205" s="2237">
        <v>0</v>
      </c>
      <c r="H205" s="1656">
        <v>0</v>
      </c>
      <c r="I205" s="2940"/>
      <c r="J205" s="1545"/>
      <c r="K205" s="92"/>
      <c r="M205" s="67"/>
      <c r="N205" s="67"/>
      <c r="O205" s="67"/>
    </row>
    <row r="206" spans="1:15" ht="13.5" thickBot="1">
      <c r="A206" s="51">
        <v>637</v>
      </c>
      <c r="B206" s="52"/>
      <c r="C206" s="1267" t="s">
        <v>212</v>
      </c>
      <c r="D206" s="1639">
        <v>0</v>
      </c>
      <c r="E206" s="2237">
        <v>0</v>
      </c>
      <c r="F206" s="2711">
        <v>0</v>
      </c>
      <c r="G206" s="2237">
        <v>0</v>
      </c>
      <c r="H206" s="2276">
        <v>0</v>
      </c>
      <c r="I206" s="2950"/>
      <c r="J206" s="1643"/>
      <c r="K206" s="92"/>
      <c r="M206" s="67"/>
      <c r="N206" s="67"/>
      <c r="O206" s="67"/>
    </row>
    <row r="207" spans="1:11" ht="13.5" hidden="1" thickBot="1">
      <c r="A207" s="670"/>
      <c r="B207" s="157"/>
      <c r="C207" s="645"/>
      <c r="D207" s="93"/>
      <c r="E207" s="68"/>
      <c r="F207" s="2712"/>
      <c r="G207" s="68"/>
      <c r="H207" s="2277"/>
      <c r="J207" s="68"/>
      <c r="K207" s="93"/>
    </row>
    <row r="208" spans="1:15" s="157" customFormat="1" ht="11.25">
      <c r="A208" s="656" t="s">
        <v>550</v>
      </c>
      <c r="B208" s="671"/>
      <c r="C208" s="672"/>
      <c r="D208" s="1644">
        <f>SUM(D209:D210)</f>
        <v>277</v>
      </c>
      <c r="E208" s="2151">
        <f aca="true" t="shared" si="13" ref="E208:J208">SUM(E209,E210)</f>
        <v>3500</v>
      </c>
      <c r="F208" s="2809">
        <f t="shared" si="13"/>
        <v>3500</v>
      </c>
      <c r="G208" s="2151">
        <f t="shared" si="13"/>
        <v>502</v>
      </c>
      <c r="H208" s="2278">
        <f t="shared" si="13"/>
        <v>1000</v>
      </c>
      <c r="I208" s="2998">
        <f t="shared" si="13"/>
        <v>1000</v>
      </c>
      <c r="J208" s="1645">
        <f t="shared" si="13"/>
        <v>1000</v>
      </c>
      <c r="K208" s="652"/>
      <c r="L208" s="644"/>
      <c r="M208" s="631"/>
      <c r="N208" s="631"/>
      <c r="O208" s="631"/>
    </row>
    <row r="209" spans="1:15" ht="12.75">
      <c r="A209" s="41">
        <v>637</v>
      </c>
      <c r="B209" s="42"/>
      <c r="C209" s="965" t="s">
        <v>212</v>
      </c>
      <c r="D209" s="1528">
        <v>0</v>
      </c>
      <c r="E209" s="1543">
        <v>0</v>
      </c>
      <c r="F209" s="2700">
        <v>0</v>
      </c>
      <c r="G209" s="1543">
        <v>0</v>
      </c>
      <c r="H209" s="1656">
        <v>0</v>
      </c>
      <c r="I209" s="2940">
        <v>0</v>
      </c>
      <c r="J209" s="1545">
        <v>0</v>
      </c>
      <c r="K209" s="76"/>
      <c r="M209" s="67"/>
      <c r="N209" s="67"/>
      <c r="O209" s="67"/>
    </row>
    <row r="210" spans="1:15" ht="13.5" thickBot="1">
      <c r="A210" s="51">
        <v>637</v>
      </c>
      <c r="B210" s="52" t="s">
        <v>122</v>
      </c>
      <c r="C210" s="1277" t="s">
        <v>327</v>
      </c>
      <c r="D210" s="1626">
        <v>277</v>
      </c>
      <c r="E210" s="2136">
        <v>3500</v>
      </c>
      <c r="F210" s="2713">
        <v>3500</v>
      </c>
      <c r="G210" s="2136">
        <v>502</v>
      </c>
      <c r="H210" s="2279">
        <v>1000</v>
      </c>
      <c r="I210" s="2948">
        <v>1000</v>
      </c>
      <c r="J210" s="1628">
        <v>1000</v>
      </c>
      <c r="K210" s="627"/>
      <c r="M210" s="653"/>
      <c r="N210" s="67"/>
      <c r="O210" s="67"/>
    </row>
    <row r="211" spans="1:10" ht="13.5" hidden="1" thickBot="1">
      <c r="A211" s="670"/>
      <c r="B211" s="157"/>
      <c r="C211" s="645"/>
      <c r="D211" s="93"/>
      <c r="E211" s="18"/>
      <c r="F211" s="2714"/>
      <c r="G211" s="18"/>
      <c r="H211" s="2280"/>
      <c r="J211" s="60"/>
    </row>
    <row r="212" spans="1:15" s="157" customFormat="1" ht="11.25">
      <c r="A212" s="656" t="s">
        <v>551</v>
      </c>
      <c r="B212" s="671"/>
      <c r="C212" s="672"/>
      <c r="D212" s="1644">
        <f>SUM(D213:D215)-D214</f>
        <v>682</v>
      </c>
      <c r="E212" s="2151">
        <f>SUM(E213,E215)</f>
        <v>2500</v>
      </c>
      <c r="F212" s="2809">
        <f>SUM(F213:F215)</f>
        <v>21000</v>
      </c>
      <c r="G212" s="2151">
        <f>SUM(G213,G215)</f>
        <v>3000</v>
      </c>
      <c r="H212" s="2278">
        <f>SUM(H213:H215)</f>
        <v>3000</v>
      </c>
      <c r="I212" s="2998">
        <f>SUM(I213:I215)</f>
        <v>3000</v>
      </c>
      <c r="J212" s="1645">
        <f>SUM(J213:J215)</f>
        <v>3000</v>
      </c>
      <c r="K212" s="652"/>
      <c r="L212" s="644"/>
      <c r="M212" s="576"/>
      <c r="N212" s="576"/>
      <c r="O212" s="576"/>
    </row>
    <row r="213" spans="1:15" ht="12.75">
      <c r="A213" s="41">
        <v>633</v>
      </c>
      <c r="B213" s="42"/>
      <c r="C213" s="965" t="s">
        <v>204</v>
      </c>
      <c r="D213" s="48">
        <v>682</v>
      </c>
      <c r="E213" s="1543">
        <v>0</v>
      </c>
      <c r="F213" s="2700">
        <v>15000</v>
      </c>
      <c r="G213" s="1543">
        <v>3000</v>
      </c>
      <c r="H213" s="1656"/>
      <c r="I213" s="2940"/>
      <c r="J213" s="1545"/>
      <c r="K213" s="76"/>
      <c r="L213" s="62"/>
      <c r="M213" s="67"/>
      <c r="N213" s="67"/>
      <c r="O213" s="67"/>
    </row>
    <row r="214" spans="1:16" s="33" customFormat="1" ht="12.75">
      <c r="A214" s="41">
        <v>633</v>
      </c>
      <c r="B214" s="42" t="s">
        <v>127</v>
      </c>
      <c r="C214" s="965" t="s">
        <v>363</v>
      </c>
      <c r="D214" s="1625">
        <v>682</v>
      </c>
      <c r="E214" s="113">
        <v>0</v>
      </c>
      <c r="F214" s="2700">
        <v>3000</v>
      </c>
      <c r="G214" s="113">
        <v>0</v>
      </c>
      <c r="H214" s="3081">
        <v>3000</v>
      </c>
      <c r="I214" s="2940">
        <v>3000</v>
      </c>
      <c r="J214" s="1545">
        <v>3000</v>
      </c>
      <c r="K214" s="627"/>
      <c r="L214" s="62"/>
      <c r="M214" s="627"/>
      <c r="N214" s="67"/>
      <c r="O214" s="67"/>
      <c r="P214" s="16"/>
    </row>
    <row r="215" spans="1:16" s="33" customFormat="1" ht="13.5" thickBot="1">
      <c r="A215" s="110">
        <v>635</v>
      </c>
      <c r="B215" s="52"/>
      <c r="C215" s="1277" t="s">
        <v>300</v>
      </c>
      <c r="D215" s="53">
        <v>0</v>
      </c>
      <c r="E215" s="2136">
        <v>2500</v>
      </c>
      <c r="F215" s="2713">
        <v>3000</v>
      </c>
      <c r="G215" s="2136">
        <v>0</v>
      </c>
      <c r="H215" s="2279">
        <v>0</v>
      </c>
      <c r="I215" s="2948"/>
      <c r="J215" s="1628"/>
      <c r="K215" s="76"/>
      <c r="L215" s="19"/>
      <c r="M215" s="76"/>
      <c r="N215" s="67"/>
      <c r="O215" s="67"/>
      <c r="P215" s="16"/>
    </row>
    <row r="216" spans="1:16" s="33" customFormat="1" ht="13.5" hidden="1" thickBot="1">
      <c r="A216" s="673"/>
      <c r="B216" s="157"/>
      <c r="C216" s="645"/>
      <c r="D216" s="93"/>
      <c r="E216" s="18"/>
      <c r="F216" s="2712"/>
      <c r="G216" s="18"/>
      <c r="H216" s="2277"/>
      <c r="I216" s="2936"/>
      <c r="J216" s="68"/>
      <c r="K216" s="77"/>
      <c r="L216" s="19"/>
      <c r="M216" s="19"/>
      <c r="N216" s="19"/>
      <c r="O216" s="19"/>
      <c r="P216" s="16"/>
    </row>
    <row r="217" spans="1:15" s="157" customFormat="1" ht="11.25">
      <c r="A217" s="656" t="s">
        <v>552</v>
      </c>
      <c r="B217" s="671"/>
      <c r="C217" s="671"/>
      <c r="D217" s="1646">
        <f>SUM(D218:D219)</f>
        <v>0</v>
      </c>
      <c r="E217" s="2151">
        <f aca="true" t="shared" si="14" ref="E217:J217">SUM(E218)</f>
        <v>0</v>
      </c>
      <c r="F217" s="2809">
        <f t="shared" si="14"/>
        <v>0</v>
      </c>
      <c r="G217" s="2151">
        <f t="shared" si="14"/>
        <v>0</v>
      </c>
      <c r="H217" s="2278">
        <f t="shared" si="14"/>
        <v>0</v>
      </c>
      <c r="I217" s="2951">
        <f t="shared" si="14"/>
        <v>0</v>
      </c>
      <c r="J217" s="1645">
        <f t="shared" si="14"/>
        <v>0</v>
      </c>
      <c r="K217" s="652"/>
      <c r="L217" s="644"/>
      <c r="M217" s="631"/>
      <c r="N217" s="631"/>
      <c r="O217" s="631"/>
    </row>
    <row r="218" spans="1:15" ht="12.75">
      <c r="A218" s="41">
        <v>637</v>
      </c>
      <c r="B218" s="42"/>
      <c r="C218" s="1241" t="s">
        <v>212</v>
      </c>
      <c r="D218" s="1553">
        <v>0</v>
      </c>
      <c r="E218" s="1543">
        <v>0</v>
      </c>
      <c r="F218" s="2700">
        <v>0</v>
      </c>
      <c r="G218" s="1543">
        <v>0</v>
      </c>
      <c r="H218" s="1656">
        <v>0</v>
      </c>
      <c r="I218" s="2940">
        <v>0</v>
      </c>
      <c r="J218" s="1545">
        <v>0</v>
      </c>
      <c r="K218" s="76"/>
      <c r="M218" s="67"/>
      <c r="N218" s="67"/>
      <c r="O218" s="67"/>
    </row>
    <row r="219" spans="1:15" ht="12.75">
      <c r="A219" s="41">
        <v>637</v>
      </c>
      <c r="B219" s="42" t="s">
        <v>122</v>
      </c>
      <c r="C219" s="1241" t="s">
        <v>327</v>
      </c>
      <c r="D219" s="1553">
        <v>0</v>
      </c>
      <c r="E219" s="1543">
        <v>0</v>
      </c>
      <c r="F219" s="2700">
        <v>0</v>
      </c>
      <c r="G219" s="1543">
        <v>0</v>
      </c>
      <c r="H219" s="1656">
        <v>0</v>
      </c>
      <c r="I219" s="2940">
        <v>0</v>
      </c>
      <c r="J219" s="1545">
        <v>0</v>
      </c>
      <c r="K219" s="627"/>
      <c r="M219" s="653"/>
      <c r="N219" s="67"/>
      <c r="O219" s="67"/>
    </row>
    <row r="220" spans="1:16" ht="13.5" thickBot="1">
      <c r="A220" s="634" t="s">
        <v>553</v>
      </c>
      <c r="B220" s="635"/>
      <c r="C220" s="636" t="s">
        <v>554</v>
      </c>
      <c r="D220" s="1647">
        <f>SUM(D177,D197,D208,D212,D217)</f>
        <v>101165.84</v>
      </c>
      <c r="E220" s="1648">
        <f>E177+E197+E208+E212+E217</f>
        <v>129925</v>
      </c>
      <c r="F220" s="2821">
        <f>F177+F197+F208+F212+F217</f>
        <v>149250</v>
      </c>
      <c r="G220" s="1648">
        <f>G177+G197+G208+G212+G217</f>
        <v>138665</v>
      </c>
      <c r="H220" s="1688">
        <f>H177+H197+H208+H212+H217</f>
        <v>135660</v>
      </c>
      <c r="I220" s="2999">
        <f>I217+I212+I208+I197+I177</f>
        <v>121890</v>
      </c>
      <c r="J220" s="1526">
        <f>J177+J197+J208+J212+J217</f>
        <v>121890</v>
      </c>
      <c r="K220" s="93"/>
      <c r="L220" s="645"/>
      <c r="M220" s="576"/>
      <c r="N220" s="576"/>
      <c r="O220" s="576"/>
      <c r="P220" s="654"/>
    </row>
    <row r="221" spans="1:11" ht="12.75">
      <c r="A221" s="648"/>
      <c r="B221" s="67"/>
      <c r="C221" s="149"/>
      <c r="D221" s="149"/>
      <c r="E221" s="649"/>
      <c r="F221" s="2699"/>
      <c r="G221" s="649"/>
      <c r="H221" s="649"/>
      <c r="I221" s="2947"/>
      <c r="J221" s="650"/>
      <c r="K221" s="156"/>
    </row>
    <row r="222" spans="1:11" ht="12.75" hidden="1">
      <c r="A222" s="648"/>
      <c r="B222" s="67"/>
      <c r="C222" s="149"/>
      <c r="D222" s="149"/>
      <c r="E222" s="649"/>
      <c r="F222" s="2699"/>
      <c r="G222" s="649"/>
      <c r="H222" s="649"/>
      <c r="I222" s="2947"/>
      <c r="J222" s="650"/>
      <c r="K222" s="156"/>
    </row>
    <row r="223" spans="1:11" ht="12.75">
      <c r="A223" s="648"/>
      <c r="B223" s="67"/>
      <c r="C223" s="149"/>
      <c r="D223" s="149"/>
      <c r="E223" s="649"/>
      <c r="F223" s="2699"/>
      <c r="G223" s="649"/>
      <c r="H223" s="649"/>
      <c r="I223" s="2947"/>
      <c r="J223" s="650"/>
      <c r="K223" s="156"/>
    </row>
    <row r="224" spans="1:15" ht="13.5" thickBot="1">
      <c r="A224" s="648"/>
      <c r="B224" s="67"/>
      <c r="C224" s="149"/>
      <c r="D224" s="149"/>
      <c r="E224" s="649"/>
      <c r="F224" s="2707"/>
      <c r="G224" s="649"/>
      <c r="H224" s="3238" t="s">
        <v>555</v>
      </c>
      <c r="I224" s="3238"/>
      <c r="J224" s="3238" t="s">
        <v>555</v>
      </c>
      <c r="K224" s="140"/>
      <c r="L224" s="140"/>
      <c r="M224" s="140"/>
      <c r="N224" s="140"/>
      <c r="O224" s="140"/>
    </row>
    <row r="225" spans="1:11" ht="13.5" hidden="1" thickBot="1">
      <c r="A225" s="648"/>
      <c r="B225" s="67"/>
      <c r="C225" s="149"/>
      <c r="D225" s="149"/>
      <c r="E225" s="649"/>
      <c r="F225" s="2699"/>
      <c r="G225" s="649"/>
      <c r="H225" s="649"/>
      <c r="I225" s="2947"/>
      <c r="J225" s="650"/>
      <c r="K225" s="156"/>
    </row>
    <row r="226" spans="1:15" s="642" customFormat="1" ht="18.75" customHeight="1">
      <c r="A226" s="567" t="s">
        <v>447</v>
      </c>
      <c r="B226" s="568"/>
      <c r="C226" s="569"/>
      <c r="D226" s="569">
        <v>2017</v>
      </c>
      <c r="E226" s="2636">
        <v>2018</v>
      </c>
      <c r="F226" s="2801">
        <v>2019</v>
      </c>
      <c r="G226" s="2636" t="s">
        <v>881</v>
      </c>
      <c r="H226" s="2637">
        <v>2020</v>
      </c>
      <c r="I226" s="3041" t="s">
        <v>882</v>
      </c>
      <c r="J226" s="3042">
        <v>2022</v>
      </c>
      <c r="K226" s="639"/>
      <c r="L226" s="640"/>
      <c r="M226" s="641"/>
      <c r="N226" s="570"/>
      <c r="O226" s="571"/>
    </row>
    <row r="227" spans="1:15" s="157" customFormat="1" ht="11.25">
      <c r="A227" s="779" t="s">
        <v>556</v>
      </c>
      <c r="B227" s="674"/>
      <c r="C227" s="674"/>
      <c r="D227" s="1649">
        <f>SUM(D233,D234,D238,D239,D240,D241)+D228+D230+D232+D235+D236+D237+D243-D235-D236</f>
        <v>125132.07999999997</v>
      </c>
      <c r="E227" s="1590">
        <f aca="true" t="shared" si="15" ref="E227:J227">SUM(E233,E234,E238,E239,E240,E241)+E228+E230+E232+E243+E237</f>
        <v>118520</v>
      </c>
      <c r="F227" s="2806">
        <f t="shared" si="15"/>
        <v>126000</v>
      </c>
      <c r="G227" s="1590">
        <f t="shared" si="15"/>
        <v>140130</v>
      </c>
      <c r="H227" s="1650">
        <f t="shared" si="15"/>
        <v>140860</v>
      </c>
      <c r="I227" s="2994">
        <f t="shared" si="15"/>
        <v>139685</v>
      </c>
      <c r="J227" s="1651">
        <f t="shared" si="15"/>
        <v>139685</v>
      </c>
      <c r="K227" s="652"/>
      <c r="L227" s="631"/>
      <c r="M227" s="576"/>
      <c r="N227" s="576"/>
      <c r="O227" s="576"/>
    </row>
    <row r="228" spans="1:15" s="157" customFormat="1" ht="11.25">
      <c r="A228" s="780">
        <v>610</v>
      </c>
      <c r="B228" s="775"/>
      <c r="C228" s="1254" t="s">
        <v>670</v>
      </c>
      <c r="D228" s="2261">
        <v>27847</v>
      </c>
      <c r="E228" s="2261">
        <v>23800</v>
      </c>
      <c r="F228" s="2715">
        <v>25000</v>
      </c>
      <c r="G228" s="2261">
        <v>26200</v>
      </c>
      <c r="H228" s="1652">
        <v>30400</v>
      </c>
      <c r="I228" s="2952">
        <v>31500</v>
      </c>
      <c r="J228" s="1653">
        <v>31500</v>
      </c>
      <c r="K228" s="652"/>
      <c r="L228" s="631"/>
      <c r="M228" s="576"/>
      <c r="N228" s="576"/>
      <c r="O228" s="576"/>
    </row>
    <row r="229" spans="1:15" s="157" customFormat="1" ht="11.25">
      <c r="A229" s="781">
        <v>610</v>
      </c>
      <c r="B229" s="776"/>
      <c r="C229" s="1273" t="s">
        <v>671</v>
      </c>
      <c r="D229" s="2262">
        <v>7353.96</v>
      </c>
      <c r="E229" s="2262">
        <v>0</v>
      </c>
      <c r="F229" s="2716">
        <v>0</v>
      </c>
      <c r="G229" s="2262">
        <v>0</v>
      </c>
      <c r="H229" s="1654">
        <v>0</v>
      </c>
      <c r="I229" s="2952">
        <v>0</v>
      </c>
      <c r="J229" s="1655">
        <v>0</v>
      </c>
      <c r="K229" s="652"/>
      <c r="L229" s="631"/>
      <c r="M229" s="576"/>
      <c r="N229" s="576"/>
      <c r="O229" s="576"/>
    </row>
    <row r="230" spans="1:15" s="157" customFormat="1" ht="11.25">
      <c r="A230" s="780">
        <v>620</v>
      </c>
      <c r="B230" s="775"/>
      <c r="C230" s="1254" t="s">
        <v>672</v>
      </c>
      <c r="D230" s="1804">
        <v>6371.6</v>
      </c>
      <c r="E230" s="1804">
        <v>8250</v>
      </c>
      <c r="F230" s="2715">
        <v>8500</v>
      </c>
      <c r="G230" s="1804">
        <v>9610</v>
      </c>
      <c r="H230" s="1652">
        <v>10710</v>
      </c>
      <c r="I230" s="2952">
        <v>11435</v>
      </c>
      <c r="J230" s="1653">
        <v>11435</v>
      </c>
      <c r="K230" s="652"/>
      <c r="L230" s="631"/>
      <c r="M230" s="576"/>
      <c r="N230" s="576"/>
      <c r="O230" s="576"/>
    </row>
    <row r="231" spans="1:15" s="157" customFormat="1" ht="11.25">
      <c r="A231" s="781">
        <v>620</v>
      </c>
      <c r="B231" s="776"/>
      <c r="C231" s="1273" t="s">
        <v>671</v>
      </c>
      <c r="D231" s="2262">
        <v>0</v>
      </c>
      <c r="E231" s="2262">
        <v>0</v>
      </c>
      <c r="F231" s="2716">
        <v>0</v>
      </c>
      <c r="G231" s="2262">
        <v>0</v>
      </c>
      <c r="H231" s="1654">
        <v>0</v>
      </c>
      <c r="I231" s="2952">
        <v>0</v>
      </c>
      <c r="J231" s="1655">
        <v>0</v>
      </c>
      <c r="K231" s="652"/>
      <c r="L231" s="631"/>
      <c r="M231" s="576"/>
      <c r="N231" s="576"/>
      <c r="O231" s="576"/>
    </row>
    <row r="232" spans="1:15" s="157" customFormat="1" ht="11.25">
      <c r="A232" s="780">
        <v>632</v>
      </c>
      <c r="B232" s="775"/>
      <c r="C232" s="1254" t="s">
        <v>669</v>
      </c>
      <c r="D232" s="1804">
        <v>780</v>
      </c>
      <c r="E232" s="1804">
        <v>450</v>
      </c>
      <c r="F232" s="2715">
        <v>500</v>
      </c>
      <c r="G232" s="1804">
        <v>510</v>
      </c>
      <c r="H232" s="1652">
        <v>550</v>
      </c>
      <c r="I232" s="2952">
        <v>550</v>
      </c>
      <c r="J232" s="1653">
        <v>550</v>
      </c>
      <c r="K232" s="652"/>
      <c r="L232" s="631"/>
      <c r="M232" s="576"/>
      <c r="N232" s="576"/>
      <c r="O232" s="576"/>
    </row>
    <row r="233" spans="1:16" s="19" customFormat="1" ht="12.75">
      <c r="A233" s="782">
        <v>633</v>
      </c>
      <c r="B233" s="42"/>
      <c r="C233" s="1241" t="s">
        <v>204</v>
      </c>
      <c r="D233" s="1639">
        <v>2824.05</v>
      </c>
      <c r="E233" s="1671">
        <v>2000</v>
      </c>
      <c r="F233" s="2700">
        <v>2000</v>
      </c>
      <c r="G233" s="1671">
        <v>3450</v>
      </c>
      <c r="H233" s="1656">
        <v>5500</v>
      </c>
      <c r="I233" s="2953">
        <v>2500</v>
      </c>
      <c r="J233" s="1657">
        <v>2500</v>
      </c>
      <c r="K233" s="76" t="s">
        <v>906</v>
      </c>
      <c r="M233" s="67"/>
      <c r="N233" s="67"/>
      <c r="O233" s="67"/>
      <c r="P233" s="16"/>
    </row>
    <row r="234" spans="1:16" s="33" customFormat="1" ht="12.75">
      <c r="A234" s="782">
        <v>634</v>
      </c>
      <c r="B234" s="42"/>
      <c r="C234" s="1241" t="s">
        <v>206</v>
      </c>
      <c r="D234" s="1639">
        <f>SUM(D235:D236)</f>
        <v>7938.01</v>
      </c>
      <c r="E234" s="1671">
        <f aca="true" t="shared" si="16" ref="E234:J234">E235+E236</f>
        <v>8000</v>
      </c>
      <c r="F234" s="2700">
        <f t="shared" si="16"/>
        <v>7500</v>
      </c>
      <c r="G234" s="1671">
        <f t="shared" si="16"/>
        <v>12000</v>
      </c>
      <c r="H234" s="1656">
        <f t="shared" si="16"/>
        <v>8000</v>
      </c>
      <c r="I234" s="2953">
        <f t="shared" si="16"/>
        <v>8000</v>
      </c>
      <c r="J234" s="1657">
        <f t="shared" si="16"/>
        <v>8000</v>
      </c>
      <c r="K234" s="76"/>
      <c r="L234" s="19"/>
      <c r="M234" s="67"/>
      <c r="N234" s="67"/>
      <c r="O234" s="67"/>
      <c r="P234" s="16"/>
    </row>
    <row r="235" spans="1:15" ht="12.75">
      <c r="A235" s="782">
        <v>634</v>
      </c>
      <c r="B235" s="42" t="s">
        <v>98</v>
      </c>
      <c r="C235" s="1241" t="s">
        <v>557</v>
      </c>
      <c r="D235" s="1697">
        <v>5817.9</v>
      </c>
      <c r="E235" s="1941">
        <v>6000</v>
      </c>
      <c r="F235" s="2702">
        <v>6000</v>
      </c>
      <c r="G235" s="1941">
        <v>4500</v>
      </c>
      <c r="H235" s="1674">
        <v>6000</v>
      </c>
      <c r="I235" s="2953">
        <v>6000</v>
      </c>
      <c r="J235" s="1675">
        <v>6000</v>
      </c>
      <c r="K235" s="627"/>
      <c r="M235" s="653"/>
      <c r="N235" s="67"/>
      <c r="O235" s="67"/>
    </row>
    <row r="236" spans="1:15" ht="12.75">
      <c r="A236" s="782">
        <v>634</v>
      </c>
      <c r="B236" s="42" t="s">
        <v>100</v>
      </c>
      <c r="C236" s="1241" t="s">
        <v>531</v>
      </c>
      <c r="D236" s="1697">
        <v>2120.11</v>
      </c>
      <c r="E236" s="1941">
        <v>2000</v>
      </c>
      <c r="F236" s="2702">
        <v>1500</v>
      </c>
      <c r="G236" s="1941">
        <v>7500</v>
      </c>
      <c r="H236" s="1674">
        <v>2000</v>
      </c>
      <c r="I236" s="2953">
        <v>2000</v>
      </c>
      <c r="J236" s="1675">
        <v>2000</v>
      </c>
      <c r="K236" s="627"/>
      <c r="M236" s="653"/>
      <c r="N236" s="67"/>
      <c r="O236" s="67"/>
    </row>
    <row r="237" spans="1:15" ht="12.75">
      <c r="A237" s="782">
        <v>634</v>
      </c>
      <c r="B237" s="42" t="s">
        <v>113</v>
      </c>
      <c r="C237" s="1241" t="s">
        <v>481</v>
      </c>
      <c r="D237" s="1743">
        <v>1273.02</v>
      </c>
      <c r="E237" s="1938">
        <v>1200</v>
      </c>
      <c r="F237" s="2701">
        <v>1500</v>
      </c>
      <c r="G237" s="1938">
        <v>1360</v>
      </c>
      <c r="H237" s="1757">
        <v>1500</v>
      </c>
      <c r="I237" s="2953">
        <v>1500</v>
      </c>
      <c r="J237" s="1758">
        <v>1500</v>
      </c>
      <c r="K237" s="627"/>
      <c r="M237" s="653"/>
      <c r="N237" s="67"/>
      <c r="O237" s="67"/>
    </row>
    <row r="238" spans="1:15" ht="12.75">
      <c r="A238" s="782">
        <v>635</v>
      </c>
      <c r="B238" s="42"/>
      <c r="C238" s="1241" t="s">
        <v>300</v>
      </c>
      <c r="D238" s="1639">
        <v>729.81</v>
      </c>
      <c r="E238" s="1671">
        <v>1800</v>
      </c>
      <c r="F238" s="2700">
        <v>1000</v>
      </c>
      <c r="G238" s="1671">
        <v>0</v>
      </c>
      <c r="H238" s="1656">
        <v>1000</v>
      </c>
      <c r="I238" s="2953">
        <v>1000</v>
      </c>
      <c r="J238" s="1657">
        <v>1000</v>
      </c>
      <c r="K238" s="76"/>
      <c r="M238" s="647"/>
      <c r="N238" s="67"/>
      <c r="O238" s="67"/>
    </row>
    <row r="239" spans="1:15" ht="12.75">
      <c r="A239" s="782">
        <v>636</v>
      </c>
      <c r="B239" s="42"/>
      <c r="C239" s="1241" t="s">
        <v>558</v>
      </c>
      <c r="D239" s="1639">
        <v>0</v>
      </c>
      <c r="E239" s="1671">
        <v>0</v>
      </c>
      <c r="F239" s="2700">
        <v>0</v>
      </c>
      <c r="G239" s="1671">
        <v>0</v>
      </c>
      <c r="H239" s="1656">
        <v>0</v>
      </c>
      <c r="I239" s="2953">
        <v>0</v>
      </c>
      <c r="J239" s="1657">
        <v>0</v>
      </c>
      <c r="K239" s="76"/>
      <c r="M239" s="67"/>
      <c r="N239" s="67"/>
      <c r="O239" s="67"/>
    </row>
    <row r="240" spans="1:15" ht="12.75">
      <c r="A240" s="783">
        <v>637</v>
      </c>
      <c r="B240" s="87"/>
      <c r="C240" s="1274" t="s">
        <v>212</v>
      </c>
      <c r="D240" s="1639">
        <v>77368.59</v>
      </c>
      <c r="E240" s="1671">
        <v>70800</v>
      </c>
      <c r="F240" s="2717">
        <v>75000</v>
      </c>
      <c r="G240" s="1671">
        <v>74000</v>
      </c>
      <c r="H240" s="1658">
        <v>78200</v>
      </c>
      <c r="I240" s="2954">
        <v>78200</v>
      </c>
      <c r="J240" s="1659">
        <v>78200</v>
      </c>
      <c r="K240" s="92"/>
      <c r="M240" s="76"/>
      <c r="N240" s="67"/>
      <c r="O240" s="67"/>
    </row>
    <row r="241" spans="1:15" ht="12.75">
      <c r="A241" s="784">
        <v>637</v>
      </c>
      <c r="B241" s="778"/>
      <c r="C241" s="1270" t="s">
        <v>559</v>
      </c>
      <c r="D241" s="1639">
        <v>0</v>
      </c>
      <c r="E241" s="1671">
        <v>2220</v>
      </c>
      <c r="F241" s="2718">
        <v>5000</v>
      </c>
      <c r="G241" s="1671">
        <v>13000</v>
      </c>
      <c r="H241" s="1662">
        <v>5000</v>
      </c>
      <c r="I241" s="2955">
        <v>5000</v>
      </c>
      <c r="J241" s="1663">
        <v>5000</v>
      </c>
      <c r="K241" s="92"/>
      <c r="M241" s="76"/>
      <c r="N241" s="618"/>
      <c r="O241" s="67"/>
    </row>
    <row r="242" spans="1:11" ht="12.75" hidden="1">
      <c r="A242" s="785"/>
      <c r="B242" s="19"/>
      <c r="C242" s="1275"/>
      <c r="D242" s="2263"/>
      <c r="E242" s="2263"/>
      <c r="F242" s="2719"/>
      <c r="G242" s="2263"/>
      <c r="H242" s="1664"/>
      <c r="I242" s="2947"/>
      <c r="J242" s="1665"/>
      <c r="K242" s="675"/>
    </row>
    <row r="243" spans="1:11" ht="13.5" thickBot="1">
      <c r="A243" s="786">
        <v>637</v>
      </c>
      <c r="B243" s="787">
        <v>642</v>
      </c>
      <c r="C243" s="1276" t="s">
        <v>705</v>
      </c>
      <c r="D243" s="1938">
        <v>0</v>
      </c>
      <c r="E243" s="2265">
        <v>0</v>
      </c>
      <c r="F243" s="2720">
        <v>0</v>
      </c>
      <c r="G243" s="2265">
        <v>0</v>
      </c>
      <c r="H243" s="1666">
        <v>0</v>
      </c>
      <c r="I243" s="2956">
        <v>0</v>
      </c>
      <c r="J243" s="1667">
        <v>0</v>
      </c>
      <c r="K243" s="675"/>
    </row>
    <row r="244" spans="1:11" ht="13.5" hidden="1" thickBot="1">
      <c r="A244" s="67"/>
      <c r="B244" s="67"/>
      <c r="C244" s="67"/>
      <c r="D244" s="76"/>
      <c r="E244" s="92"/>
      <c r="F244" s="2080"/>
      <c r="G244" s="92"/>
      <c r="H244" s="92"/>
      <c r="I244" s="2947"/>
      <c r="J244" s="92"/>
      <c r="K244" s="675"/>
    </row>
    <row r="245" spans="1:15" s="157" customFormat="1" ht="11.25">
      <c r="A245" s="788" t="s">
        <v>560</v>
      </c>
      <c r="B245" s="789"/>
      <c r="C245" s="789"/>
      <c r="D245" s="1668">
        <f>D246+D247+D248+D250+D251+D255+D256+D258+D254</f>
        <v>31595.5</v>
      </c>
      <c r="E245" s="1714">
        <f>SUM(E246,E247,E248,E250,E251,E256,E258,E255)+E254</f>
        <v>39885</v>
      </c>
      <c r="F245" s="2807">
        <f>SUM(F246,F247,F248,F250,F251,F256,F255)+F254+F258</f>
        <v>33600</v>
      </c>
      <c r="G245" s="1714">
        <f>SUM(G246,G247,G248,G250,G251,G256,G258,G255)+G254+G257</f>
        <v>60774</v>
      </c>
      <c r="H245" s="1669">
        <f>SUM(H246,H247,H248,H250,H251,H256,H258,H255)+H254+H257</f>
        <v>74450</v>
      </c>
      <c r="I245" s="3000">
        <f>SUM(I246,I247,I248,I250,I251,I256,I258,I255)+I254+I257</f>
        <v>27305</v>
      </c>
      <c r="J245" s="1670">
        <f>SUM(J246,J247,J248,J250,J251,J256,J258,J255)+J254+J257</f>
        <v>22805</v>
      </c>
      <c r="K245" s="652"/>
      <c r="L245" s="631"/>
      <c r="M245" s="576"/>
      <c r="N245" s="576"/>
      <c r="O245" s="576"/>
    </row>
    <row r="246" spans="1:16" s="19" customFormat="1" ht="12.75">
      <c r="A246" s="790">
        <v>610</v>
      </c>
      <c r="B246" s="35"/>
      <c r="C246" s="1241" t="s">
        <v>456</v>
      </c>
      <c r="D246" s="1947">
        <v>8498.49</v>
      </c>
      <c r="E246" s="1948">
        <v>9800</v>
      </c>
      <c r="F246" s="2700">
        <v>10000</v>
      </c>
      <c r="G246" s="1948">
        <v>10600</v>
      </c>
      <c r="H246" s="1656">
        <v>11700</v>
      </c>
      <c r="I246" s="2940"/>
      <c r="J246" s="1657"/>
      <c r="K246" s="92"/>
      <c r="L246" s="62"/>
      <c r="M246" s="76"/>
      <c r="N246" s="67"/>
      <c r="O246" s="67"/>
      <c r="P246" s="16"/>
    </row>
    <row r="247" spans="1:16" s="33" customFormat="1" ht="12.75">
      <c r="A247" s="791">
        <v>620</v>
      </c>
      <c r="B247" s="66"/>
      <c r="C247" s="1269" t="s">
        <v>198</v>
      </c>
      <c r="D247" s="1639">
        <v>3086.12</v>
      </c>
      <c r="E247" s="1671">
        <v>3255</v>
      </c>
      <c r="F247" s="2700">
        <v>3500</v>
      </c>
      <c r="G247" s="1671">
        <v>3690</v>
      </c>
      <c r="H247" s="1656">
        <v>4145</v>
      </c>
      <c r="I247" s="2940"/>
      <c r="J247" s="1657"/>
      <c r="K247" s="92"/>
      <c r="L247" s="62"/>
      <c r="M247" s="76"/>
      <c r="N247" s="67"/>
      <c r="O247" s="67"/>
      <c r="P247" s="16"/>
    </row>
    <row r="248" spans="1:16" s="33" customFormat="1" ht="12.75">
      <c r="A248" s="777">
        <v>632</v>
      </c>
      <c r="B248" s="794"/>
      <c r="C248" s="1270" t="s">
        <v>202</v>
      </c>
      <c r="D248" s="1639">
        <v>4262.33</v>
      </c>
      <c r="E248" s="1671">
        <v>5800</v>
      </c>
      <c r="F248" s="2700">
        <v>7500</v>
      </c>
      <c r="G248" s="1671">
        <v>10076</v>
      </c>
      <c r="H248" s="1656">
        <v>18600</v>
      </c>
      <c r="I248" s="2940">
        <v>7500</v>
      </c>
      <c r="J248" s="1657">
        <v>3000</v>
      </c>
      <c r="K248" s="92"/>
      <c r="L248" s="62"/>
      <c r="M248" s="76"/>
      <c r="N248" s="67"/>
      <c r="O248" s="67"/>
      <c r="P248" s="16"/>
    </row>
    <row r="249" spans="1:16" s="33" customFormat="1" ht="12.75" hidden="1">
      <c r="A249" s="970"/>
      <c r="B249" s="971"/>
      <c r="C249" s="1271"/>
      <c r="D249" s="2248"/>
      <c r="E249" s="2264"/>
      <c r="F249" s="2721"/>
      <c r="G249" s="2264"/>
      <c r="H249" s="1672"/>
      <c r="I249" s="2957"/>
      <c r="J249" s="1673"/>
      <c r="K249" s="92"/>
      <c r="L249" s="62"/>
      <c r="M249" s="76"/>
      <c r="N249" s="67"/>
      <c r="O249" s="67"/>
      <c r="P249" s="16"/>
    </row>
    <row r="250" spans="1:16" s="33" customFormat="1" ht="12.75">
      <c r="A250" s="793">
        <v>633</v>
      </c>
      <c r="B250" s="679"/>
      <c r="C250" s="1272" t="s">
        <v>204</v>
      </c>
      <c r="D250" s="1639">
        <v>2453.92</v>
      </c>
      <c r="E250" s="1671">
        <v>1510</v>
      </c>
      <c r="F250" s="2700">
        <v>1000</v>
      </c>
      <c r="G250" s="1671">
        <v>3178</v>
      </c>
      <c r="H250" s="1656">
        <v>1000</v>
      </c>
      <c r="I250" s="2940">
        <v>1000</v>
      </c>
      <c r="J250" s="1657">
        <v>1000</v>
      </c>
      <c r="K250" s="92"/>
      <c r="L250" s="62"/>
      <c r="M250" s="67"/>
      <c r="N250" s="67"/>
      <c r="O250" s="67"/>
      <c r="P250" s="16"/>
    </row>
    <row r="251" spans="1:16" s="33" customFormat="1" ht="12.75">
      <c r="A251" s="790">
        <v>634</v>
      </c>
      <c r="B251" s="677"/>
      <c r="C251" s="1241" t="s">
        <v>561</v>
      </c>
      <c r="D251" s="1639">
        <f>SUM(D252,D253)</f>
        <v>9212.6</v>
      </c>
      <c r="E251" s="1671">
        <f aca="true" t="shared" si="17" ref="E251:J251">E252+E253</f>
        <v>12700</v>
      </c>
      <c r="F251" s="2700">
        <f t="shared" si="17"/>
        <v>7000</v>
      </c>
      <c r="G251" s="1671">
        <f t="shared" si="17"/>
        <v>10885</v>
      </c>
      <c r="H251" s="1656">
        <f t="shared" si="17"/>
        <v>7000</v>
      </c>
      <c r="I251" s="2940">
        <f t="shared" si="17"/>
        <v>7000</v>
      </c>
      <c r="J251" s="1657">
        <f t="shared" si="17"/>
        <v>7000</v>
      </c>
      <c r="K251" s="92"/>
      <c r="L251" s="62"/>
      <c r="M251" s="76"/>
      <c r="N251" s="67"/>
      <c r="O251" s="67"/>
      <c r="P251" s="16"/>
    </row>
    <row r="252" spans="1:16" s="33" customFormat="1" ht="12.75">
      <c r="A252" s="790">
        <v>634</v>
      </c>
      <c r="B252" s="677" t="s">
        <v>98</v>
      </c>
      <c r="C252" s="1241" t="s">
        <v>530</v>
      </c>
      <c r="D252" s="1697">
        <v>3856.32</v>
      </c>
      <c r="E252" s="1941">
        <v>4200</v>
      </c>
      <c r="F252" s="2702">
        <v>4000</v>
      </c>
      <c r="G252" s="1941">
        <v>4885</v>
      </c>
      <c r="H252" s="1674">
        <v>4000</v>
      </c>
      <c r="I252" s="2940">
        <v>4000</v>
      </c>
      <c r="J252" s="1675">
        <v>4000</v>
      </c>
      <c r="K252" s="92"/>
      <c r="L252" s="62"/>
      <c r="M252" s="76"/>
      <c r="N252" s="67"/>
      <c r="O252" s="67"/>
      <c r="P252" s="16"/>
    </row>
    <row r="253" spans="1:16" s="33" customFormat="1" ht="12.75">
      <c r="A253" s="791">
        <v>634</v>
      </c>
      <c r="B253" s="676" t="s">
        <v>100</v>
      </c>
      <c r="C253" s="1269" t="s">
        <v>562</v>
      </c>
      <c r="D253" s="1697">
        <v>5356.28</v>
      </c>
      <c r="E253" s="1941">
        <v>8500</v>
      </c>
      <c r="F253" s="2722">
        <v>3000</v>
      </c>
      <c r="G253" s="1941">
        <v>6000</v>
      </c>
      <c r="H253" s="1676">
        <v>3000</v>
      </c>
      <c r="I253" s="2958">
        <v>3000</v>
      </c>
      <c r="J253" s="1677">
        <v>3000</v>
      </c>
      <c r="K253" s="92"/>
      <c r="L253" s="62"/>
      <c r="M253" s="76"/>
      <c r="N253" s="67"/>
      <c r="O253" s="67"/>
      <c r="P253" s="16"/>
    </row>
    <row r="254" spans="1:16" s="33" customFormat="1" ht="12.75">
      <c r="A254" s="791">
        <v>634</v>
      </c>
      <c r="B254" s="676" t="s">
        <v>96</v>
      </c>
      <c r="C254" s="1269" t="s">
        <v>673</v>
      </c>
      <c r="D254" s="1743">
        <v>72</v>
      </c>
      <c r="E254" s="1938">
        <v>100</v>
      </c>
      <c r="F254" s="2723">
        <v>100</v>
      </c>
      <c r="G254" s="1938">
        <v>305</v>
      </c>
      <c r="H254" s="1678">
        <v>305</v>
      </c>
      <c r="I254" s="2958">
        <v>305</v>
      </c>
      <c r="J254" s="1677">
        <v>305</v>
      </c>
      <c r="K254" s="92"/>
      <c r="L254" s="62"/>
      <c r="M254" s="76"/>
      <c r="N254" s="67"/>
      <c r="O254" s="67"/>
      <c r="P254" s="16"/>
    </row>
    <row r="255" spans="1:16" s="33" customFormat="1" ht="12.75">
      <c r="A255" s="791">
        <v>635</v>
      </c>
      <c r="B255" s="676"/>
      <c r="C255" s="1269" t="s">
        <v>563</v>
      </c>
      <c r="D255" s="1743">
        <v>0</v>
      </c>
      <c r="E255" s="1938">
        <v>500</v>
      </c>
      <c r="F255" s="2723">
        <v>500</v>
      </c>
      <c r="G255" s="1938">
        <v>500</v>
      </c>
      <c r="H255" s="1678">
        <v>500</v>
      </c>
      <c r="I255" s="2958">
        <v>500</v>
      </c>
      <c r="J255" s="1679">
        <v>500</v>
      </c>
      <c r="K255" s="92"/>
      <c r="L255" s="62"/>
      <c r="M255" s="76"/>
      <c r="N255" s="67"/>
      <c r="O255" s="67"/>
      <c r="P255" s="16"/>
    </row>
    <row r="256" spans="1:16" s="33" customFormat="1" ht="12.75">
      <c r="A256" s="790">
        <v>637</v>
      </c>
      <c r="B256" s="42"/>
      <c r="C256" s="1241" t="s">
        <v>212</v>
      </c>
      <c r="D256" s="1639">
        <v>4010.04</v>
      </c>
      <c r="E256" s="1671">
        <v>6220</v>
      </c>
      <c r="F256" s="2700">
        <v>4000</v>
      </c>
      <c r="G256" s="1671">
        <v>4540</v>
      </c>
      <c r="H256" s="1656">
        <v>6000</v>
      </c>
      <c r="I256" s="2940">
        <v>6000</v>
      </c>
      <c r="J256" s="1657">
        <v>6000</v>
      </c>
      <c r="K256" s="76"/>
      <c r="L256" s="19"/>
      <c r="M256" s="76"/>
      <c r="N256" s="67"/>
      <c r="O256" s="67"/>
      <c r="P256" s="16"/>
    </row>
    <row r="257" spans="1:16" s="2652" customFormat="1" ht="12.75">
      <c r="A257" s="2644"/>
      <c r="B257" s="2645"/>
      <c r="C257" s="2646" t="s">
        <v>848</v>
      </c>
      <c r="D257" s="2647"/>
      <c r="E257" s="1940"/>
      <c r="F257" s="2724"/>
      <c r="G257" s="1940">
        <v>17000</v>
      </c>
      <c r="H257" s="2648">
        <v>25200</v>
      </c>
      <c r="I257" s="3098">
        <v>5000</v>
      </c>
      <c r="J257" s="3099">
        <v>5000</v>
      </c>
      <c r="K257" s="2649"/>
      <c r="L257" s="2650"/>
      <c r="M257" s="2650"/>
      <c r="N257" s="2650"/>
      <c r="O257" s="2650"/>
      <c r="P257" s="2651"/>
    </row>
    <row r="258" spans="1:16" s="33" customFormat="1" ht="13.5" thickBot="1">
      <c r="A258" s="2441">
        <v>637</v>
      </c>
      <c r="B258" s="2442" t="s">
        <v>499</v>
      </c>
      <c r="C258" s="2443" t="s">
        <v>500</v>
      </c>
      <c r="D258" s="1743">
        <v>0</v>
      </c>
      <c r="E258" s="1938">
        <v>0</v>
      </c>
      <c r="F258" s="2725">
        <v>0</v>
      </c>
      <c r="G258" s="1938">
        <v>0</v>
      </c>
      <c r="H258" s="2444">
        <v>0</v>
      </c>
      <c r="I258" s="2959">
        <v>0</v>
      </c>
      <c r="J258" s="2445">
        <v>0</v>
      </c>
      <c r="K258" s="77"/>
      <c r="L258" s="19"/>
      <c r="M258" s="19"/>
      <c r="N258" s="19"/>
      <c r="O258" s="19"/>
      <c r="P258" s="16"/>
    </row>
    <row r="259" spans="1:16" s="33" customFormat="1" ht="13.5" hidden="1" thickBot="1">
      <c r="A259" s="119"/>
      <c r="B259" s="55"/>
      <c r="C259" s="67"/>
      <c r="D259" s="76"/>
      <c r="E259" s="60"/>
      <c r="F259" s="2080"/>
      <c r="G259" s="60"/>
      <c r="H259" s="60"/>
      <c r="I259" s="2936"/>
      <c r="J259" s="1597"/>
      <c r="K259" s="77"/>
      <c r="L259" s="19"/>
      <c r="M259" s="19"/>
      <c r="N259" s="19"/>
      <c r="O259" s="19"/>
      <c r="P259" s="16"/>
    </row>
    <row r="260" spans="1:15" s="157" customFormat="1" ht="11.25">
      <c r="A260" s="788" t="s">
        <v>564</v>
      </c>
      <c r="B260" s="789"/>
      <c r="C260" s="789"/>
      <c r="D260" s="1680">
        <f>SUM(D261:D262)</f>
        <v>0</v>
      </c>
      <c r="E260" s="1681">
        <f aca="true" t="shared" si="18" ref="E260:J260">SUM(E261)</f>
        <v>0</v>
      </c>
      <c r="F260" s="2810">
        <f t="shared" si="18"/>
        <v>0</v>
      </c>
      <c r="G260" s="1681">
        <f t="shared" si="18"/>
        <v>0</v>
      </c>
      <c r="H260" s="1683">
        <f t="shared" si="18"/>
        <v>0</v>
      </c>
      <c r="I260" s="2960">
        <f t="shared" si="18"/>
        <v>0</v>
      </c>
      <c r="J260" s="1684">
        <f t="shared" si="18"/>
        <v>0</v>
      </c>
      <c r="K260" s="652"/>
      <c r="L260" s="631"/>
      <c r="M260" s="631"/>
      <c r="N260" s="631"/>
      <c r="O260" s="631"/>
    </row>
    <row r="261" spans="1:15" ht="12.75">
      <c r="A261" s="782">
        <v>633</v>
      </c>
      <c r="B261" s="42"/>
      <c r="C261" s="1241" t="s">
        <v>326</v>
      </c>
      <c r="D261" s="1555">
        <v>0</v>
      </c>
      <c r="E261" s="1543">
        <v>0</v>
      </c>
      <c r="F261" s="2700">
        <v>0</v>
      </c>
      <c r="G261" s="1543">
        <v>0</v>
      </c>
      <c r="H261" s="1656">
        <v>0</v>
      </c>
      <c r="I261" s="2940">
        <v>0</v>
      </c>
      <c r="J261" s="1657">
        <v>0</v>
      </c>
      <c r="K261" s="76"/>
      <c r="M261" s="67"/>
      <c r="N261" s="67"/>
      <c r="O261" s="67"/>
    </row>
    <row r="262" spans="1:15" ht="12.75">
      <c r="A262" s="782">
        <v>637</v>
      </c>
      <c r="B262" s="42" t="s">
        <v>122</v>
      </c>
      <c r="C262" s="1241" t="s">
        <v>327</v>
      </c>
      <c r="D262" s="1555">
        <v>0</v>
      </c>
      <c r="E262" s="1543">
        <v>0</v>
      </c>
      <c r="F262" s="2700">
        <v>0</v>
      </c>
      <c r="G262" s="1543">
        <v>0</v>
      </c>
      <c r="H262" s="1656">
        <v>0</v>
      </c>
      <c r="I262" s="2940">
        <v>0</v>
      </c>
      <c r="J262" s="1657">
        <v>0</v>
      </c>
      <c r="K262" s="627"/>
      <c r="M262" s="653"/>
      <c r="N262" s="679"/>
      <c r="O262" s="67"/>
    </row>
    <row r="263" spans="1:15" ht="13.5" thickBot="1">
      <c r="A263" s="795" t="s">
        <v>565</v>
      </c>
      <c r="B263" s="796"/>
      <c r="C263" s="797" t="s">
        <v>324</v>
      </c>
      <c r="D263" s="1685">
        <f>SUM(D227,D245,D260)</f>
        <v>156727.57999999996</v>
      </c>
      <c r="E263" s="1687">
        <f aca="true" t="shared" si="19" ref="E263:J263">E227+E245+E260</f>
        <v>158405</v>
      </c>
      <c r="F263" s="2821">
        <f t="shared" si="19"/>
        <v>159600</v>
      </c>
      <c r="G263" s="1687">
        <f t="shared" si="19"/>
        <v>200904</v>
      </c>
      <c r="H263" s="1688">
        <f t="shared" si="19"/>
        <v>215310</v>
      </c>
      <c r="I263" s="3001">
        <f t="shared" si="19"/>
        <v>166990</v>
      </c>
      <c r="J263" s="1689">
        <f t="shared" si="19"/>
        <v>162490</v>
      </c>
      <c r="K263" s="93"/>
      <c r="L263" s="681"/>
      <c r="M263" s="576"/>
      <c r="N263" s="576"/>
      <c r="O263" s="576"/>
    </row>
    <row r="264" spans="1:11" ht="12.75" hidden="1">
      <c r="A264" s="648"/>
      <c r="B264" s="67"/>
      <c r="C264" s="149"/>
      <c r="D264" s="149"/>
      <c r="E264" s="649"/>
      <c r="F264" s="2699"/>
      <c r="G264" s="649"/>
      <c r="H264" s="649"/>
      <c r="I264" s="2947"/>
      <c r="J264" s="650"/>
      <c r="K264" s="156"/>
    </row>
    <row r="265" spans="1:11" ht="12.75" hidden="1">
      <c r="A265" s="648"/>
      <c r="B265" s="67"/>
      <c r="C265" s="149"/>
      <c r="D265" s="149"/>
      <c r="E265" s="649"/>
      <c r="F265" s="2699"/>
      <c r="G265" s="649"/>
      <c r="H265" s="649"/>
      <c r="I265" s="2947"/>
      <c r="J265" s="650"/>
      <c r="K265" s="156"/>
    </row>
    <row r="266" spans="1:11" ht="12.75">
      <c r="A266" s="648"/>
      <c r="B266" s="67"/>
      <c r="C266" s="149"/>
      <c r="D266" s="149"/>
      <c r="E266" s="649"/>
      <c r="F266" s="2699"/>
      <c r="G266" s="649"/>
      <c r="H266" s="649"/>
      <c r="I266" s="2947"/>
      <c r="J266" s="650"/>
      <c r="K266" s="156"/>
    </row>
    <row r="267" spans="1:15" ht="13.5" thickBot="1">
      <c r="A267" s="648"/>
      <c r="B267" s="67"/>
      <c r="C267" s="149"/>
      <c r="D267" s="149"/>
      <c r="E267" s="649"/>
      <c r="F267" s="2707"/>
      <c r="G267" s="649"/>
      <c r="H267" s="3238" t="s">
        <v>566</v>
      </c>
      <c r="I267" s="3238"/>
      <c r="J267" s="3238" t="s">
        <v>566</v>
      </c>
      <c r="K267" s="140"/>
      <c r="L267" s="140"/>
      <c r="M267" s="140"/>
      <c r="N267" s="140"/>
      <c r="O267" s="140"/>
    </row>
    <row r="268" spans="1:11" ht="13.5" hidden="1" thickBot="1">
      <c r="A268" s="648"/>
      <c r="B268" s="67"/>
      <c r="C268" s="149"/>
      <c r="D268" s="149"/>
      <c r="E268" s="649"/>
      <c r="F268" s="2699"/>
      <c r="G268" s="649"/>
      <c r="H268" s="649"/>
      <c r="I268" s="2947"/>
      <c r="J268" s="650"/>
      <c r="K268" s="156"/>
    </row>
    <row r="269" spans="1:15" s="642" customFormat="1" ht="18.75" customHeight="1">
      <c r="A269" s="567" t="s">
        <v>447</v>
      </c>
      <c r="B269" s="568"/>
      <c r="C269" s="569"/>
      <c r="D269" s="569">
        <v>2017</v>
      </c>
      <c r="E269" s="2636">
        <v>2018</v>
      </c>
      <c r="F269" s="2801">
        <v>2019</v>
      </c>
      <c r="G269" s="2636" t="s">
        <v>881</v>
      </c>
      <c r="H269" s="2637">
        <v>2020</v>
      </c>
      <c r="I269" s="3041" t="s">
        <v>882</v>
      </c>
      <c r="J269" s="3042">
        <v>2022</v>
      </c>
      <c r="K269" s="639"/>
      <c r="L269" s="640"/>
      <c r="M269" s="641"/>
      <c r="N269" s="570"/>
      <c r="O269" s="571"/>
    </row>
    <row r="270" spans="1:16" s="157" customFormat="1" ht="11.25">
      <c r="A270" s="779" t="s">
        <v>567</v>
      </c>
      <c r="B270" s="674"/>
      <c r="C270" s="674"/>
      <c r="D270" s="1690">
        <f aca="true" t="shared" si="20" ref="D270:J270">D271+D272+D273+D274</f>
        <v>0</v>
      </c>
      <c r="E270" s="2155">
        <f t="shared" si="20"/>
        <v>1000</v>
      </c>
      <c r="F270" s="2811">
        <f t="shared" si="20"/>
        <v>1000</v>
      </c>
      <c r="G270" s="2155">
        <f t="shared" si="20"/>
        <v>1950</v>
      </c>
      <c r="H270" s="2138">
        <f t="shared" si="20"/>
        <v>1000</v>
      </c>
      <c r="I270" s="2994">
        <f t="shared" si="20"/>
        <v>1000</v>
      </c>
      <c r="J270" s="1651">
        <f t="shared" si="20"/>
        <v>1000</v>
      </c>
      <c r="K270" s="652"/>
      <c r="L270" s="631"/>
      <c r="M270" s="576"/>
      <c r="N270" s="576"/>
      <c r="O270" s="576"/>
      <c r="P270" s="682"/>
    </row>
    <row r="271" spans="1:16" s="19" customFormat="1" ht="12.75">
      <c r="A271" s="782">
        <v>637</v>
      </c>
      <c r="B271" s="42" t="s">
        <v>499</v>
      </c>
      <c r="C271" s="1244" t="s">
        <v>568</v>
      </c>
      <c r="D271" s="1638">
        <v>0</v>
      </c>
      <c r="E271" s="2140">
        <v>0</v>
      </c>
      <c r="F271" s="2697">
        <v>0</v>
      </c>
      <c r="G271" s="2140">
        <v>0</v>
      </c>
      <c r="H271" s="2139">
        <v>0</v>
      </c>
      <c r="I271" s="2940">
        <v>0</v>
      </c>
      <c r="J271" s="1657">
        <v>0</v>
      </c>
      <c r="K271" s="76"/>
      <c r="M271" s="67"/>
      <c r="N271" s="67"/>
      <c r="O271" s="67"/>
      <c r="P271" s="16"/>
    </row>
    <row r="272" spans="1:16" s="33" customFormat="1" ht="12.75">
      <c r="A272" s="782">
        <v>632</v>
      </c>
      <c r="B272" s="42"/>
      <c r="C272" s="1241" t="s">
        <v>202</v>
      </c>
      <c r="D272" s="1251">
        <v>0</v>
      </c>
      <c r="E272" s="2140">
        <v>0</v>
      </c>
      <c r="F272" s="2697">
        <v>0</v>
      </c>
      <c r="G272" s="2140">
        <v>0</v>
      </c>
      <c r="H272" s="2139">
        <v>0</v>
      </c>
      <c r="I272" s="2940">
        <v>0</v>
      </c>
      <c r="J272" s="1657">
        <v>0</v>
      </c>
      <c r="K272" s="76"/>
      <c r="L272" s="19"/>
      <c r="M272" s="67"/>
      <c r="N272" s="67"/>
      <c r="O272" s="67"/>
      <c r="P272" s="16"/>
    </row>
    <row r="273" spans="1:15" ht="12.75">
      <c r="A273" s="782">
        <v>637</v>
      </c>
      <c r="B273" s="42"/>
      <c r="C273" s="1241" t="s">
        <v>212</v>
      </c>
      <c r="D273" s="1251">
        <v>0</v>
      </c>
      <c r="E273" s="2140">
        <v>1000</v>
      </c>
      <c r="F273" s="2697">
        <v>1000</v>
      </c>
      <c r="G273" s="2140">
        <v>0</v>
      </c>
      <c r="H273" s="2139">
        <v>1000</v>
      </c>
      <c r="I273" s="2940">
        <v>1000</v>
      </c>
      <c r="J273" s="1657">
        <v>1000</v>
      </c>
      <c r="K273" s="76"/>
      <c r="M273" s="76"/>
      <c r="N273" s="67"/>
      <c r="O273" s="683"/>
    </row>
    <row r="274" spans="1:16" ht="13.5" thickBot="1">
      <c r="A274" s="800">
        <v>637</v>
      </c>
      <c r="B274" s="801"/>
      <c r="C274" s="1256" t="s">
        <v>333</v>
      </c>
      <c r="D274" s="1692">
        <v>0</v>
      </c>
      <c r="E274" s="2142">
        <v>0</v>
      </c>
      <c r="F274" s="2726">
        <v>0</v>
      </c>
      <c r="G274" s="2142">
        <v>1950</v>
      </c>
      <c r="H274" s="2154">
        <v>0</v>
      </c>
      <c r="I274" s="2961">
        <v>0</v>
      </c>
      <c r="J274" s="1693">
        <v>0</v>
      </c>
      <c r="K274" s="684"/>
      <c r="L274" s="685"/>
      <c r="M274" s="684"/>
      <c r="N274" s="572"/>
      <c r="O274" s="67"/>
      <c r="P274" s="654"/>
    </row>
    <row r="275" spans="1:11" ht="13.5" thickBot="1">
      <c r="A275" s="670"/>
      <c r="B275" s="157"/>
      <c r="C275" s="645"/>
      <c r="D275" s="974"/>
      <c r="E275" s="966"/>
      <c r="F275" s="2727"/>
      <c r="G275" s="966"/>
      <c r="H275" s="686"/>
      <c r="J275" s="687"/>
      <c r="K275" s="77"/>
    </row>
    <row r="276" spans="1:15" s="157" customFormat="1" ht="11.25">
      <c r="A276" s="788" t="s">
        <v>569</v>
      </c>
      <c r="B276" s="789"/>
      <c r="C276" s="789"/>
      <c r="D276" s="1682">
        <f aca="true" t="shared" si="21" ref="D276:J276">SUM(D277,D278,D279,D280)</f>
        <v>14795.630000000001</v>
      </c>
      <c r="E276" s="1681">
        <f t="shared" si="21"/>
        <v>17350</v>
      </c>
      <c r="F276" s="2807">
        <f t="shared" si="21"/>
        <v>16500</v>
      </c>
      <c r="G276" s="1681">
        <f t="shared" si="21"/>
        <v>20900</v>
      </c>
      <c r="H276" s="1669">
        <f t="shared" si="21"/>
        <v>15550</v>
      </c>
      <c r="I276" s="2996">
        <f t="shared" si="21"/>
        <v>17550</v>
      </c>
      <c r="J276" s="1630">
        <f t="shared" si="21"/>
        <v>17550</v>
      </c>
      <c r="K276" s="652"/>
      <c r="L276" s="631"/>
      <c r="M276" s="576"/>
      <c r="N276" s="576"/>
      <c r="O276" s="576"/>
    </row>
    <row r="277" spans="1:16" s="19" customFormat="1" ht="12.75">
      <c r="A277" s="790">
        <v>632</v>
      </c>
      <c r="B277" s="42"/>
      <c r="C277" s="1241" t="s">
        <v>202</v>
      </c>
      <c r="D277" s="1639">
        <v>12810.69</v>
      </c>
      <c r="E277" s="2237">
        <v>12650</v>
      </c>
      <c r="F277" s="2700">
        <v>12000</v>
      </c>
      <c r="G277" s="2237">
        <v>13750</v>
      </c>
      <c r="H277" s="1656">
        <v>14050</v>
      </c>
      <c r="I277" s="2940">
        <v>14050</v>
      </c>
      <c r="J277" s="1545">
        <v>14050</v>
      </c>
      <c r="K277" s="92"/>
      <c r="M277" s="76"/>
      <c r="N277" s="67"/>
      <c r="O277" s="76"/>
      <c r="P277" s="16"/>
    </row>
    <row r="278" spans="1:16" s="33" customFormat="1" ht="12.75">
      <c r="A278" s="790">
        <v>633</v>
      </c>
      <c r="B278" s="42"/>
      <c r="C278" s="1241" t="s">
        <v>204</v>
      </c>
      <c r="D278" s="1639">
        <v>1984.94</v>
      </c>
      <c r="E278" s="2237">
        <v>2800</v>
      </c>
      <c r="F278" s="2700">
        <v>2000</v>
      </c>
      <c r="G278" s="2237">
        <v>7000</v>
      </c>
      <c r="H278" s="1542">
        <v>1000</v>
      </c>
      <c r="I278" s="2940">
        <v>1000</v>
      </c>
      <c r="J278" s="1545">
        <v>1000</v>
      </c>
      <c r="K278" s="92"/>
      <c r="L278" s="19"/>
      <c r="M278" s="67"/>
      <c r="N278" s="67"/>
      <c r="O278" s="76"/>
      <c r="P278" s="16"/>
    </row>
    <row r="279" spans="1:15" ht="12.75">
      <c r="A279" s="790">
        <v>635</v>
      </c>
      <c r="B279" s="42"/>
      <c r="C279" s="1241" t="s">
        <v>300</v>
      </c>
      <c r="D279" s="1639">
        <v>0</v>
      </c>
      <c r="E279" s="2237">
        <v>500</v>
      </c>
      <c r="F279" s="2700">
        <v>500</v>
      </c>
      <c r="G279" s="2237">
        <v>0</v>
      </c>
      <c r="H279" s="1656">
        <v>500</v>
      </c>
      <c r="I279" s="2940">
        <v>500</v>
      </c>
      <c r="J279" s="1545">
        <v>500</v>
      </c>
      <c r="K279" s="92"/>
      <c r="M279" s="67"/>
      <c r="N279" s="67"/>
      <c r="O279" s="76"/>
    </row>
    <row r="280" spans="1:15" ht="13.5" thickBot="1">
      <c r="A280" s="791">
        <v>637</v>
      </c>
      <c r="B280" s="87"/>
      <c r="C280" s="1241" t="s">
        <v>212</v>
      </c>
      <c r="D280" s="1639">
        <v>0</v>
      </c>
      <c r="E280" s="2237">
        <v>1400</v>
      </c>
      <c r="F280" s="2703">
        <v>2000</v>
      </c>
      <c r="G280" s="2237">
        <v>150</v>
      </c>
      <c r="H280" s="2266">
        <v>0</v>
      </c>
      <c r="I280" s="2940">
        <v>2000</v>
      </c>
      <c r="J280" s="1545">
        <v>2000</v>
      </c>
      <c r="K280" s="92"/>
      <c r="M280" s="76"/>
      <c r="N280" s="67"/>
      <c r="O280" s="76"/>
    </row>
    <row r="281" spans="1:15" ht="13.5" thickBot="1">
      <c r="A281" s="795" t="s">
        <v>570</v>
      </c>
      <c r="B281" s="796"/>
      <c r="C281" s="797" t="s">
        <v>451</v>
      </c>
      <c r="D281" s="1685">
        <f>SUM(D270,D276)</f>
        <v>14795.630000000001</v>
      </c>
      <c r="E281" s="2148">
        <f aca="true" t="shared" si="22" ref="E281:J281">E270+E276</f>
        <v>18350</v>
      </c>
      <c r="F281" s="2822">
        <f t="shared" si="22"/>
        <v>17500</v>
      </c>
      <c r="G281" s="2148">
        <f t="shared" si="22"/>
        <v>22850</v>
      </c>
      <c r="H281" s="2143">
        <f t="shared" si="22"/>
        <v>16550</v>
      </c>
      <c r="I281" s="2999">
        <f t="shared" si="22"/>
        <v>18550</v>
      </c>
      <c r="J281" s="1526">
        <f t="shared" si="22"/>
        <v>18550</v>
      </c>
      <c r="K281" s="93"/>
      <c r="L281" s="631"/>
      <c r="M281" s="576"/>
      <c r="N281" s="576"/>
      <c r="O281" s="576"/>
    </row>
    <row r="282" spans="1:11" ht="12.75" hidden="1">
      <c r="A282" s="648"/>
      <c r="B282" s="67"/>
      <c r="C282" s="149"/>
      <c r="D282" s="149"/>
      <c r="E282" s="649"/>
      <c r="F282" s="2699"/>
      <c r="G282" s="649"/>
      <c r="H282" s="649"/>
      <c r="I282" s="2947"/>
      <c r="J282" s="650"/>
      <c r="K282" s="156"/>
    </row>
    <row r="283" spans="1:10" ht="12.75">
      <c r="A283" s="688"/>
      <c r="B283" s="688"/>
      <c r="C283" s="688"/>
      <c r="D283" s="688"/>
      <c r="E283" s="689"/>
      <c r="F283" s="2728"/>
      <c r="G283" s="689"/>
      <c r="H283" s="689"/>
      <c r="I283" s="2949"/>
      <c r="J283" s="689"/>
    </row>
    <row r="284" spans="1:15" ht="13.5" thickBot="1">
      <c r="A284" s="688"/>
      <c r="B284" s="688"/>
      <c r="C284" s="688"/>
      <c r="D284" s="688"/>
      <c r="E284" s="689"/>
      <c r="F284" s="2729"/>
      <c r="G284" s="689"/>
      <c r="H284" s="140"/>
      <c r="I284" s="3238" t="s">
        <v>571</v>
      </c>
      <c r="J284" s="3238"/>
      <c r="K284" s="140"/>
      <c r="L284" s="140"/>
      <c r="M284" s="140"/>
      <c r="N284" s="140"/>
      <c r="O284" s="140"/>
    </row>
    <row r="285" spans="1:10" ht="13.5" hidden="1" thickBot="1">
      <c r="A285" s="688"/>
      <c r="B285" s="688"/>
      <c r="C285" s="688"/>
      <c r="D285" s="688"/>
      <c r="E285" s="689"/>
      <c r="F285" s="2728"/>
      <c r="G285" s="689"/>
      <c r="H285" s="689"/>
      <c r="I285" s="2949"/>
      <c r="J285" s="689"/>
    </row>
    <row r="286" spans="1:10" ht="13.5" hidden="1" thickBot="1">
      <c r="A286" s="19"/>
      <c r="B286" s="19"/>
      <c r="C286" s="19"/>
      <c r="D286" s="19"/>
      <c r="E286" s="111"/>
      <c r="F286" s="2730"/>
      <c r="G286" s="111"/>
      <c r="H286" s="690"/>
      <c r="I286" s="2947"/>
      <c r="J286" s="691"/>
    </row>
    <row r="287" spans="1:15" s="642" customFormat="1" ht="18.75" customHeight="1">
      <c r="A287" s="567" t="s">
        <v>447</v>
      </c>
      <c r="B287" s="568"/>
      <c r="C287" s="569"/>
      <c r="D287" s="569">
        <v>2017</v>
      </c>
      <c r="E287" s="2636">
        <v>2018</v>
      </c>
      <c r="F287" s="2801">
        <v>2019</v>
      </c>
      <c r="G287" s="2636" t="s">
        <v>881</v>
      </c>
      <c r="H287" s="2637">
        <v>2020</v>
      </c>
      <c r="I287" s="3041" t="s">
        <v>882</v>
      </c>
      <c r="J287" s="3042">
        <v>2022</v>
      </c>
      <c r="K287" s="639"/>
      <c r="L287" s="640"/>
      <c r="M287" s="641"/>
      <c r="N287" s="570"/>
      <c r="O287" s="571"/>
    </row>
    <row r="288" spans="1:16" s="645" customFormat="1" ht="11.25">
      <c r="A288" s="573" t="s">
        <v>572</v>
      </c>
      <c r="B288" s="674"/>
      <c r="C288" s="674"/>
      <c r="D288" s="1949">
        <f aca="true" t="shared" si="23" ref="D288:J288">SUM(D289,D291,D292,D293,D294,D295)</f>
        <v>25263.670000000002</v>
      </c>
      <c r="E288" s="1696">
        <f t="shared" si="23"/>
        <v>44434</v>
      </c>
      <c r="F288" s="2812">
        <f t="shared" si="23"/>
        <v>37576</v>
      </c>
      <c r="G288" s="1696">
        <f t="shared" si="23"/>
        <v>42043</v>
      </c>
      <c r="H288" s="1623">
        <f t="shared" si="23"/>
        <v>38660</v>
      </c>
      <c r="I288" s="2994">
        <f t="shared" si="23"/>
        <v>35810</v>
      </c>
      <c r="J288" s="1624">
        <f t="shared" si="23"/>
        <v>35810</v>
      </c>
      <c r="K288" s="652"/>
      <c r="L288" s="631"/>
      <c r="M288" s="576"/>
      <c r="N288" s="576"/>
      <c r="O288" s="576"/>
      <c r="P288" s="157"/>
    </row>
    <row r="289" spans="1:16" s="19" customFormat="1" ht="12.75">
      <c r="A289" s="34">
        <v>610</v>
      </c>
      <c r="B289" s="42"/>
      <c r="C289" s="1241" t="s">
        <v>573</v>
      </c>
      <c r="D289" s="1639">
        <v>6808.82</v>
      </c>
      <c r="E289" s="2255">
        <v>10068</v>
      </c>
      <c r="F289" s="2679">
        <v>9900</v>
      </c>
      <c r="G289" s="2255">
        <v>11890</v>
      </c>
      <c r="H289" s="2086">
        <v>13500</v>
      </c>
      <c r="I289" s="2940">
        <v>14400</v>
      </c>
      <c r="J289" s="1545">
        <v>14400</v>
      </c>
      <c r="K289" s="76"/>
      <c r="M289" s="76"/>
      <c r="N289" s="67"/>
      <c r="O289" s="67"/>
      <c r="P289" s="16"/>
    </row>
    <row r="290" spans="1:16" s="19" customFormat="1" ht="12.75">
      <c r="A290" s="2093">
        <v>610</v>
      </c>
      <c r="B290" s="42"/>
      <c r="C290" s="2092" t="s">
        <v>771</v>
      </c>
      <c r="D290" s="1639">
        <v>3044.92</v>
      </c>
      <c r="E290" s="2287">
        <v>1477</v>
      </c>
      <c r="F290" s="2731">
        <v>0</v>
      </c>
      <c r="G290" s="2287"/>
      <c r="H290" s="2115">
        <v>0</v>
      </c>
      <c r="I290" s="2940">
        <v>0</v>
      </c>
      <c r="J290" s="1545">
        <v>0</v>
      </c>
      <c r="K290" s="76"/>
      <c r="M290" s="76"/>
      <c r="N290" s="67"/>
      <c r="O290" s="67"/>
      <c r="P290" s="16"/>
    </row>
    <row r="291" spans="1:16" s="33" customFormat="1" ht="12.75">
      <c r="A291" s="34">
        <v>620</v>
      </c>
      <c r="B291" s="42"/>
      <c r="C291" s="1241" t="s">
        <v>198</v>
      </c>
      <c r="D291" s="1639">
        <v>2333.41</v>
      </c>
      <c r="E291" s="2246">
        <v>3216</v>
      </c>
      <c r="F291" s="2679">
        <v>3300</v>
      </c>
      <c r="G291" s="2246">
        <v>4060</v>
      </c>
      <c r="H291" s="2086">
        <v>4860</v>
      </c>
      <c r="I291" s="2940">
        <v>5110</v>
      </c>
      <c r="J291" s="1545">
        <v>5110</v>
      </c>
      <c r="K291" s="76"/>
      <c r="L291" s="19"/>
      <c r="M291" s="67"/>
      <c r="N291" s="67"/>
      <c r="O291" s="67"/>
      <c r="P291" s="16"/>
    </row>
    <row r="292" spans="1:15" ht="12.75">
      <c r="A292" s="34">
        <v>632</v>
      </c>
      <c r="B292" s="42"/>
      <c r="C292" s="1241" t="s">
        <v>202</v>
      </c>
      <c r="D292" s="1639">
        <v>11099.74</v>
      </c>
      <c r="E292" s="2246">
        <v>15600</v>
      </c>
      <c r="F292" s="2679">
        <v>15000</v>
      </c>
      <c r="G292" s="2246">
        <v>12143</v>
      </c>
      <c r="H292" s="1542">
        <v>14700</v>
      </c>
      <c r="I292" s="2940">
        <v>14700</v>
      </c>
      <c r="J292" s="1545">
        <v>14700</v>
      </c>
      <c r="K292" s="76"/>
      <c r="M292" s="76"/>
      <c r="N292" s="67"/>
      <c r="O292" s="76"/>
    </row>
    <row r="293" spans="1:15" ht="12.75">
      <c r="A293" s="34">
        <v>633</v>
      </c>
      <c r="B293" s="42"/>
      <c r="C293" s="1241" t="s">
        <v>204</v>
      </c>
      <c r="D293" s="1639">
        <v>1081.9</v>
      </c>
      <c r="E293" s="2246">
        <v>2000</v>
      </c>
      <c r="F293" s="2679">
        <v>100</v>
      </c>
      <c r="G293" s="2246">
        <v>800</v>
      </c>
      <c r="H293" s="1542">
        <v>100</v>
      </c>
      <c r="I293" s="2940">
        <v>100</v>
      </c>
      <c r="J293" s="1545">
        <v>100</v>
      </c>
      <c r="K293" s="76"/>
      <c r="M293" s="67"/>
      <c r="N293" s="67"/>
      <c r="O293" s="67"/>
    </row>
    <row r="294" spans="1:15" ht="12.75">
      <c r="A294" s="86">
        <v>635</v>
      </c>
      <c r="B294" s="87"/>
      <c r="C294" s="1269" t="s">
        <v>300</v>
      </c>
      <c r="D294" s="1639">
        <v>3002.8</v>
      </c>
      <c r="E294" s="2246">
        <v>1550</v>
      </c>
      <c r="F294" s="2679">
        <v>500</v>
      </c>
      <c r="G294" s="2246">
        <v>1100</v>
      </c>
      <c r="H294" s="1542">
        <v>500</v>
      </c>
      <c r="I294" s="2940">
        <v>500</v>
      </c>
      <c r="J294" s="1545">
        <v>500</v>
      </c>
      <c r="K294" s="76"/>
      <c r="M294" s="67"/>
      <c r="N294" s="67"/>
      <c r="O294" s="67"/>
    </row>
    <row r="295" spans="1:15" ht="12.75">
      <c r="A295" s="34">
        <v>637</v>
      </c>
      <c r="B295" s="42"/>
      <c r="C295" s="1241" t="s">
        <v>212</v>
      </c>
      <c r="D295" s="1639">
        <v>937</v>
      </c>
      <c r="E295" s="2253">
        <v>12000</v>
      </c>
      <c r="F295" s="2679">
        <v>8776</v>
      </c>
      <c r="G295" s="2253">
        <v>12050</v>
      </c>
      <c r="H295" s="1542">
        <v>5000</v>
      </c>
      <c r="I295" s="2940">
        <v>1000</v>
      </c>
      <c r="J295" s="1545">
        <v>1000</v>
      </c>
      <c r="K295" s="76"/>
      <c r="M295" s="67"/>
      <c r="N295" s="67"/>
      <c r="O295" s="67"/>
    </row>
    <row r="296" spans="1:15" ht="13.5" thickBot="1">
      <c r="A296" s="634" t="s">
        <v>574</v>
      </c>
      <c r="B296" s="635"/>
      <c r="C296" s="680" t="s">
        <v>575</v>
      </c>
      <c r="D296" s="1565">
        <f aca="true" t="shared" si="24" ref="D296:J296">SUM(D288)</f>
        <v>25263.670000000002</v>
      </c>
      <c r="E296" s="1539">
        <f t="shared" si="24"/>
        <v>44434</v>
      </c>
      <c r="F296" s="2823">
        <f t="shared" si="24"/>
        <v>37576</v>
      </c>
      <c r="G296" s="1539">
        <f t="shared" si="24"/>
        <v>42043</v>
      </c>
      <c r="H296" s="1540">
        <f t="shared" si="24"/>
        <v>38660</v>
      </c>
      <c r="I296" s="2999">
        <f t="shared" si="24"/>
        <v>35810</v>
      </c>
      <c r="J296" s="1541">
        <f t="shared" si="24"/>
        <v>35810</v>
      </c>
      <c r="K296" s="93"/>
      <c r="L296" s="631"/>
      <c r="M296" s="576"/>
      <c r="N296" s="576"/>
      <c r="O296" s="576"/>
    </row>
    <row r="297" spans="1:11" ht="12.75">
      <c r="A297" s="648"/>
      <c r="B297" s="67"/>
      <c r="C297" s="149"/>
      <c r="D297" s="149"/>
      <c r="E297" s="649"/>
      <c r="F297" s="2699"/>
      <c r="G297" s="649"/>
      <c r="H297" s="649"/>
      <c r="I297" s="2947"/>
      <c r="J297" s="650"/>
      <c r="K297" s="156"/>
    </row>
    <row r="298" spans="1:11" ht="12.75" hidden="1">
      <c r="A298" s="648"/>
      <c r="B298" s="67"/>
      <c r="C298" s="149"/>
      <c r="D298" s="149"/>
      <c r="E298" s="649"/>
      <c r="F298" s="2699"/>
      <c r="G298" s="649"/>
      <c r="H298" s="649"/>
      <c r="I298" s="2947"/>
      <c r="J298" s="650"/>
      <c r="K298" s="156"/>
    </row>
    <row r="299" spans="1:11" ht="12.75" hidden="1">
      <c r="A299" s="648"/>
      <c r="B299" s="67"/>
      <c r="C299" s="149"/>
      <c r="D299" s="149"/>
      <c r="E299" s="649"/>
      <c r="F299" s="2699"/>
      <c r="G299" s="649"/>
      <c r="H299" s="649"/>
      <c r="I299" s="2947"/>
      <c r="J299" s="650"/>
      <c r="K299" s="156"/>
    </row>
    <row r="300" spans="1:11" ht="12.75" hidden="1">
      <c r="A300" s="648"/>
      <c r="B300" s="67"/>
      <c r="C300" s="149"/>
      <c r="D300" s="149"/>
      <c r="E300" s="649"/>
      <c r="F300" s="2699"/>
      <c r="G300" s="649"/>
      <c r="H300" s="649"/>
      <c r="I300" s="2947"/>
      <c r="J300" s="650"/>
      <c r="K300" s="156"/>
    </row>
    <row r="301" spans="1:11" ht="12.75" hidden="1">
      <c r="A301" s="648"/>
      <c r="B301" s="67"/>
      <c r="C301" s="149"/>
      <c r="D301" s="149"/>
      <c r="E301" s="649"/>
      <c r="F301" s="2699"/>
      <c r="G301" s="649"/>
      <c r="H301" s="649"/>
      <c r="I301" s="2947"/>
      <c r="J301" s="650"/>
      <c r="K301" s="156"/>
    </row>
    <row r="302" spans="1:15" ht="13.5" thickBot="1">
      <c r="A302" s="648"/>
      <c r="B302" s="67"/>
      <c r="C302" s="149"/>
      <c r="D302" s="149"/>
      <c r="E302" s="149"/>
      <c r="F302" s="2707"/>
      <c r="G302" s="3239" t="s">
        <v>576</v>
      </c>
      <c r="H302" s="3239"/>
      <c r="I302" s="3239"/>
      <c r="J302" s="3239"/>
      <c r="K302" s="665"/>
      <c r="L302" s="665"/>
      <c r="M302" s="665"/>
      <c r="N302" s="665"/>
      <c r="O302" s="665"/>
    </row>
    <row r="303" spans="1:11" ht="13.5" hidden="1" thickBot="1">
      <c r="A303" s="648"/>
      <c r="B303" s="67"/>
      <c r="C303" s="149"/>
      <c r="D303" s="149"/>
      <c r="E303" s="649"/>
      <c r="F303" s="2699"/>
      <c r="G303" s="649"/>
      <c r="H303" s="649"/>
      <c r="I303" s="2947"/>
      <c r="J303" s="650"/>
      <c r="K303" s="156"/>
    </row>
    <row r="304" spans="1:15" s="642" customFormat="1" ht="18.75" customHeight="1">
      <c r="A304" s="567" t="s">
        <v>447</v>
      </c>
      <c r="B304" s="568"/>
      <c r="C304" s="569"/>
      <c r="D304" s="569">
        <v>2017</v>
      </c>
      <c r="E304" s="2636">
        <v>2018</v>
      </c>
      <c r="F304" s="2801">
        <v>2019</v>
      </c>
      <c r="G304" s="2636" t="s">
        <v>881</v>
      </c>
      <c r="H304" s="2637">
        <v>2020</v>
      </c>
      <c r="I304" s="3041" t="s">
        <v>882</v>
      </c>
      <c r="J304" s="3042">
        <v>2022</v>
      </c>
      <c r="K304" s="639"/>
      <c r="L304" s="640"/>
      <c r="M304" s="641"/>
      <c r="N304" s="570"/>
      <c r="O304" s="571"/>
    </row>
    <row r="305" spans="1:15" s="157" customFormat="1" ht="11.25">
      <c r="A305" s="573" t="s">
        <v>577</v>
      </c>
      <c r="B305" s="674"/>
      <c r="C305" s="674"/>
      <c r="D305" s="2399">
        <f>SUM(D306,D307,D308,D309,D310,D312)</f>
        <v>32890.880000000005</v>
      </c>
      <c r="E305" s="1696">
        <f>SUM(E306,E307,E308,E309,E310,E312)</f>
        <v>31500</v>
      </c>
      <c r="F305" s="2812">
        <f>SUM(F306,F307,F308,F309,F310,F312)+F311</f>
        <v>33000</v>
      </c>
      <c r="G305" s="1696">
        <f>SUM(G306,G307,G308,G309,G310,G312)+G311</f>
        <v>35685</v>
      </c>
      <c r="H305" s="1623">
        <f>SUM(H306,H307,H308,H309,H310,H312)+H311</f>
        <v>31915</v>
      </c>
      <c r="I305" s="2994">
        <f>SUM(I306,I307,I308,I309,I310,I312)+I311</f>
        <v>30915</v>
      </c>
      <c r="J305" s="1624">
        <f>SUM(J306,J307,J308,J309,J310,J312)+J311</f>
        <v>30915</v>
      </c>
      <c r="K305" s="652"/>
      <c r="L305" s="631"/>
      <c r="M305" s="576"/>
      <c r="N305" s="576"/>
      <c r="O305" s="576"/>
    </row>
    <row r="306" spans="1:16" s="19" customFormat="1" ht="12.75">
      <c r="A306" s="1268">
        <v>632</v>
      </c>
      <c r="B306" s="1265"/>
      <c r="C306" s="1254" t="s">
        <v>202</v>
      </c>
      <c r="D306" s="1947">
        <v>6549.79</v>
      </c>
      <c r="E306" s="1948">
        <v>7500</v>
      </c>
      <c r="F306" s="2679">
        <v>8000</v>
      </c>
      <c r="G306" s="1948">
        <v>4458</v>
      </c>
      <c r="H306" s="1542">
        <v>7915</v>
      </c>
      <c r="I306" s="2940">
        <v>7915</v>
      </c>
      <c r="J306" s="1545">
        <v>7915</v>
      </c>
      <c r="K306" s="76"/>
      <c r="M306" s="76"/>
      <c r="N306" s="67"/>
      <c r="O306" s="76"/>
      <c r="P306" s="16"/>
    </row>
    <row r="307" spans="1:16" s="33" customFormat="1" ht="12.75">
      <c r="A307" s="1268">
        <v>633</v>
      </c>
      <c r="B307" s="1265"/>
      <c r="C307" s="1254" t="s">
        <v>204</v>
      </c>
      <c r="D307" s="1639">
        <v>2050.05</v>
      </c>
      <c r="E307" s="1671">
        <v>3000</v>
      </c>
      <c r="F307" s="2679">
        <v>5000</v>
      </c>
      <c r="G307" s="1671">
        <v>6804</v>
      </c>
      <c r="H307" s="1542">
        <v>4000</v>
      </c>
      <c r="I307" s="2940">
        <v>3000</v>
      </c>
      <c r="J307" s="1545">
        <v>3000</v>
      </c>
      <c r="K307" s="76"/>
      <c r="L307" s="19"/>
      <c r="M307" s="67"/>
      <c r="N307" s="67"/>
      <c r="O307" s="76"/>
      <c r="P307" s="16"/>
    </row>
    <row r="308" spans="1:15" ht="12.75">
      <c r="A308" s="1268">
        <v>634</v>
      </c>
      <c r="B308" s="1265"/>
      <c r="C308" s="1254" t="s">
        <v>354</v>
      </c>
      <c r="D308" s="1639">
        <v>5268.76</v>
      </c>
      <c r="E308" s="1671">
        <v>2500</v>
      </c>
      <c r="F308" s="2679">
        <v>3500</v>
      </c>
      <c r="G308" s="1671">
        <v>4000</v>
      </c>
      <c r="H308" s="1542">
        <v>4000</v>
      </c>
      <c r="I308" s="2940">
        <v>4000</v>
      </c>
      <c r="J308" s="1545">
        <v>4000</v>
      </c>
      <c r="K308" s="76"/>
      <c r="M308" s="76"/>
      <c r="N308" s="67"/>
      <c r="O308" s="76"/>
    </row>
    <row r="309" spans="1:15" ht="12.75">
      <c r="A309" s="1268">
        <v>635</v>
      </c>
      <c r="B309" s="1265"/>
      <c r="C309" s="1254" t="s">
        <v>300</v>
      </c>
      <c r="D309" s="1639">
        <v>195</v>
      </c>
      <c r="E309" s="1671">
        <v>500</v>
      </c>
      <c r="F309" s="2679">
        <v>500</v>
      </c>
      <c r="G309" s="1671">
        <v>1618</v>
      </c>
      <c r="H309" s="1542">
        <v>500</v>
      </c>
      <c r="I309" s="2940">
        <v>500</v>
      </c>
      <c r="J309" s="1545">
        <v>500</v>
      </c>
      <c r="K309" s="76"/>
      <c r="M309" s="67"/>
      <c r="N309" s="67"/>
      <c r="O309" s="76"/>
    </row>
    <row r="310" spans="1:15" ht="12.75">
      <c r="A310" s="1268">
        <v>637</v>
      </c>
      <c r="B310" s="1265"/>
      <c r="C310" s="1254" t="s">
        <v>895</v>
      </c>
      <c r="D310" s="1639">
        <v>3391.96</v>
      </c>
      <c r="E310" s="1671">
        <v>3000</v>
      </c>
      <c r="F310" s="2679">
        <v>3000</v>
      </c>
      <c r="G310" s="1671">
        <v>5405</v>
      </c>
      <c r="H310" s="2086">
        <v>5000</v>
      </c>
      <c r="I310" s="2940">
        <v>5000</v>
      </c>
      <c r="J310" s="1545">
        <v>5000</v>
      </c>
      <c r="K310" s="76"/>
      <c r="M310" s="67"/>
      <c r="N310" s="67"/>
      <c r="O310" s="76"/>
    </row>
    <row r="311" spans="1:15" ht="12.75">
      <c r="A311" s="1268">
        <v>637</v>
      </c>
      <c r="B311" s="1265"/>
      <c r="C311" s="1254" t="s">
        <v>814</v>
      </c>
      <c r="D311" s="1639"/>
      <c r="E311" s="1671"/>
      <c r="F311" s="2679">
        <v>1000</v>
      </c>
      <c r="G311" s="1671">
        <v>500</v>
      </c>
      <c r="H311" s="2086"/>
      <c r="I311" s="2940"/>
      <c r="J311" s="1545"/>
      <c r="K311" s="76"/>
      <c r="M311" s="67"/>
      <c r="N311" s="67"/>
      <c r="O311" s="76"/>
    </row>
    <row r="312" spans="1:15" ht="12.75">
      <c r="A312" s="1268">
        <v>642</v>
      </c>
      <c r="B312" s="1265"/>
      <c r="C312" s="1254" t="s">
        <v>578</v>
      </c>
      <c r="D312" s="1639">
        <f>D313+D315+D316+D314</f>
        <v>15435.32</v>
      </c>
      <c r="E312" s="1671">
        <f aca="true" t="shared" si="25" ref="E312:J312">E313+E315+E316</f>
        <v>15000</v>
      </c>
      <c r="F312" s="2679">
        <f t="shared" si="25"/>
        <v>12000</v>
      </c>
      <c r="G312" s="1671">
        <f t="shared" si="25"/>
        <v>12900</v>
      </c>
      <c r="H312" s="1542">
        <f t="shared" si="25"/>
        <v>10500</v>
      </c>
      <c r="I312" s="2940">
        <f t="shared" si="25"/>
        <v>10500</v>
      </c>
      <c r="J312" s="1545">
        <f t="shared" si="25"/>
        <v>10500</v>
      </c>
      <c r="K312" s="76"/>
      <c r="M312" s="76"/>
      <c r="N312" s="67"/>
      <c r="O312" s="76"/>
    </row>
    <row r="313" spans="1:15" ht="12.75">
      <c r="A313" s="692"/>
      <c r="B313" s="693"/>
      <c r="C313" s="1241" t="s">
        <v>579</v>
      </c>
      <c r="D313" s="1697">
        <v>10835.32</v>
      </c>
      <c r="E313" s="1941">
        <v>10000</v>
      </c>
      <c r="F313" s="2683">
        <v>10000</v>
      </c>
      <c r="G313" s="1941">
        <v>12000</v>
      </c>
      <c r="H313" s="1564">
        <v>10000</v>
      </c>
      <c r="I313" s="2962">
        <v>10000</v>
      </c>
      <c r="J313" s="2641">
        <v>10000</v>
      </c>
      <c r="K313" s="76"/>
      <c r="M313" s="76"/>
      <c r="N313" s="67"/>
      <c r="O313" s="76"/>
    </row>
    <row r="314" spans="1:15" ht="12.75">
      <c r="A314" s="692"/>
      <c r="B314" s="693"/>
      <c r="C314" s="1241" t="s">
        <v>795</v>
      </c>
      <c r="D314" s="1697">
        <v>3900</v>
      </c>
      <c r="E314" s="1941"/>
      <c r="F314" s="2683"/>
      <c r="G314" s="1941"/>
      <c r="H314" s="1564"/>
      <c r="I314" s="2962"/>
      <c r="J314" s="2641"/>
      <c r="K314" s="76"/>
      <c r="M314" s="76"/>
      <c r="N314" s="67"/>
      <c r="O314" s="76"/>
    </row>
    <row r="315" spans="1:15" ht="12.75">
      <c r="A315" s="692"/>
      <c r="B315" s="693"/>
      <c r="C315" s="1241" t="s">
        <v>580</v>
      </c>
      <c r="D315" s="1697">
        <v>700</v>
      </c>
      <c r="E315" s="1941">
        <v>5000</v>
      </c>
      <c r="F315" s="2683">
        <v>1000</v>
      </c>
      <c r="G315" s="1941">
        <v>900</v>
      </c>
      <c r="H315" s="1564">
        <v>500</v>
      </c>
      <c r="I315" s="2962">
        <v>500</v>
      </c>
      <c r="J315" s="2641">
        <v>500</v>
      </c>
      <c r="K315" s="76"/>
      <c r="M315" s="76"/>
      <c r="N315" s="67"/>
      <c r="O315" s="76"/>
    </row>
    <row r="316" spans="1:15" ht="13.5" thickBot="1">
      <c r="A316" s="695"/>
      <c r="B316" s="696"/>
      <c r="C316" s="1267" t="s">
        <v>602</v>
      </c>
      <c r="D316" s="1697">
        <v>0</v>
      </c>
      <c r="E316" s="1941">
        <v>0</v>
      </c>
      <c r="F316" s="2732">
        <v>1000</v>
      </c>
      <c r="G316" s="1941">
        <v>0</v>
      </c>
      <c r="H316" s="1698"/>
      <c r="I316" s="2963"/>
      <c r="J316" s="2642"/>
      <c r="K316" s="76"/>
      <c r="M316" s="76"/>
      <c r="N316" s="67"/>
      <c r="O316" s="76"/>
    </row>
    <row r="317" spans="1:11" ht="13.5" hidden="1" thickBot="1">
      <c r="A317" s="673"/>
      <c r="B317" s="157"/>
      <c r="C317" s="645"/>
      <c r="D317" s="93"/>
      <c r="E317" s="18"/>
      <c r="F317" s="2733"/>
      <c r="G317" s="18"/>
      <c r="H317" s="18"/>
      <c r="J317" s="1700"/>
      <c r="K317" s="77"/>
    </row>
    <row r="318" spans="1:16" s="157" customFormat="1" ht="12.75" customHeight="1">
      <c r="A318" s="656" t="s">
        <v>581</v>
      </c>
      <c r="B318" s="671"/>
      <c r="C318" s="671"/>
      <c r="D318" s="1701">
        <f>D319+D320+D321+D340</f>
        <v>60670.99</v>
      </c>
      <c r="E318" s="2400">
        <f>SUM(E319,E320,E321)+E340</f>
        <v>63946</v>
      </c>
      <c r="F318" s="2813">
        <f>SUM(F319,F320,F321,F340)</f>
        <v>24535</v>
      </c>
      <c r="G318" s="2400">
        <f>SUM(G319,G320,G321,G340)</f>
        <v>45296</v>
      </c>
      <c r="H318" s="1702">
        <f>SUM(H319,H320,H321,H340)</f>
        <v>57680</v>
      </c>
      <c r="I318" s="2998">
        <f>SUM(I319,I320,I321,I340)</f>
        <v>56490</v>
      </c>
      <c r="J318" s="1703">
        <f>SUM(J319,J320,J321,J340)</f>
        <v>55490</v>
      </c>
      <c r="K318" s="652"/>
      <c r="L318" s="74"/>
      <c r="M318" s="93"/>
      <c r="N318" s="93"/>
      <c r="O318" s="93"/>
      <c r="P318" s="577"/>
    </row>
    <row r="319" spans="1:15" ht="12.75" customHeight="1">
      <c r="A319" s="1263">
        <v>610</v>
      </c>
      <c r="B319" s="1264"/>
      <c r="C319" s="1252" t="s">
        <v>456</v>
      </c>
      <c r="D319" s="1947">
        <v>15601.24</v>
      </c>
      <c r="E319" s="1948">
        <v>20000</v>
      </c>
      <c r="F319" s="2679">
        <v>22000</v>
      </c>
      <c r="G319" s="1948">
        <v>18000</v>
      </c>
      <c r="H319" s="1542">
        <v>22000</v>
      </c>
      <c r="I319" s="2940">
        <v>23000</v>
      </c>
      <c r="J319" s="1545">
        <v>23000</v>
      </c>
      <c r="K319" s="92"/>
      <c r="L319" s="93"/>
      <c r="M319" s="92"/>
      <c r="N319" s="92"/>
      <c r="O319" s="92"/>
    </row>
    <row r="320" spans="1:16" s="33" customFormat="1" ht="12.75">
      <c r="A320" s="1263">
        <v>620</v>
      </c>
      <c r="B320" s="1265"/>
      <c r="C320" s="1253" t="s">
        <v>198</v>
      </c>
      <c r="D320" s="1639">
        <v>5885.07</v>
      </c>
      <c r="E320" s="1671">
        <v>7300</v>
      </c>
      <c r="F320" s="2679">
        <v>1400</v>
      </c>
      <c r="G320" s="1671">
        <v>6586</v>
      </c>
      <c r="H320" s="1542">
        <v>8200</v>
      </c>
      <c r="I320" s="2940">
        <v>8510</v>
      </c>
      <c r="J320" s="1545">
        <v>8510</v>
      </c>
      <c r="K320" s="92"/>
      <c r="L320" s="93"/>
      <c r="M320" s="92"/>
      <c r="N320" s="92"/>
      <c r="O320" s="92"/>
      <c r="P320" s="16"/>
    </row>
    <row r="321" spans="1:15" ht="12.75" customHeight="1">
      <c r="A321" s="1266">
        <v>630</v>
      </c>
      <c r="B321" s="775"/>
      <c r="C321" s="1254" t="s">
        <v>369</v>
      </c>
      <c r="D321" s="1639">
        <f>D322+D323+D324+D325+D326+D327+D328+D329+D331+D332+D333+D334+D335+D336+D337+D338+D339</f>
        <v>38176.81</v>
      </c>
      <c r="E321" s="1671">
        <f aca="true" t="shared" si="26" ref="E321:J321">SUM(E322,E323,E324,E326,E329,E337,E331,E333,E334,E336,E325,E335)+E327+E332+E328</f>
        <v>35646</v>
      </c>
      <c r="F321" s="2679">
        <v>135</v>
      </c>
      <c r="G321" s="1671">
        <f t="shared" si="26"/>
        <v>20300</v>
      </c>
      <c r="H321" s="1542">
        <f>SUM(H322,H323,H324,H326,H329,H337,H331,H333,H334,H336,H325,H335)+H327+H332+H328+H339</f>
        <v>26480</v>
      </c>
      <c r="I321" s="2940">
        <f>SUM(I322,I323,I324,I326,I329,I337,I331,I333,I334,I336,I325,I335)+I327+I332+I328+I340</f>
        <v>23980</v>
      </c>
      <c r="J321" s="1545">
        <f t="shared" si="26"/>
        <v>22980</v>
      </c>
      <c r="K321" s="92"/>
      <c r="L321" s="107"/>
      <c r="M321" s="76"/>
      <c r="N321" s="76"/>
      <c r="O321" s="76"/>
    </row>
    <row r="322" spans="1:15" ht="12.75">
      <c r="A322" s="34" t="s">
        <v>459</v>
      </c>
      <c r="B322" s="35"/>
      <c r="C322" s="1241" t="s">
        <v>200</v>
      </c>
      <c r="D322" s="1697">
        <v>74.18</v>
      </c>
      <c r="E322" s="1941">
        <v>100</v>
      </c>
      <c r="F322" s="2683">
        <v>4571</v>
      </c>
      <c r="G322" s="1941">
        <v>150</v>
      </c>
      <c r="H322" s="1564">
        <v>100</v>
      </c>
      <c r="I322" s="2940">
        <v>100</v>
      </c>
      <c r="J322" s="1524">
        <v>100</v>
      </c>
      <c r="K322" s="627"/>
      <c r="M322" s="653"/>
      <c r="N322" s="618"/>
      <c r="O322" s="627"/>
    </row>
    <row r="323" spans="1:15" ht="12.75">
      <c r="A323" s="34">
        <v>632</v>
      </c>
      <c r="B323" s="35"/>
      <c r="C323" s="1241" t="s">
        <v>460</v>
      </c>
      <c r="D323" s="1697">
        <v>7159.37</v>
      </c>
      <c r="E323" s="1941">
        <v>11030</v>
      </c>
      <c r="F323" s="2683">
        <v>480</v>
      </c>
      <c r="G323" s="1941">
        <v>9080</v>
      </c>
      <c r="H323" s="1564">
        <v>10080</v>
      </c>
      <c r="I323" s="2940">
        <v>10080</v>
      </c>
      <c r="J323" s="1524">
        <v>10080</v>
      </c>
      <c r="K323" s="627"/>
      <c r="M323" s="627"/>
      <c r="N323" s="618"/>
      <c r="O323" s="627"/>
    </row>
    <row r="324" spans="1:15" ht="12.75">
      <c r="A324" s="41">
        <v>633</v>
      </c>
      <c r="B324" s="42"/>
      <c r="C324" s="1249" t="s">
        <v>204</v>
      </c>
      <c r="D324" s="1697">
        <v>531.22</v>
      </c>
      <c r="E324" s="1941">
        <v>3000</v>
      </c>
      <c r="F324" s="2683">
        <v>3000</v>
      </c>
      <c r="G324" s="1941">
        <v>1200</v>
      </c>
      <c r="H324" s="1564">
        <v>3000</v>
      </c>
      <c r="I324" s="2940">
        <v>2000</v>
      </c>
      <c r="J324" s="1524">
        <v>2000</v>
      </c>
      <c r="K324" s="627"/>
      <c r="M324" s="627"/>
      <c r="N324" s="618"/>
      <c r="O324" s="627"/>
    </row>
    <row r="325" spans="1:15" ht="12.75">
      <c r="A325" s="41">
        <v>633</v>
      </c>
      <c r="B325" s="42" t="s">
        <v>113</v>
      </c>
      <c r="C325" s="1249" t="s">
        <v>582</v>
      </c>
      <c r="D325" s="1697">
        <v>0</v>
      </c>
      <c r="E325" s="1941">
        <v>300</v>
      </c>
      <c r="F325" s="2683">
        <v>300</v>
      </c>
      <c r="G325" s="1941">
        <v>0</v>
      </c>
      <c r="H325" s="1564">
        <v>300</v>
      </c>
      <c r="I325" s="2940">
        <v>300</v>
      </c>
      <c r="J325" s="1524">
        <v>300</v>
      </c>
      <c r="K325" s="633"/>
      <c r="M325" s="668"/>
      <c r="N325" s="572"/>
      <c r="O325" s="633"/>
    </row>
    <row r="326" spans="1:15" ht="12.75">
      <c r="A326" s="41">
        <v>633</v>
      </c>
      <c r="B326" s="42" t="s">
        <v>475</v>
      </c>
      <c r="C326" s="1249" t="s">
        <v>364</v>
      </c>
      <c r="D326" s="1697">
        <v>0</v>
      </c>
      <c r="E326" s="1941">
        <v>500</v>
      </c>
      <c r="F326" s="2683">
        <v>500</v>
      </c>
      <c r="G326" s="1941">
        <v>800</v>
      </c>
      <c r="H326" s="1564">
        <v>500</v>
      </c>
      <c r="I326" s="2940">
        <v>500</v>
      </c>
      <c r="J326" s="1524">
        <v>500</v>
      </c>
      <c r="K326" s="627"/>
      <c r="M326" s="653"/>
      <c r="N326" s="618"/>
      <c r="O326" s="627"/>
    </row>
    <row r="327" spans="1:15" ht="12.75">
      <c r="A327" s="802">
        <v>633</v>
      </c>
      <c r="B327" s="803" t="s">
        <v>475</v>
      </c>
      <c r="C327" s="1258" t="s">
        <v>476</v>
      </c>
      <c r="D327" s="2293">
        <v>0</v>
      </c>
      <c r="E327" s="2295">
        <v>0</v>
      </c>
      <c r="F327" s="2734">
        <v>0</v>
      </c>
      <c r="G327" s="2295">
        <v>0</v>
      </c>
      <c r="H327" s="1704">
        <v>0</v>
      </c>
      <c r="I327" s="2940">
        <v>0</v>
      </c>
      <c r="J327" s="1705">
        <v>0</v>
      </c>
      <c r="K327" s="627"/>
      <c r="M327" s="653"/>
      <c r="N327" s="618"/>
      <c r="O327" s="627"/>
    </row>
    <row r="328" spans="1:15" ht="12.75">
      <c r="A328" s="41">
        <v>633</v>
      </c>
      <c r="B328" s="42" t="s">
        <v>475</v>
      </c>
      <c r="C328" s="1249" t="s">
        <v>724</v>
      </c>
      <c r="D328" s="1697">
        <v>935.56</v>
      </c>
      <c r="E328" s="1941">
        <v>1400</v>
      </c>
      <c r="F328" s="2683">
        <v>1400</v>
      </c>
      <c r="G328" s="1941">
        <v>1000</v>
      </c>
      <c r="H328" s="1564">
        <v>1000</v>
      </c>
      <c r="I328" s="2940">
        <v>1000</v>
      </c>
      <c r="J328" s="1524">
        <v>1000</v>
      </c>
      <c r="K328" s="627"/>
      <c r="M328" s="653"/>
      <c r="N328" s="618"/>
      <c r="O328" s="627"/>
    </row>
    <row r="329" spans="1:15" ht="12.75">
      <c r="A329" s="41">
        <v>642</v>
      </c>
      <c r="B329" s="699"/>
      <c r="C329" s="1240" t="s">
        <v>583</v>
      </c>
      <c r="D329" s="1697">
        <v>2000</v>
      </c>
      <c r="E329" s="1941">
        <v>0</v>
      </c>
      <c r="F329" s="2683">
        <v>1000</v>
      </c>
      <c r="G329" s="1941">
        <v>0</v>
      </c>
      <c r="H329" s="1564">
        <v>1000</v>
      </c>
      <c r="I329" s="2940"/>
      <c r="J329" s="1524"/>
      <c r="K329" s="627"/>
      <c r="M329" s="653"/>
      <c r="N329" s="618"/>
      <c r="O329" s="627"/>
    </row>
    <row r="330" spans="1:15" ht="12.75" hidden="1">
      <c r="A330" s="968"/>
      <c r="B330" s="969"/>
      <c r="C330" s="1259"/>
      <c r="D330" s="2248"/>
      <c r="E330" s="2264"/>
      <c r="F330" s="2735"/>
      <c r="G330" s="2264"/>
      <c r="H330" s="1706"/>
      <c r="I330" s="2964"/>
      <c r="J330" s="1707"/>
      <c r="K330" s="627"/>
      <c r="M330" s="653"/>
      <c r="N330" s="618"/>
      <c r="O330" s="627"/>
    </row>
    <row r="331" spans="1:15" ht="12.75">
      <c r="A331" s="41">
        <v>634</v>
      </c>
      <c r="B331" s="42"/>
      <c r="C331" s="1249" t="s">
        <v>206</v>
      </c>
      <c r="D331" s="1697"/>
      <c r="E331" s="1941">
        <v>200</v>
      </c>
      <c r="F331" s="2683">
        <v>200</v>
      </c>
      <c r="G331" s="1941">
        <v>46</v>
      </c>
      <c r="H331" s="1564">
        <v>200</v>
      </c>
      <c r="I331" s="2940">
        <v>200</v>
      </c>
      <c r="J331" s="1524">
        <v>200</v>
      </c>
      <c r="K331" s="627"/>
      <c r="M331" s="653"/>
      <c r="N331" s="618"/>
      <c r="O331" s="627"/>
    </row>
    <row r="332" spans="1:15" ht="12.75">
      <c r="A332" s="41">
        <v>634</v>
      </c>
      <c r="B332" s="42" t="s">
        <v>113</v>
      </c>
      <c r="C332" s="1249" t="s">
        <v>354</v>
      </c>
      <c r="D332" s="2294">
        <v>1296.48</v>
      </c>
      <c r="E332" s="2296">
        <v>1500</v>
      </c>
      <c r="F332" s="2736">
        <v>1500</v>
      </c>
      <c r="G332" s="2296">
        <v>0</v>
      </c>
      <c r="H332" s="1708">
        <v>1500</v>
      </c>
      <c r="I332" s="2940">
        <v>1500</v>
      </c>
      <c r="J332" s="1709">
        <v>1500</v>
      </c>
      <c r="K332" s="627"/>
      <c r="M332" s="653"/>
      <c r="N332" s="618"/>
      <c r="O332" s="627"/>
    </row>
    <row r="333" spans="1:16" ht="12.75">
      <c r="A333" s="41">
        <v>635</v>
      </c>
      <c r="B333" s="42"/>
      <c r="C333" s="1249" t="s">
        <v>300</v>
      </c>
      <c r="D333" s="1697">
        <v>2175</v>
      </c>
      <c r="E333" s="1941">
        <v>500</v>
      </c>
      <c r="F333" s="2683">
        <v>1500</v>
      </c>
      <c r="G333" s="1941">
        <v>0</v>
      </c>
      <c r="H333" s="1564">
        <v>1300</v>
      </c>
      <c r="I333" s="2940">
        <v>1300</v>
      </c>
      <c r="J333" s="1524">
        <v>1300</v>
      </c>
      <c r="K333" s="627"/>
      <c r="M333" s="653"/>
      <c r="N333" s="618"/>
      <c r="O333" s="627"/>
      <c r="P333" s="605"/>
    </row>
    <row r="334" spans="1:15" ht="12.75">
      <c r="A334" s="579">
        <v>636</v>
      </c>
      <c r="B334" s="604" t="s">
        <v>100</v>
      </c>
      <c r="C334" s="1260" t="s">
        <v>584</v>
      </c>
      <c r="D334" s="1697">
        <v>0</v>
      </c>
      <c r="E334" s="1941">
        <v>0</v>
      </c>
      <c r="F334" s="2683">
        <v>0</v>
      </c>
      <c r="G334" s="1941">
        <v>0</v>
      </c>
      <c r="H334" s="1564">
        <v>0</v>
      </c>
      <c r="I334" s="2940">
        <v>0</v>
      </c>
      <c r="J334" s="1524">
        <v>0</v>
      </c>
      <c r="K334" s="633"/>
      <c r="M334" s="668"/>
      <c r="N334" s="572"/>
      <c r="O334" s="627"/>
    </row>
    <row r="335" spans="1:15" ht="12.75">
      <c r="A335" s="622">
        <v>637</v>
      </c>
      <c r="B335" s="623"/>
      <c r="C335" s="1261" t="s">
        <v>706</v>
      </c>
      <c r="D335" s="2254">
        <v>1700</v>
      </c>
      <c r="E335" s="2247">
        <v>0</v>
      </c>
      <c r="F335" s="2678">
        <v>500</v>
      </c>
      <c r="G335" s="2247">
        <v>0</v>
      </c>
      <c r="H335" s="1562"/>
      <c r="I335" s="2940"/>
      <c r="J335" s="1563"/>
      <c r="K335" s="633"/>
      <c r="M335" s="668"/>
      <c r="N335" s="572"/>
      <c r="O335" s="627"/>
    </row>
    <row r="336" spans="1:15" ht="12.75">
      <c r="A336" s="41">
        <v>637</v>
      </c>
      <c r="B336" s="42"/>
      <c r="C336" s="1249" t="s">
        <v>212</v>
      </c>
      <c r="D336" s="1697">
        <v>4105</v>
      </c>
      <c r="E336" s="1941">
        <v>2000</v>
      </c>
      <c r="F336" s="2683">
        <v>1500</v>
      </c>
      <c r="G336" s="1941">
        <v>888</v>
      </c>
      <c r="H336" s="1564">
        <v>1000</v>
      </c>
      <c r="I336" s="2940">
        <v>1000</v>
      </c>
      <c r="J336" s="1524">
        <v>1000</v>
      </c>
      <c r="K336" s="627"/>
      <c r="M336" s="653"/>
      <c r="N336" s="618"/>
      <c r="O336" s="627"/>
    </row>
    <row r="337" spans="1:15" ht="12.75">
      <c r="A337" s="65">
        <v>637</v>
      </c>
      <c r="B337" s="87" t="s">
        <v>113</v>
      </c>
      <c r="C337" s="1248" t="s">
        <v>585</v>
      </c>
      <c r="D337" s="1697"/>
      <c r="E337" s="1941">
        <v>15116</v>
      </c>
      <c r="F337" s="2683">
        <v>10000</v>
      </c>
      <c r="G337" s="1941">
        <v>7136</v>
      </c>
      <c r="H337" s="2116">
        <v>5000</v>
      </c>
      <c r="I337" s="2940">
        <v>5000</v>
      </c>
      <c r="J337" s="1524">
        <v>5000</v>
      </c>
      <c r="K337" s="627"/>
      <c r="M337" s="653"/>
      <c r="N337" s="618"/>
      <c r="O337" s="627"/>
    </row>
    <row r="338" spans="1:15" ht="12.75">
      <c r="A338" s="2288"/>
      <c r="B338" s="2289"/>
      <c r="C338" s="2290" t="s">
        <v>796</v>
      </c>
      <c r="D338" s="2286">
        <v>16500</v>
      </c>
      <c r="E338" s="2297"/>
      <c r="F338" s="2737"/>
      <c r="G338" s="2297"/>
      <c r="H338" s="2291"/>
      <c r="I338" s="2958"/>
      <c r="J338" s="2292"/>
      <c r="K338" s="627"/>
      <c r="M338" s="653"/>
      <c r="N338" s="618"/>
      <c r="O338" s="627"/>
    </row>
    <row r="339" spans="1:15" ht="12.75">
      <c r="A339" s="2288"/>
      <c r="B339" s="2289"/>
      <c r="C339" s="2290" t="s">
        <v>797</v>
      </c>
      <c r="D339" s="2286">
        <v>1700</v>
      </c>
      <c r="E339" s="2297">
        <v>1500</v>
      </c>
      <c r="F339" s="2737"/>
      <c r="G339" s="2297"/>
      <c r="H339" s="2291">
        <v>1500</v>
      </c>
      <c r="I339" s="2958">
        <v>1500</v>
      </c>
      <c r="J339" s="2292">
        <v>1500</v>
      </c>
      <c r="K339" s="627"/>
      <c r="M339" s="653"/>
      <c r="N339" s="618"/>
      <c r="O339" s="627"/>
    </row>
    <row r="340" spans="1:16" ht="13.5" thickBot="1">
      <c r="A340" s="700">
        <v>642</v>
      </c>
      <c r="B340" s="678" t="s">
        <v>104</v>
      </c>
      <c r="C340" s="1262" t="s">
        <v>586</v>
      </c>
      <c r="D340" s="1743">
        <v>1007.87</v>
      </c>
      <c r="E340" s="1671">
        <v>1000</v>
      </c>
      <c r="F340" s="2738">
        <v>1000</v>
      </c>
      <c r="G340" s="1671">
        <v>410</v>
      </c>
      <c r="H340" s="1627">
        <v>1000</v>
      </c>
      <c r="I340" s="2948">
        <v>1000</v>
      </c>
      <c r="J340" s="1628">
        <v>1000</v>
      </c>
      <c r="K340" s="92"/>
      <c r="M340" s="76"/>
      <c r="N340" s="67"/>
      <c r="O340" s="76"/>
      <c r="P340" s="637"/>
    </row>
    <row r="341" spans="1:16" ht="13.5" hidden="1" thickBot="1">
      <c r="A341" s="701"/>
      <c r="B341" s="55"/>
      <c r="C341" s="55"/>
      <c r="D341" s="60"/>
      <c r="E341" s="56"/>
      <c r="F341" s="2739"/>
      <c r="G341" s="56"/>
      <c r="H341" s="1710"/>
      <c r="I341" s="2943"/>
      <c r="J341" s="152"/>
      <c r="K341" s="92"/>
      <c r="M341" s="76"/>
      <c r="N341" s="67"/>
      <c r="O341" s="76"/>
      <c r="P341" s="637"/>
    </row>
    <row r="342" spans="1:15" s="157" customFormat="1" ht="11.25">
      <c r="A342" s="656" t="s">
        <v>587</v>
      </c>
      <c r="B342" s="671"/>
      <c r="C342" s="672"/>
      <c r="D342" s="1513">
        <f>D343</f>
        <v>721.72</v>
      </c>
      <c r="E342" s="2137">
        <f aca="true" t="shared" si="27" ref="E342:J342">E343</f>
        <v>200</v>
      </c>
      <c r="F342" s="2814">
        <f t="shared" si="27"/>
        <v>950</v>
      </c>
      <c r="G342" s="2137">
        <f t="shared" si="27"/>
        <v>2598</v>
      </c>
      <c r="H342" s="1629">
        <f t="shared" si="27"/>
        <v>850</v>
      </c>
      <c r="I342" s="2996">
        <f t="shared" si="27"/>
        <v>850</v>
      </c>
      <c r="J342" s="1630">
        <f t="shared" si="27"/>
        <v>850</v>
      </c>
      <c r="K342" s="652"/>
      <c r="L342" s="644"/>
      <c r="M342" s="631"/>
      <c r="N342" s="631"/>
      <c r="O342" s="631"/>
    </row>
    <row r="343" spans="1:15" ht="12.75">
      <c r="A343" s="698">
        <v>630</v>
      </c>
      <c r="B343" s="694"/>
      <c r="C343" s="1257" t="s">
        <v>369</v>
      </c>
      <c r="D343" s="1947">
        <f>SUM(D344,D345,D346,D348,D349)+D347</f>
        <v>721.72</v>
      </c>
      <c r="E343" s="1948">
        <f>SUM(E344,E345,E346,E348,E349)</f>
        <v>200</v>
      </c>
      <c r="F343" s="2740">
        <f>SUM(F344:F349)</f>
        <v>950</v>
      </c>
      <c r="G343" s="1948">
        <f>SUM(G344,G345,G346,G348,G349)</f>
        <v>2598</v>
      </c>
      <c r="H343" s="1711">
        <f>SUM(H344:H349)</f>
        <v>850</v>
      </c>
      <c r="I343" s="2965">
        <f>SUM(I344:I349)</f>
        <v>850</v>
      </c>
      <c r="J343" s="1551">
        <f>SUM(J344:J349)</f>
        <v>850</v>
      </c>
      <c r="K343" s="76"/>
      <c r="M343" s="67"/>
      <c r="N343" s="67"/>
      <c r="O343" s="67"/>
    </row>
    <row r="344" spans="1:15" ht="12.75">
      <c r="A344" s="34" t="s">
        <v>459</v>
      </c>
      <c r="B344" s="35"/>
      <c r="C344" s="965" t="s">
        <v>200</v>
      </c>
      <c r="D344" s="1697">
        <v>0</v>
      </c>
      <c r="E344" s="1941">
        <v>0</v>
      </c>
      <c r="F344" s="2683">
        <v>0</v>
      </c>
      <c r="G344" s="1941">
        <v>0</v>
      </c>
      <c r="H344" s="1564">
        <v>0</v>
      </c>
      <c r="I344" s="2940">
        <v>0</v>
      </c>
      <c r="J344" s="1524">
        <v>0</v>
      </c>
      <c r="K344" s="627"/>
      <c r="M344" s="653"/>
      <c r="N344" s="618"/>
      <c r="O344" s="653"/>
    </row>
    <row r="345" spans="1:15" ht="12.75">
      <c r="A345" s="34">
        <v>632</v>
      </c>
      <c r="B345" s="35"/>
      <c r="C345" s="965" t="s">
        <v>460</v>
      </c>
      <c r="D345" s="1697">
        <v>172</v>
      </c>
      <c r="E345" s="1941">
        <v>200</v>
      </c>
      <c r="F345" s="2683">
        <v>300</v>
      </c>
      <c r="G345" s="1941">
        <v>180</v>
      </c>
      <c r="H345" s="1564">
        <v>200</v>
      </c>
      <c r="I345" s="2940">
        <v>200</v>
      </c>
      <c r="J345" s="1524">
        <v>200</v>
      </c>
      <c r="K345" s="627"/>
      <c r="M345" s="653"/>
      <c r="N345" s="618"/>
      <c r="O345" s="653"/>
    </row>
    <row r="346" spans="1:15" ht="12.75">
      <c r="A346" s="41">
        <v>633</v>
      </c>
      <c r="B346" s="42"/>
      <c r="C346" s="1231" t="s">
        <v>588</v>
      </c>
      <c r="D346" s="1697">
        <v>0</v>
      </c>
      <c r="E346" s="1941">
        <v>0</v>
      </c>
      <c r="F346" s="2683">
        <v>500</v>
      </c>
      <c r="G346" s="1941">
        <v>1838</v>
      </c>
      <c r="H346" s="1564">
        <v>500</v>
      </c>
      <c r="I346" s="2940">
        <v>500</v>
      </c>
      <c r="J346" s="1524">
        <v>500</v>
      </c>
      <c r="K346" s="627"/>
      <c r="M346" s="653"/>
      <c r="N346" s="618"/>
      <c r="O346" s="653"/>
    </row>
    <row r="347" spans="1:15" ht="12.75">
      <c r="A347" s="1192"/>
      <c r="B347" s="1193"/>
      <c r="C347" s="2438" t="s">
        <v>798</v>
      </c>
      <c r="D347" s="2286">
        <v>483.33</v>
      </c>
      <c r="E347" s="2297"/>
      <c r="F347" s="2741"/>
      <c r="G347" s="2297"/>
      <c r="H347" s="2439"/>
      <c r="I347" s="2944"/>
      <c r="J347" s="2440"/>
      <c r="K347" s="627"/>
      <c r="M347" s="653"/>
      <c r="N347" s="618"/>
      <c r="O347" s="653"/>
    </row>
    <row r="348" spans="1:15" ht="12.75">
      <c r="A348" s="617">
        <v>635</v>
      </c>
      <c r="B348" s="55"/>
      <c r="C348" s="2434" t="s">
        <v>300</v>
      </c>
      <c r="D348" s="2435">
        <v>0</v>
      </c>
      <c r="E348" s="2436">
        <v>0</v>
      </c>
      <c r="F348" s="2742">
        <v>150</v>
      </c>
      <c r="G348" s="2436">
        <v>0</v>
      </c>
      <c r="H348" s="2437">
        <v>150</v>
      </c>
      <c r="I348" s="2943">
        <v>150</v>
      </c>
      <c r="J348" s="2429">
        <v>150</v>
      </c>
      <c r="K348" s="627"/>
      <c r="M348" s="653"/>
      <c r="N348" s="618"/>
      <c r="O348" s="653"/>
    </row>
    <row r="349" spans="1:15" ht="13.5" thickBot="1">
      <c r="A349" s="51">
        <v>637</v>
      </c>
      <c r="B349" s="52"/>
      <c r="C349" s="1232" t="s">
        <v>896</v>
      </c>
      <c r="D349" s="1697">
        <v>66.39</v>
      </c>
      <c r="E349" s="1941">
        <v>0</v>
      </c>
      <c r="F349" s="2732">
        <v>0</v>
      </c>
      <c r="G349" s="1941">
        <v>580</v>
      </c>
      <c r="H349" s="1698">
        <v>0</v>
      </c>
      <c r="I349" s="2948">
        <v>0</v>
      </c>
      <c r="J349" s="1699">
        <v>0</v>
      </c>
      <c r="K349" s="627"/>
      <c r="M349" s="653"/>
      <c r="N349" s="618"/>
      <c r="O349" s="653"/>
    </row>
    <row r="350" spans="1:15" ht="13.5" hidden="1" thickBot="1">
      <c r="A350" s="701"/>
      <c r="B350" s="55"/>
      <c r="C350" s="55"/>
      <c r="D350" s="60"/>
      <c r="E350" s="56"/>
      <c r="F350" s="2064"/>
      <c r="G350" s="56"/>
      <c r="H350" s="1712"/>
      <c r="J350" s="56"/>
      <c r="K350" s="627"/>
      <c r="M350" s="653"/>
      <c r="N350" s="618"/>
      <c r="O350" s="653"/>
    </row>
    <row r="351" spans="1:15" ht="13.5" hidden="1" thickBot="1">
      <c r="A351" s="55"/>
      <c r="B351" s="55"/>
      <c r="C351" s="55"/>
      <c r="D351" s="60"/>
      <c r="E351" s="56"/>
      <c r="F351" s="2064"/>
      <c r="G351" s="56"/>
      <c r="H351" s="1712"/>
      <c r="J351" s="56"/>
      <c r="K351" s="627"/>
      <c r="M351" s="653"/>
      <c r="N351" s="618"/>
      <c r="O351" s="653"/>
    </row>
    <row r="352" spans="1:15" ht="13.5" hidden="1" thickBot="1">
      <c r="A352" s="55"/>
      <c r="B352" s="55"/>
      <c r="C352" s="55"/>
      <c r="D352" s="60"/>
      <c r="E352" s="56"/>
      <c r="F352" s="2064"/>
      <c r="G352" s="56"/>
      <c r="H352" s="1712"/>
      <c r="J352" s="56"/>
      <c r="K352" s="627"/>
      <c r="M352" s="653"/>
      <c r="N352" s="618"/>
      <c r="O352" s="653"/>
    </row>
    <row r="353" spans="1:15" s="157" customFormat="1" ht="11.25">
      <c r="A353" s="788" t="s">
        <v>589</v>
      </c>
      <c r="B353" s="789"/>
      <c r="C353" s="789"/>
      <c r="D353" s="1713">
        <f>D354</f>
        <v>1290</v>
      </c>
      <c r="E353" s="2156">
        <f aca="true" t="shared" si="28" ref="E353:J353">SUM(E354)</f>
        <v>1478</v>
      </c>
      <c r="F353" s="2815">
        <f t="shared" si="28"/>
        <v>1500</v>
      </c>
      <c r="G353" s="2156">
        <f t="shared" si="28"/>
        <v>1200</v>
      </c>
      <c r="H353" s="1715">
        <f t="shared" si="28"/>
        <v>2000</v>
      </c>
      <c r="I353" s="3000">
        <f t="shared" si="28"/>
        <v>2000</v>
      </c>
      <c r="J353" s="1670">
        <f t="shared" si="28"/>
        <v>2000</v>
      </c>
      <c r="K353" s="652"/>
      <c r="L353" s="631"/>
      <c r="M353" s="631"/>
      <c r="N353" s="631"/>
      <c r="O353" s="631"/>
    </row>
    <row r="354" spans="1:15" ht="12.75">
      <c r="A354" s="1255">
        <v>637</v>
      </c>
      <c r="B354" s="693"/>
      <c r="C354" s="1247" t="s">
        <v>212</v>
      </c>
      <c r="D354" s="1716">
        <f>D355</f>
        <v>1290</v>
      </c>
      <c r="E354" s="2149">
        <f aca="true" t="shared" si="29" ref="E354:J354">E355</f>
        <v>1478</v>
      </c>
      <c r="F354" s="2679">
        <f t="shared" si="29"/>
        <v>1500</v>
      </c>
      <c r="G354" s="2149">
        <f t="shared" si="29"/>
        <v>1200</v>
      </c>
      <c r="H354" s="1542">
        <f t="shared" si="29"/>
        <v>2000</v>
      </c>
      <c r="I354" s="2940">
        <f t="shared" si="29"/>
        <v>2000</v>
      </c>
      <c r="J354" s="1657">
        <f t="shared" si="29"/>
        <v>2000</v>
      </c>
      <c r="K354" s="76"/>
      <c r="M354" s="67"/>
      <c r="N354" s="67"/>
      <c r="O354" s="67"/>
    </row>
    <row r="355" spans="1:15" ht="13.5" thickBot="1">
      <c r="A355" s="800">
        <v>637</v>
      </c>
      <c r="B355" s="801" t="s">
        <v>122</v>
      </c>
      <c r="C355" s="1256" t="s">
        <v>590</v>
      </c>
      <c r="D355" s="1717">
        <v>1290</v>
      </c>
      <c r="E355" s="2157">
        <v>1478</v>
      </c>
      <c r="F355" s="2743">
        <v>1500</v>
      </c>
      <c r="G355" s="2157">
        <v>1200</v>
      </c>
      <c r="H355" s="1718">
        <v>2000</v>
      </c>
      <c r="I355" s="2961">
        <v>2000</v>
      </c>
      <c r="J355" s="1719">
        <v>2000</v>
      </c>
      <c r="K355" s="627"/>
      <c r="M355" s="653"/>
      <c r="N355" s="618"/>
      <c r="O355" s="653"/>
    </row>
    <row r="356" spans="1:15" s="157" customFormat="1" ht="11.25">
      <c r="A356" s="788" t="s">
        <v>903</v>
      </c>
      <c r="B356" s="789"/>
      <c r="C356" s="789"/>
      <c r="D356" s="1713">
        <f>D357</f>
        <v>0</v>
      </c>
      <c r="E356" s="2156">
        <f aca="true" t="shared" si="30" ref="E356:J356">SUM(E357)</f>
        <v>0</v>
      </c>
      <c r="F356" s="2815">
        <f t="shared" si="30"/>
        <v>0</v>
      </c>
      <c r="G356" s="2156">
        <f t="shared" si="30"/>
        <v>0</v>
      </c>
      <c r="H356" s="1715">
        <f t="shared" si="30"/>
        <v>6120</v>
      </c>
      <c r="I356" s="3000">
        <f t="shared" si="30"/>
        <v>6120</v>
      </c>
      <c r="J356" s="1670">
        <f t="shared" si="30"/>
        <v>6120</v>
      </c>
      <c r="K356" s="652"/>
      <c r="L356" s="631"/>
      <c r="M356" s="631"/>
      <c r="N356" s="631"/>
      <c r="O356" s="631"/>
    </row>
    <row r="357" spans="1:15" ht="12.75">
      <c r="A357" s="1255">
        <v>637</v>
      </c>
      <c r="B357" s="693"/>
      <c r="C357" s="1247" t="s">
        <v>212</v>
      </c>
      <c r="D357" s="1716"/>
      <c r="E357" s="2149"/>
      <c r="F357" s="2679"/>
      <c r="G357" s="2149"/>
      <c r="H357" s="1542">
        <f>H358</f>
        <v>6120</v>
      </c>
      <c r="I357" s="2940">
        <f>I358</f>
        <v>6120</v>
      </c>
      <c r="J357" s="1657">
        <f>J358</f>
        <v>6120</v>
      </c>
      <c r="K357" s="76"/>
      <c r="M357" s="67"/>
      <c r="N357" s="67"/>
      <c r="O357" s="67"/>
    </row>
    <row r="358" spans="1:15" ht="13.5" thickBot="1">
      <c r="A358" s="800">
        <v>637</v>
      </c>
      <c r="B358" s="801" t="s">
        <v>113</v>
      </c>
      <c r="C358" s="1256" t="s">
        <v>904</v>
      </c>
      <c r="D358" s="1717"/>
      <c r="E358" s="2157"/>
      <c r="F358" s="2743"/>
      <c r="G358" s="2157"/>
      <c r="H358" s="1718">
        <v>6120</v>
      </c>
      <c r="I358" s="2961">
        <v>6120</v>
      </c>
      <c r="J358" s="1719">
        <v>6120</v>
      </c>
      <c r="K358" s="627"/>
      <c r="M358" s="653"/>
      <c r="N358" s="618"/>
      <c r="O358" s="653"/>
    </row>
    <row r="359" spans="1:15" s="157" customFormat="1" ht="11.25">
      <c r="A359" s="788" t="s">
        <v>591</v>
      </c>
      <c r="B359" s="789"/>
      <c r="C359" s="789"/>
      <c r="D359" s="1713">
        <f>SUM(D360:D362)</f>
        <v>29170</v>
      </c>
      <c r="E359" s="2156">
        <f aca="true" t="shared" si="31" ref="E359:J359">SUM(E360,E361)+E362</f>
        <v>18828</v>
      </c>
      <c r="F359" s="2815">
        <f t="shared" si="31"/>
        <v>13500</v>
      </c>
      <c r="G359" s="2156">
        <f t="shared" si="31"/>
        <v>16521</v>
      </c>
      <c r="H359" s="1715">
        <f t="shared" si="31"/>
        <v>3000</v>
      </c>
      <c r="I359" s="3000">
        <f t="shared" si="31"/>
        <v>8000</v>
      </c>
      <c r="J359" s="1670">
        <f t="shared" si="31"/>
        <v>13000</v>
      </c>
      <c r="K359" s="652"/>
      <c r="L359" s="631"/>
      <c r="M359" s="576"/>
      <c r="N359" s="576"/>
      <c r="O359" s="576"/>
    </row>
    <row r="360" spans="1:16" s="19" customFormat="1" ht="12.75">
      <c r="A360" s="1927">
        <v>630</v>
      </c>
      <c r="B360" s="694"/>
      <c r="C360" s="1247" t="s">
        <v>592</v>
      </c>
      <c r="D360" s="1633">
        <v>1855</v>
      </c>
      <c r="E360" s="2149">
        <v>1687</v>
      </c>
      <c r="F360" s="2679">
        <v>2000</v>
      </c>
      <c r="G360" s="2149">
        <v>880</v>
      </c>
      <c r="H360" s="1542">
        <v>2000</v>
      </c>
      <c r="I360" s="2940">
        <v>2000</v>
      </c>
      <c r="J360" s="1657">
        <v>2000</v>
      </c>
      <c r="K360" s="92"/>
      <c r="L360" s="62"/>
      <c r="M360" s="76"/>
      <c r="N360" s="67"/>
      <c r="O360" s="67"/>
      <c r="P360" s="16"/>
    </row>
    <row r="361" spans="1:16" s="33" customFormat="1" ht="12.75">
      <c r="A361" s="1255">
        <v>642</v>
      </c>
      <c r="B361" s="693"/>
      <c r="C361" s="1247" t="s">
        <v>385</v>
      </c>
      <c r="D361" s="1633">
        <v>550</v>
      </c>
      <c r="E361" s="2149">
        <v>1200</v>
      </c>
      <c r="F361" s="2679">
        <v>1500</v>
      </c>
      <c r="G361" s="2149">
        <v>500</v>
      </c>
      <c r="H361" s="1542">
        <v>1000</v>
      </c>
      <c r="I361" s="2940">
        <v>1000</v>
      </c>
      <c r="J361" s="1657">
        <v>1000</v>
      </c>
      <c r="K361" s="76"/>
      <c r="L361" s="19"/>
      <c r="M361" s="67"/>
      <c r="N361" s="67"/>
      <c r="O361" s="67"/>
      <c r="P361" s="16"/>
    </row>
    <row r="362" spans="1:16" s="33" customFormat="1" ht="12.75">
      <c r="A362" s="782">
        <v>642</v>
      </c>
      <c r="B362" s="42" t="s">
        <v>100</v>
      </c>
      <c r="C362" s="1241" t="s">
        <v>602</v>
      </c>
      <c r="D362" s="1634">
        <v>26765</v>
      </c>
      <c r="E362" s="2150">
        <v>15941</v>
      </c>
      <c r="F362" s="2679">
        <v>10000</v>
      </c>
      <c r="G362" s="2150">
        <v>15141</v>
      </c>
      <c r="H362" s="3089">
        <v>0</v>
      </c>
      <c r="I362" s="3096">
        <v>5000</v>
      </c>
      <c r="J362" s="2663">
        <v>10000</v>
      </c>
      <c r="K362" s="627"/>
      <c r="L362" s="19"/>
      <c r="M362" s="653"/>
      <c r="N362" s="67"/>
      <c r="O362" s="67"/>
      <c r="P362" s="16"/>
    </row>
    <row r="363" spans="1:16" ht="13.5" thickBot="1">
      <c r="A363" s="795" t="s">
        <v>593</v>
      </c>
      <c r="B363" s="796"/>
      <c r="C363" s="797" t="s">
        <v>594</v>
      </c>
      <c r="D363" s="1928">
        <f>SUM(D305,D318,D342,D353,D359)</f>
        <v>124743.59</v>
      </c>
      <c r="E363" s="1929">
        <f>SUM(E305,E318,E342,E353,E359)</f>
        <v>115952</v>
      </c>
      <c r="F363" s="2744">
        <f>SUM(F305,F318,F342,F353,F359)</f>
        <v>73485</v>
      </c>
      <c r="G363" s="1929">
        <f>SUM(G305,G318,G342,G353,G359)</f>
        <v>101300</v>
      </c>
      <c r="H363" s="1930">
        <f>SUM(H305,H318,H342,H353,H359)+H356</f>
        <v>101565</v>
      </c>
      <c r="I363" s="3001">
        <f>SUM(I305,I318,I342,I353,I359)+I356</f>
        <v>104375</v>
      </c>
      <c r="J363" s="1931">
        <f>SUM(J305,J318,J342,J353,J359)+J356</f>
        <v>108375</v>
      </c>
      <c r="K363" s="93"/>
      <c r="L363" s="631"/>
      <c r="M363" s="576"/>
      <c r="N363" s="576"/>
      <c r="O363" s="576"/>
      <c r="P363" s="654"/>
    </row>
    <row r="364" spans="1:10" ht="12.75" customHeight="1" hidden="1">
      <c r="A364" s="648"/>
      <c r="B364" s="67"/>
      <c r="C364" s="149"/>
      <c r="D364" s="149"/>
      <c r="E364" s="649"/>
      <c r="F364" s="2699"/>
      <c r="G364" s="649"/>
      <c r="H364" s="649"/>
      <c r="I364" s="2947"/>
      <c r="J364" s="650"/>
    </row>
    <row r="365" spans="1:10" ht="12.75" customHeight="1" hidden="1">
      <c r="A365" s="648"/>
      <c r="B365" s="67"/>
      <c r="C365" s="149"/>
      <c r="D365" s="149"/>
      <c r="E365" s="649"/>
      <c r="F365" s="2699"/>
      <c r="G365" s="649"/>
      <c r="H365" s="649"/>
      <c r="I365" s="2947"/>
      <c r="J365" s="650"/>
    </row>
    <row r="366" spans="1:10" ht="12.75" customHeight="1" hidden="1">
      <c r="A366" s="648"/>
      <c r="B366" s="67"/>
      <c r="C366" s="149"/>
      <c r="D366" s="149"/>
      <c r="E366" s="649"/>
      <c r="F366" s="2699"/>
      <c r="G366" s="649"/>
      <c r="H366" s="649"/>
      <c r="I366" s="2947"/>
      <c r="J366" s="650"/>
    </row>
    <row r="367" spans="1:10" ht="12.75">
      <c r="A367" s="648"/>
      <c r="B367" s="67"/>
      <c r="C367" s="149"/>
      <c r="D367" s="149"/>
      <c r="E367" s="649"/>
      <c r="F367" s="2699"/>
      <c r="G367" s="649"/>
      <c r="H367" s="649"/>
      <c r="I367" s="2947"/>
      <c r="J367" s="650"/>
    </row>
    <row r="368" spans="1:15" ht="13.5" thickBot="1">
      <c r="A368" s="648"/>
      <c r="B368" s="67"/>
      <c r="C368" s="149"/>
      <c r="D368" s="149"/>
      <c r="E368" s="649"/>
      <c r="F368" s="2707"/>
      <c r="G368" s="649"/>
      <c r="H368" s="3238" t="s">
        <v>595</v>
      </c>
      <c r="I368" s="3238"/>
      <c r="J368" s="3238" t="s">
        <v>595</v>
      </c>
      <c r="K368" s="140"/>
      <c r="L368" s="140"/>
      <c r="M368" s="140"/>
      <c r="N368" s="140"/>
      <c r="O368" s="140"/>
    </row>
    <row r="369" spans="1:15" s="642" customFormat="1" ht="18.75" customHeight="1">
      <c r="A369" s="567" t="s">
        <v>447</v>
      </c>
      <c r="B369" s="568"/>
      <c r="C369" s="569"/>
      <c r="D369" s="569">
        <v>2017</v>
      </c>
      <c r="E369" s="2636">
        <v>2018</v>
      </c>
      <c r="F369" s="2801">
        <v>2019</v>
      </c>
      <c r="G369" s="2636" t="s">
        <v>881</v>
      </c>
      <c r="H369" s="2637">
        <v>2020</v>
      </c>
      <c r="I369" s="3041" t="s">
        <v>882</v>
      </c>
      <c r="J369" s="3042">
        <v>2022</v>
      </c>
      <c r="K369" s="639"/>
      <c r="L369" s="640"/>
      <c r="M369" s="641"/>
      <c r="N369" s="570"/>
      <c r="O369" s="571"/>
    </row>
    <row r="370" spans="1:15" s="157" customFormat="1" ht="11.25">
      <c r="A370" s="779" t="s">
        <v>596</v>
      </c>
      <c r="B370" s="674"/>
      <c r="C370" s="674"/>
      <c r="D370" s="1949">
        <f aca="true" t="shared" si="32" ref="D370:J370">D371+D402</f>
        <v>205136</v>
      </c>
      <c r="E370" s="1636">
        <f t="shared" si="32"/>
        <v>223646</v>
      </c>
      <c r="F370" s="2808">
        <f t="shared" si="32"/>
        <v>227552</v>
      </c>
      <c r="G370" s="1636">
        <f t="shared" si="32"/>
        <v>251362</v>
      </c>
      <c r="H370" s="1981">
        <f t="shared" si="32"/>
        <v>252840</v>
      </c>
      <c r="I370" s="2997">
        <f t="shared" si="32"/>
        <v>251340</v>
      </c>
      <c r="J370" s="1984">
        <f t="shared" si="32"/>
        <v>251340</v>
      </c>
      <c r="K370" s="652"/>
      <c r="L370" s="631"/>
      <c r="M370" s="576"/>
      <c r="N370" s="576"/>
      <c r="O370" s="576"/>
    </row>
    <row r="371" spans="1:15" s="157" customFormat="1" ht="11.25">
      <c r="A371" s="3240" t="s">
        <v>168</v>
      </c>
      <c r="B371" s="3241"/>
      <c r="C371" s="3242"/>
      <c r="D371" s="2165">
        <f>SUM(D372:D401)</f>
        <v>205136</v>
      </c>
      <c r="E371" s="2404">
        <f>E372+E373+E374</f>
        <v>200646</v>
      </c>
      <c r="F371" s="2169">
        <f>F372+F373+F374</f>
        <v>187180</v>
      </c>
      <c r="G371" s="2404">
        <f>G372+G373+G374+G401</f>
        <v>210990</v>
      </c>
      <c r="H371" s="2169">
        <f>H372+H373+H374+H401</f>
        <v>208730</v>
      </c>
      <c r="I371" s="3017">
        <f>I372+I373+I374+I401</f>
        <v>208730</v>
      </c>
      <c r="J371" s="2170">
        <f>J372+J373+J374+J401</f>
        <v>208730</v>
      </c>
      <c r="K371" s="652"/>
      <c r="L371" s="631"/>
      <c r="M371" s="576"/>
      <c r="N371" s="576"/>
      <c r="O371" s="576"/>
    </row>
    <row r="372" spans="1:15" ht="12.75">
      <c r="A372" s="1985"/>
      <c r="B372" s="1957">
        <v>610</v>
      </c>
      <c r="C372" s="1958" t="s">
        <v>456</v>
      </c>
      <c r="D372" s="1959">
        <v>196674</v>
      </c>
      <c r="E372" s="2405">
        <v>120000</v>
      </c>
      <c r="F372" s="2745">
        <v>111000</v>
      </c>
      <c r="G372" s="2405">
        <v>111000</v>
      </c>
      <c r="H372" s="1982">
        <v>122500</v>
      </c>
      <c r="I372" s="3008">
        <v>122500</v>
      </c>
      <c r="J372" s="1986">
        <v>122500</v>
      </c>
      <c r="K372" s="92"/>
      <c r="L372" s="62"/>
      <c r="M372" s="76"/>
      <c r="N372" s="67"/>
      <c r="O372" s="76"/>
    </row>
    <row r="373" spans="1:15" ht="12.75">
      <c r="A373" s="1987"/>
      <c r="B373" s="1957">
        <v>620</v>
      </c>
      <c r="C373" s="1960" t="s">
        <v>198</v>
      </c>
      <c r="D373" s="1961">
        <v>0</v>
      </c>
      <c r="E373" s="2406">
        <v>42000</v>
      </c>
      <c r="F373" s="2746">
        <v>38500</v>
      </c>
      <c r="G373" s="2406">
        <v>38500</v>
      </c>
      <c r="H373" s="1973">
        <v>42800</v>
      </c>
      <c r="I373" s="3009">
        <v>42800</v>
      </c>
      <c r="J373" s="1976">
        <v>42800</v>
      </c>
      <c r="K373" s="92"/>
      <c r="L373" s="62"/>
      <c r="M373" s="76"/>
      <c r="N373" s="67"/>
      <c r="O373" s="76"/>
    </row>
    <row r="374" spans="1:16" s="33" customFormat="1" ht="12.75">
      <c r="A374" s="1988"/>
      <c r="B374" s="1963" t="s">
        <v>599</v>
      </c>
      <c r="C374" s="1964" t="s">
        <v>369</v>
      </c>
      <c r="D374" s="1961">
        <v>0</v>
      </c>
      <c r="E374" s="2406">
        <f>E375+E376+E386+E390+E398</f>
        <v>38646</v>
      </c>
      <c r="F374" s="2746">
        <f>F375+F376+F386+F390+F398+F401</f>
        <v>37680</v>
      </c>
      <c r="G374" s="2406">
        <f>G375+G376+G386+G390+G398</f>
        <v>49585</v>
      </c>
      <c r="H374" s="1973">
        <f>H375+H376+H386+H390+H398+H401</f>
        <v>43190</v>
      </c>
      <c r="I374" s="3009">
        <f>I375+I376+I386+I390+I398+I401</f>
        <v>43190</v>
      </c>
      <c r="J374" s="1976">
        <f>J375+J376+J386+J390+J398+J401</f>
        <v>43190</v>
      </c>
      <c r="K374" s="92"/>
      <c r="L374" s="62"/>
      <c r="M374" s="76"/>
      <c r="N374" s="67"/>
      <c r="O374" s="76"/>
      <c r="P374" s="64"/>
    </row>
    <row r="375" spans="1:16" s="33" customFormat="1" ht="12.75">
      <c r="A375" s="1989">
        <v>632</v>
      </c>
      <c r="B375" s="1954"/>
      <c r="C375" s="1954" t="s">
        <v>460</v>
      </c>
      <c r="D375" s="1639"/>
      <c r="E375" s="2305">
        <v>15600</v>
      </c>
      <c r="F375" s="2747">
        <v>16700</v>
      </c>
      <c r="G375" s="2305">
        <v>16700</v>
      </c>
      <c r="H375" s="2298">
        <v>17550</v>
      </c>
      <c r="I375" s="3009">
        <v>17550</v>
      </c>
      <c r="J375" s="2301">
        <v>17550</v>
      </c>
      <c r="K375" s="92"/>
      <c r="L375" s="62"/>
      <c r="M375" s="76"/>
      <c r="N375" s="67"/>
      <c r="O375" s="76"/>
      <c r="P375" s="64"/>
    </row>
    <row r="376" spans="1:16" s="33" customFormat="1" ht="12.75">
      <c r="A376" s="1990">
        <v>633</v>
      </c>
      <c r="B376" s="1955"/>
      <c r="C376" s="1955" t="s">
        <v>462</v>
      </c>
      <c r="D376" s="1639"/>
      <c r="E376" s="2305">
        <f>SUM(E377:E384)</f>
        <v>5500</v>
      </c>
      <c r="F376" s="2747">
        <f>SUM(F377:F384)</f>
        <v>10500</v>
      </c>
      <c r="G376" s="2305">
        <f>SUM(G377:G384)</f>
        <v>10500</v>
      </c>
      <c r="H376" s="2298">
        <f>SUM(H377:H385)</f>
        <v>10250</v>
      </c>
      <c r="I376" s="3009">
        <f>SUM(I377:I385)</f>
        <v>10250</v>
      </c>
      <c r="J376" s="2301">
        <f>SUM(J377:J385)</f>
        <v>10250</v>
      </c>
      <c r="K376" s="92"/>
      <c r="L376" s="62"/>
      <c r="M376" s="76"/>
      <c r="N376" s="67"/>
      <c r="O376" s="76"/>
      <c r="P376" s="64"/>
    </row>
    <row r="377" spans="1:16" s="33" customFormat="1" ht="12.75">
      <c r="A377" s="1950">
        <v>633</v>
      </c>
      <c r="B377" s="602" t="s">
        <v>98</v>
      </c>
      <c r="C377" s="1282" t="s">
        <v>463</v>
      </c>
      <c r="D377" s="1639"/>
      <c r="E377" s="2180">
        <v>0</v>
      </c>
      <c r="F377" s="2702">
        <v>6400</v>
      </c>
      <c r="G377" s="2180">
        <v>6400</v>
      </c>
      <c r="H377" s="1674">
        <v>2000</v>
      </c>
      <c r="I377" s="2940">
        <v>2000</v>
      </c>
      <c r="J377" s="1675">
        <v>2000</v>
      </c>
      <c r="K377" s="92"/>
      <c r="L377" s="62"/>
      <c r="M377" s="76"/>
      <c r="N377" s="67"/>
      <c r="O377" s="76"/>
      <c r="P377" s="64"/>
    </row>
    <row r="378" spans="1:16" s="33" customFormat="1" ht="12.75">
      <c r="A378" s="782">
        <v>633</v>
      </c>
      <c r="B378" s="603" t="s">
        <v>100</v>
      </c>
      <c r="C378" s="1290" t="s">
        <v>464</v>
      </c>
      <c r="D378" s="1639"/>
      <c r="E378" s="2180">
        <v>0</v>
      </c>
      <c r="F378" s="2702">
        <v>0</v>
      </c>
      <c r="G378" s="2180">
        <v>0</v>
      </c>
      <c r="H378" s="1674">
        <v>200</v>
      </c>
      <c r="I378" s="2940">
        <v>200</v>
      </c>
      <c r="J378" s="1675">
        <v>200</v>
      </c>
      <c r="K378" s="92"/>
      <c r="L378" s="62"/>
      <c r="M378" s="76"/>
      <c r="N378" s="67"/>
      <c r="O378" s="76"/>
      <c r="P378" s="64"/>
    </row>
    <row r="379" spans="1:16" s="33" customFormat="1" ht="12.75">
      <c r="A379" s="782">
        <v>633</v>
      </c>
      <c r="B379" s="603" t="s">
        <v>122</v>
      </c>
      <c r="C379" s="1290" t="s">
        <v>465</v>
      </c>
      <c r="D379" s="1639"/>
      <c r="E379" s="2180">
        <v>2200</v>
      </c>
      <c r="F379" s="2702">
        <v>300</v>
      </c>
      <c r="G379" s="2180">
        <v>300</v>
      </c>
      <c r="H379" s="1674">
        <v>600</v>
      </c>
      <c r="I379" s="2940">
        <v>600</v>
      </c>
      <c r="J379" s="1675">
        <v>600</v>
      </c>
      <c r="K379" s="92"/>
      <c r="L379" s="62"/>
      <c r="M379" s="76"/>
      <c r="N379" s="67"/>
      <c r="O379" s="76"/>
      <c r="P379" s="64"/>
    </row>
    <row r="380" spans="1:16" s="33" customFormat="1" ht="12.75">
      <c r="A380" s="782">
        <v>633</v>
      </c>
      <c r="B380" s="42" t="s">
        <v>127</v>
      </c>
      <c r="C380" s="1290" t="s">
        <v>467</v>
      </c>
      <c r="D380" s="1639"/>
      <c r="E380" s="2180">
        <v>1800</v>
      </c>
      <c r="F380" s="2702">
        <v>1900</v>
      </c>
      <c r="G380" s="2180">
        <v>1900</v>
      </c>
      <c r="H380" s="1674">
        <v>4000</v>
      </c>
      <c r="I380" s="2940">
        <v>4000</v>
      </c>
      <c r="J380" s="1675">
        <v>4000</v>
      </c>
      <c r="K380" s="92"/>
      <c r="L380" s="62"/>
      <c r="M380" s="76"/>
      <c r="N380" s="67"/>
      <c r="O380" s="76"/>
      <c r="P380" s="64"/>
    </row>
    <row r="381" spans="1:16" s="33" customFormat="1" ht="12.75">
      <c r="A381" s="782">
        <v>633</v>
      </c>
      <c r="B381" s="42" t="s">
        <v>468</v>
      </c>
      <c r="C381" s="1290" t="s">
        <v>469</v>
      </c>
      <c r="D381" s="1639"/>
      <c r="E381" s="2180">
        <v>1300</v>
      </c>
      <c r="F381" s="2702">
        <v>1000</v>
      </c>
      <c r="G381" s="2180">
        <v>1000</v>
      </c>
      <c r="H381" s="1674">
        <v>1900</v>
      </c>
      <c r="I381" s="2940">
        <v>1900</v>
      </c>
      <c r="J381" s="1675">
        <v>1900</v>
      </c>
      <c r="K381" s="92"/>
      <c r="L381" s="62"/>
      <c r="M381" s="76"/>
      <c r="N381" s="67"/>
      <c r="O381" s="76"/>
      <c r="P381" s="64"/>
    </row>
    <row r="382" spans="1:16" s="33" customFormat="1" ht="12.75">
      <c r="A382" s="782">
        <v>633</v>
      </c>
      <c r="B382" s="42" t="s">
        <v>470</v>
      </c>
      <c r="C382" s="1290" t="s">
        <v>471</v>
      </c>
      <c r="D382" s="1639"/>
      <c r="E382" s="2180">
        <v>0</v>
      </c>
      <c r="F382" s="2702">
        <v>300</v>
      </c>
      <c r="G382" s="2180">
        <v>300</v>
      </c>
      <c r="H382" s="1674">
        <v>350</v>
      </c>
      <c r="I382" s="2940">
        <v>350</v>
      </c>
      <c r="J382" s="1675">
        <v>350</v>
      </c>
      <c r="K382" s="92"/>
      <c r="L382" s="62"/>
      <c r="M382" s="76"/>
      <c r="N382" s="67"/>
      <c r="O382" s="76"/>
      <c r="P382" s="64"/>
    </row>
    <row r="383" spans="1:16" s="33" customFormat="1" ht="12.75">
      <c r="A383" s="782">
        <v>633</v>
      </c>
      <c r="B383" s="42" t="s">
        <v>472</v>
      </c>
      <c r="C383" s="1290" t="s">
        <v>815</v>
      </c>
      <c r="D383" s="1639"/>
      <c r="E383" s="2180">
        <v>0</v>
      </c>
      <c r="F383" s="2702">
        <v>200</v>
      </c>
      <c r="G383" s="2180">
        <v>200</v>
      </c>
      <c r="H383" s="1674">
        <v>200</v>
      </c>
      <c r="I383" s="2940">
        <v>200</v>
      </c>
      <c r="J383" s="1675">
        <v>200</v>
      </c>
      <c r="K383" s="92"/>
      <c r="L383" s="62"/>
      <c r="M383" s="76"/>
      <c r="N383" s="67"/>
      <c r="O383" s="76"/>
      <c r="P383" s="64"/>
    </row>
    <row r="384" spans="1:16" s="33" customFormat="1" ht="12.75">
      <c r="A384" s="782">
        <v>633</v>
      </c>
      <c r="B384" s="42" t="s">
        <v>105</v>
      </c>
      <c r="C384" s="1290" t="s">
        <v>474</v>
      </c>
      <c r="D384" s="1639"/>
      <c r="E384" s="2180">
        <v>200</v>
      </c>
      <c r="F384" s="2702">
        <v>400</v>
      </c>
      <c r="G384" s="2180">
        <v>400</v>
      </c>
      <c r="H384" s="1674">
        <v>500</v>
      </c>
      <c r="I384" s="2940">
        <v>500</v>
      </c>
      <c r="J384" s="1675">
        <v>500</v>
      </c>
      <c r="K384" s="92"/>
      <c r="L384" s="62"/>
      <c r="M384" s="76"/>
      <c r="N384" s="67"/>
      <c r="O384" s="76"/>
      <c r="P384" s="64"/>
    </row>
    <row r="385" spans="1:16" s="33" customFormat="1" ht="12.75">
      <c r="A385" s="782">
        <v>633</v>
      </c>
      <c r="B385" s="42" t="s">
        <v>475</v>
      </c>
      <c r="C385" s="1290" t="s">
        <v>476</v>
      </c>
      <c r="D385" s="1639"/>
      <c r="E385" s="2180"/>
      <c r="F385" s="2702"/>
      <c r="G385" s="2180"/>
      <c r="H385" s="1674">
        <v>500</v>
      </c>
      <c r="I385" s="2940">
        <v>500</v>
      </c>
      <c r="J385" s="1675">
        <v>500</v>
      </c>
      <c r="K385" s="92"/>
      <c r="L385" s="62"/>
      <c r="M385" s="76"/>
      <c r="N385" s="67"/>
      <c r="O385" s="76"/>
      <c r="P385" s="64"/>
    </row>
    <row r="386" spans="1:16" s="33" customFormat="1" ht="12.75">
      <c r="A386" s="1991">
        <v>635</v>
      </c>
      <c r="B386" s="616"/>
      <c r="C386" s="1300" t="s">
        <v>484</v>
      </c>
      <c r="D386" s="1639"/>
      <c r="E386" s="2305">
        <f aca="true" t="shared" si="33" ref="E386:J386">SUM(E387:E389)</f>
        <v>1160</v>
      </c>
      <c r="F386" s="2747">
        <f t="shared" si="33"/>
        <v>1600</v>
      </c>
      <c r="G386" s="2305">
        <f t="shared" si="33"/>
        <v>1600</v>
      </c>
      <c r="H386" s="2298">
        <f t="shared" si="33"/>
        <v>3950</v>
      </c>
      <c r="I386" s="3009">
        <f t="shared" si="33"/>
        <v>3950</v>
      </c>
      <c r="J386" s="2301">
        <f t="shared" si="33"/>
        <v>3950</v>
      </c>
      <c r="K386" s="92"/>
      <c r="L386" s="62"/>
      <c r="M386" s="76"/>
      <c r="N386" s="67"/>
      <c r="O386" s="76"/>
      <c r="P386" s="64"/>
    </row>
    <row r="387" spans="1:16" s="33" customFormat="1" ht="12.75">
      <c r="A387" s="1992">
        <v>635</v>
      </c>
      <c r="B387" s="612" t="s">
        <v>100</v>
      </c>
      <c r="C387" s="1298" t="s">
        <v>485</v>
      </c>
      <c r="D387" s="1639"/>
      <c r="E387" s="2180">
        <v>0</v>
      </c>
      <c r="F387" s="2702">
        <v>100</v>
      </c>
      <c r="G387" s="2180">
        <v>100</v>
      </c>
      <c r="H387" s="1674">
        <v>150</v>
      </c>
      <c r="I387" s="2940">
        <v>150</v>
      </c>
      <c r="J387" s="1675">
        <v>150</v>
      </c>
      <c r="K387" s="92"/>
      <c r="L387" s="62"/>
      <c r="M387" s="76"/>
      <c r="N387" s="67"/>
      <c r="O387" s="76"/>
      <c r="P387" s="64"/>
    </row>
    <row r="388" spans="1:16" s="33" customFormat="1" ht="12.75">
      <c r="A388" s="782">
        <v>635</v>
      </c>
      <c r="B388" s="42" t="s">
        <v>113</v>
      </c>
      <c r="C388" s="1290" t="s">
        <v>486</v>
      </c>
      <c r="D388" s="1639"/>
      <c r="E388" s="2180">
        <v>60</v>
      </c>
      <c r="F388" s="2702">
        <v>500</v>
      </c>
      <c r="G388" s="2180">
        <v>500</v>
      </c>
      <c r="H388" s="1674">
        <v>200</v>
      </c>
      <c r="I388" s="2940">
        <v>200</v>
      </c>
      <c r="J388" s="1675">
        <v>200</v>
      </c>
      <c r="K388" s="92"/>
      <c r="L388" s="62"/>
      <c r="M388" s="76"/>
      <c r="N388" s="67"/>
      <c r="O388" s="76"/>
      <c r="P388" s="64"/>
    </row>
    <row r="389" spans="1:16" s="33" customFormat="1" ht="12.75">
      <c r="A389" s="783">
        <v>635</v>
      </c>
      <c r="B389" s="87" t="s">
        <v>127</v>
      </c>
      <c r="C389" s="1297" t="s">
        <v>487</v>
      </c>
      <c r="D389" s="1639"/>
      <c r="E389" s="2180">
        <v>1100</v>
      </c>
      <c r="F389" s="2702">
        <v>1000</v>
      </c>
      <c r="G389" s="2180">
        <v>1000</v>
      </c>
      <c r="H389" s="1674">
        <v>3600</v>
      </c>
      <c r="I389" s="2940">
        <v>3600</v>
      </c>
      <c r="J389" s="1675">
        <v>3600</v>
      </c>
      <c r="K389" s="92"/>
      <c r="L389" s="62"/>
      <c r="M389" s="76"/>
      <c r="N389" s="67"/>
      <c r="O389" s="76"/>
      <c r="P389" s="64"/>
    </row>
    <row r="390" spans="1:16" s="33" customFormat="1" ht="12.75">
      <c r="A390" s="1991">
        <v>637</v>
      </c>
      <c r="B390" s="616"/>
      <c r="C390" s="1300" t="s">
        <v>490</v>
      </c>
      <c r="D390" s="1639"/>
      <c r="E390" s="2305">
        <f aca="true" t="shared" si="34" ref="E390:J390">SUM(E391:E397)</f>
        <v>3286</v>
      </c>
      <c r="F390" s="2747">
        <f t="shared" si="34"/>
        <v>4880</v>
      </c>
      <c r="G390" s="2305">
        <f t="shared" si="34"/>
        <v>4880</v>
      </c>
      <c r="H390" s="2298">
        <f t="shared" si="34"/>
        <v>7200</v>
      </c>
      <c r="I390" s="3009">
        <f t="shared" si="34"/>
        <v>7200</v>
      </c>
      <c r="J390" s="2301">
        <f t="shared" si="34"/>
        <v>7200</v>
      </c>
      <c r="K390" s="92"/>
      <c r="L390" s="62"/>
      <c r="M390" s="76"/>
      <c r="N390" s="67"/>
      <c r="O390" s="76"/>
      <c r="P390" s="64"/>
    </row>
    <row r="391" spans="1:16" s="33" customFormat="1" ht="12.75">
      <c r="A391" s="1992">
        <v>637</v>
      </c>
      <c r="B391" s="612" t="s">
        <v>98</v>
      </c>
      <c r="C391" s="1298" t="s">
        <v>491</v>
      </c>
      <c r="D391" s="1639"/>
      <c r="E391" s="2180">
        <v>0</v>
      </c>
      <c r="F391" s="2702">
        <v>1000</v>
      </c>
      <c r="G391" s="2180">
        <v>1000</v>
      </c>
      <c r="H391" s="1674">
        <v>600</v>
      </c>
      <c r="I391" s="2940">
        <v>600</v>
      </c>
      <c r="J391" s="1675">
        <v>600</v>
      </c>
      <c r="K391" s="92"/>
      <c r="L391" s="62"/>
      <c r="M391" s="76"/>
      <c r="N391" s="67"/>
      <c r="O391" s="76"/>
      <c r="P391" s="64"/>
    </row>
    <row r="392" spans="1:16" s="33" customFormat="1" ht="12.75">
      <c r="A392" s="1993">
        <v>637</v>
      </c>
      <c r="B392" s="1193" t="s">
        <v>113</v>
      </c>
      <c r="C392" s="1302" t="s">
        <v>495</v>
      </c>
      <c r="D392" s="1639"/>
      <c r="E392" s="2180">
        <v>1000</v>
      </c>
      <c r="F392" s="2702">
        <v>1500</v>
      </c>
      <c r="G392" s="2180">
        <v>1500</v>
      </c>
      <c r="H392" s="1674">
        <v>4000</v>
      </c>
      <c r="I392" s="2940">
        <v>4000</v>
      </c>
      <c r="J392" s="1675">
        <v>4000</v>
      </c>
      <c r="K392" s="92"/>
      <c r="L392" s="62"/>
      <c r="M392" s="76"/>
      <c r="N392" s="67"/>
      <c r="O392" s="76"/>
      <c r="P392" s="64"/>
    </row>
    <row r="393" spans="1:16" s="33" customFormat="1" ht="12.75">
      <c r="A393" s="782">
        <v>637</v>
      </c>
      <c r="B393" s="42" t="s">
        <v>122</v>
      </c>
      <c r="C393" s="1290" t="s">
        <v>333</v>
      </c>
      <c r="D393" s="1639"/>
      <c r="E393" s="2180">
        <v>112</v>
      </c>
      <c r="F393" s="2702">
        <v>0</v>
      </c>
      <c r="G393" s="2180">
        <v>0</v>
      </c>
      <c r="H393" s="1674">
        <v>500</v>
      </c>
      <c r="I393" s="2940">
        <v>500</v>
      </c>
      <c r="J393" s="1675">
        <v>500</v>
      </c>
      <c r="K393" s="92"/>
      <c r="L393" s="62"/>
      <c r="M393" s="76"/>
      <c r="N393" s="67"/>
      <c r="O393" s="76"/>
      <c r="P393" s="64"/>
    </row>
    <row r="394" spans="1:16" s="33" customFormat="1" ht="12.75">
      <c r="A394" s="782">
        <v>637</v>
      </c>
      <c r="B394" s="42" t="s">
        <v>104</v>
      </c>
      <c r="C394" s="1290" t="s">
        <v>496</v>
      </c>
      <c r="D394" s="1639"/>
      <c r="E394" s="2180">
        <v>50</v>
      </c>
      <c r="F394" s="2702">
        <v>480</v>
      </c>
      <c r="G394" s="2180">
        <v>480</v>
      </c>
      <c r="H394" s="1674">
        <v>550</v>
      </c>
      <c r="I394" s="2940">
        <v>550</v>
      </c>
      <c r="J394" s="1675">
        <v>550</v>
      </c>
      <c r="K394" s="92"/>
      <c r="L394" s="62"/>
      <c r="M394" s="76"/>
      <c r="N394" s="67"/>
      <c r="O394" s="76"/>
      <c r="P394" s="64"/>
    </row>
    <row r="395" spans="1:16" s="33" customFormat="1" ht="12.75">
      <c r="A395" s="1992">
        <v>637</v>
      </c>
      <c r="B395" s="612" t="s">
        <v>107</v>
      </c>
      <c r="C395" s="1298" t="s">
        <v>497</v>
      </c>
      <c r="D395" s="1639"/>
      <c r="E395" s="2180">
        <v>0</v>
      </c>
      <c r="F395" s="2702">
        <v>0</v>
      </c>
      <c r="G395" s="2180">
        <v>0</v>
      </c>
      <c r="H395" s="1674">
        <v>0</v>
      </c>
      <c r="I395" s="2940">
        <v>0</v>
      </c>
      <c r="J395" s="1675">
        <v>0</v>
      </c>
      <c r="K395" s="92"/>
      <c r="L395" s="62"/>
      <c r="M395" s="76"/>
      <c r="N395" s="67"/>
      <c r="O395" s="76"/>
      <c r="P395" s="64"/>
    </row>
    <row r="396" spans="1:16" s="33" customFormat="1" ht="12.75">
      <c r="A396" s="782">
        <v>637</v>
      </c>
      <c r="B396" s="42" t="s">
        <v>475</v>
      </c>
      <c r="C396" s="1290" t="s">
        <v>501</v>
      </c>
      <c r="D396" s="1639"/>
      <c r="E396" s="2180">
        <v>1900</v>
      </c>
      <c r="F396" s="2702">
        <v>1400</v>
      </c>
      <c r="G396" s="2180">
        <v>1400</v>
      </c>
      <c r="H396" s="1674">
        <v>1550</v>
      </c>
      <c r="I396" s="2940">
        <v>1550</v>
      </c>
      <c r="J396" s="1675">
        <v>1550</v>
      </c>
      <c r="K396" s="92"/>
      <c r="L396" s="62"/>
      <c r="M396" s="76"/>
      <c r="N396" s="67"/>
      <c r="O396" s="76"/>
      <c r="P396" s="64"/>
    </row>
    <row r="397" spans="1:16" s="33" customFormat="1" ht="12.75">
      <c r="A397" s="783">
        <v>637</v>
      </c>
      <c r="B397" s="87" t="s">
        <v>506</v>
      </c>
      <c r="C397" s="1297" t="s">
        <v>262</v>
      </c>
      <c r="D397" s="1639"/>
      <c r="E397" s="2180">
        <v>224</v>
      </c>
      <c r="F397" s="2702">
        <v>500</v>
      </c>
      <c r="G397" s="2180">
        <v>500</v>
      </c>
      <c r="H397" s="1674">
        <v>0</v>
      </c>
      <c r="I397" s="2940">
        <v>0</v>
      </c>
      <c r="J397" s="1675">
        <v>0</v>
      </c>
      <c r="K397" s="92"/>
      <c r="L397" s="62"/>
      <c r="M397" s="76"/>
      <c r="N397" s="67"/>
      <c r="O397" s="76"/>
      <c r="P397" s="64"/>
    </row>
    <row r="398" spans="1:16" s="33" customFormat="1" ht="12.75">
      <c r="A398" s="1994">
        <v>640</v>
      </c>
      <c r="B398" s="616"/>
      <c r="C398" s="1300" t="s">
        <v>508</v>
      </c>
      <c r="D398" s="1639"/>
      <c r="E398" s="2305">
        <f>E399+E400+E401</f>
        <v>13100</v>
      </c>
      <c r="F398" s="2747">
        <f>F399+F400</f>
        <v>4000</v>
      </c>
      <c r="G398" s="2305">
        <f>G399+G400+G401</f>
        <v>15905</v>
      </c>
      <c r="H398" s="2298">
        <f>H399+H400</f>
        <v>4000</v>
      </c>
      <c r="I398" s="2940">
        <f>I399+I400</f>
        <v>4000</v>
      </c>
      <c r="J398" s="2301">
        <f>J399+J400</f>
        <v>4000</v>
      </c>
      <c r="K398" s="92"/>
      <c r="L398" s="62"/>
      <c r="M398" s="76"/>
      <c r="N398" s="67"/>
      <c r="O398" s="76"/>
      <c r="P398" s="64"/>
    </row>
    <row r="399" spans="1:16" s="33" customFormat="1" ht="12.75">
      <c r="A399" s="1995"/>
      <c r="B399" s="703"/>
      <c r="C399" s="1932" t="s">
        <v>394</v>
      </c>
      <c r="D399" s="1936">
        <v>0</v>
      </c>
      <c r="E399" s="2306">
        <v>50</v>
      </c>
      <c r="F399" s="2748">
        <v>200</v>
      </c>
      <c r="G399" s="2306">
        <v>200</v>
      </c>
      <c r="H399" s="2014">
        <v>100</v>
      </c>
      <c r="I399" s="3004">
        <v>100</v>
      </c>
      <c r="J399" s="2015">
        <v>100</v>
      </c>
      <c r="K399" s="684"/>
      <c r="L399" s="685"/>
      <c r="M399" s="684"/>
      <c r="N399" s="572"/>
      <c r="O399" s="684"/>
      <c r="P399" s="16"/>
    </row>
    <row r="400" spans="1:16" s="33" customFormat="1" ht="12.75">
      <c r="A400" s="1995"/>
      <c r="B400" s="703"/>
      <c r="C400" s="1932" t="s">
        <v>600</v>
      </c>
      <c r="D400" s="1937">
        <v>0</v>
      </c>
      <c r="E400" s="2306">
        <v>3500</v>
      </c>
      <c r="F400" s="2748">
        <v>3800</v>
      </c>
      <c r="G400" s="2306">
        <v>3800</v>
      </c>
      <c r="H400" s="2014">
        <v>3900</v>
      </c>
      <c r="I400" s="2991">
        <v>3900</v>
      </c>
      <c r="J400" s="2016">
        <v>3900</v>
      </c>
      <c r="K400" s="684"/>
      <c r="L400" s="685"/>
      <c r="M400" s="684"/>
      <c r="N400" s="572"/>
      <c r="O400" s="684"/>
      <c r="P400" s="16"/>
    </row>
    <row r="401" spans="1:16" s="33" customFormat="1" ht="12.75">
      <c r="A401" s="1995"/>
      <c r="B401" s="703"/>
      <c r="C401" s="1933" t="s">
        <v>847</v>
      </c>
      <c r="D401" s="1945">
        <v>8462</v>
      </c>
      <c r="E401" s="2407">
        <v>9550</v>
      </c>
      <c r="F401" s="2723">
        <v>0</v>
      </c>
      <c r="G401" s="2407">
        <v>11905</v>
      </c>
      <c r="H401" s="1678">
        <v>240</v>
      </c>
      <c r="I401" s="2958">
        <v>240</v>
      </c>
      <c r="J401" s="1679">
        <v>240</v>
      </c>
      <c r="K401" s="92"/>
      <c r="L401" s="62"/>
      <c r="M401" s="76"/>
      <c r="N401" s="67"/>
      <c r="O401" s="76"/>
      <c r="P401" s="16"/>
    </row>
    <row r="402" spans="1:16" s="33" customFormat="1" ht="12.75">
      <c r="A402" s="3240" t="s">
        <v>743</v>
      </c>
      <c r="B402" s="3241"/>
      <c r="C402" s="3242"/>
      <c r="D402" s="2165">
        <f>SUM(D405:D419)</f>
        <v>0</v>
      </c>
      <c r="E402" s="2408">
        <f>E405</f>
        <v>23000</v>
      </c>
      <c r="F402" s="2164">
        <f>F405+F403+F404</f>
        <v>40372</v>
      </c>
      <c r="G402" s="2408">
        <f>G405+G403+G404</f>
        <v>40372</v>
      </c>
      <c r="H402" s="2164">
        <f>H405+H403+H404</f>
        <v>44110</v>
      </c>
      <c r="I402" s="3017">
        <f>I405+I403+I404</f>
        <v>42610</v>
      </c>
      <c r="J402" s="2166">
        <f>J405+J403+J404</f>
        <v>42610</v>
      </c>
      <c r="K402" s="92"/>
      <c r="L402" s="62"/>
      <c r="M402" s="76"/>
      <c r="N402" s="67"/>
      <c r="O402" s="76"/>
      <c r="P402" s="16"/>
    </row>
    <row r="403" spans="1:16" s="33" customFormat="1" ht="12.75">
      <c r="A403" s="1985"/>
      <c r="B403" s="1957">
        <v>610</v>
      </c>
      <c r="C403" s="1958" t="s">
        <v>456</v>
      </c>
      <c r="D403" s="2401"/>
      <c r="E403" s="2402"/>
      <c r="F403" s="2749">
        <v>15000</v>
      </c>
      <c r="G403" s="3016">
        <v>15000</v>
      </c>
      <c r="H403" s="3018">
        <v>17000</v>
      </c>
      <c r="I403" s="3010">
        <v>17000</v>
      </c>
      <c r="J403" s="2416">
        <v>17000</v>
      </c>
      <c r="K403" s="92"/>
      <c r="L403" s="62"/>
      <c r="M403" s="76"/>
      <c r="N403" s="67"/>
      <c r="O403" s="76"/>
      <c r="P403" s="16"/>
    </row>
    <row r="404" spans="1:16" s="33" customFormat="1" ht="12.75">
      <c r="A404" s="1987"/>
      <c r="B404" s="1957">
        <v>620</v>
      </c>
      <c r="C404" s="1960" t="s">
        <v>198</v>
      </c>
      <c r="D404" s="2401"/>
      <c r="E404" s="2402"/>
      <c r="F404" s="2749">
        <v>5500</v>
      </c>
      <c r="G404" s="3016">
        <v>5500</v>
      </c>
      <c r="H404" s="3018">
        <v>6000</v>
      </c>
      <c r="I404" s="3010">
        <v>6000</v>
      </c>
      <c r="J404" s="2416">
        <v>6000</v>
      </c>
      <c r="K404" s="92"/>
      <c r="L404" s="62"/>
      <c r="M404" s="76"/>
      <c r="N404" s="67"/>
      <c r="O404" s="76"/>
      <c r="P404" s="16"/>
    </row>
    <row r="405" spans="1:16" s="33" customFormat="1" ht="12.75">
      <c r="A405" s="1988"/>
      <c r="B405" s="1963" t="s">
        <v>599</v>
      </c>
      <c r="C405" s="1964" t="s">
        <v>369</v>
      </c>
      <c r="D405" s="2412">
        <v>0</v>
      </c>
      <c r="E405" s="2413">
        <f aca="true" t="shared" si="35" ref="E405:J405">SUM(E406+E412+E416)</f>
        <v>23000</v>
      </c>
      <c r="F405" s="2750">
        <f t="shared" si="35"/>
        <v>19872</v>
      </c>
      <c r="G405" s="2413">
        <f t="shared" si="35"/>
        <v>19872</v>
      </c>
      <c r="H405" s="2414">
        <f t="shared" si="35"/>
        <v>21110</v>
      </c>
      <c r="I405" s="3008">
        <f t="shared" si="35"/>
        <v>19610</v>
      </c>
      <c r="J405" s="2415">
        <f t="shared" si="35"/>
        <v>19610</v>
      </c>
      <c r="K405" s="92"/>
      <c r="L405" s="62"/>
      <c r="M405" s="76"/>
      <c r="N405" s="67"/>
      <c r="O405" s="76"/>
      <c r="P405" s="16"/>
    </row>
    <row r="406" spans="1:16" s="33" customFormat="1" ht="12.75">
      <c r="A406" s="1990">
        <v>633</v>
      </c>
      <c r="B406" s="1955"/>
      <c r="C406" s="1955" t="s">
        <v>462</v>
      </c>
      <c r="D406" s="1639"/>
      <c r="E406" s="2409">
        <f aca="true" t="shared" si="36" ref="E406:J406">SUM(E407:E411)</f>
        <v>18000</v>
      </c>
      <c r="F406" s="2751">
        <f t="shared" si="36"/>
        <v>18272</v>
      </c>
      <c r="G406" s="2409">
        <f t="shared" si="36"/>
        <v>18272</v>
      </c>
      <c r="H406" s="2299">
        <f t="shared" si="36"/>
        <v>18460</v>
      </c>
      <c r="I406" s="3011">
        <f t="shared" si="36"/>
        <v>18460</v>
      </c>
      <c r="J406" s="2300">
        <f t="shared" si="36"/>
        <v>18460</v>
      </c>
      <c r="K406" s="92"/>
      <c r="L406" s="62"/>
      <c r="M406" s="76"/>
      <c r="N406" s="67"/>
      <c r="O406" s="76"/>
      <c r="P406" s="16"/>
    </row>
    <row r="407" spans="1:16" s="33" customFormat="1" ht="12.75">
      <c r="A407" s="1992">
        <v>633</v>
      </c>
      <c r="B407" s="1956" t="s">
        <v>122</v>
      </c>
      <c r="C407" s="1290" t="s">
        <v>465</v>
      </c>
      <c r="D407" s="1639"/>
      <c r="E407" s="2410">
        <v>450</v>
      </c>
      <c r="F407" s="2722">
        <v>900</v>
      </c>
      <c r="G407" s="2410">
        <v>900</v>
      </c>
      <c r="H407" s="1676">
        <v>500</v>
      </c>
      <c r="I407" s="2958">
        <v>500</v>
      </c>
      <c r="J407" s="1677">
        <v>500</v>
      </c>
      <c r="K407" s="92"/>
      <c r="L407" s="62"/>
      <c r="M407" s="76"/>
      <c r="N407" s="67"/>
      <c r="O407" s="76"/>
      <c r="P407" s="16"/>
    </row>
    <row r="408" spans="1:16" s="33" customFormat="1" ht="12.75">
      <c r="A408" s="782">
        <v>633</v>
      </c>
      <c r="B408" s="42" t="s">
        <v>127</v>
      </c>
      <c r="C408" s="1290" t="s">
        <v>467</v>
      </c>
      <c r="D408" s="1639"/>
      <c r="E408" s="2410">
        <v>1750</v>
      </c>
      <c r="F408" s="2722">
        <v>750</v>
      </c>
      <c r="G408" s="2410">
        <v>750</v>
      </c>
      <c r="H408" s="1676">
        <v>750</v>
      </c>
      <c r="I408" s="2958">
        <v>750</v>
      </c>
      <c r="J408" s="1677">
        <v>750</v>
      </c>
      <c r="K408" s="92"/>
      <c r="L408" s="62"/>
      <c r="M408" s="76"/>
      <c r="N408" s="67"/>
      <c r="O408" s="76"/>
      <c r="P408" s="16"/>
    </row>
    <row r="409" spans="1:16" s="33" customFormat="1" ht="12.75">
      <c r="A409" s="782">
        <v>633</v>
      </c>
      <c r="B409" s="42" t="s">
        <v>470</v>
      </c>
      <c r="C409" s="1290" t="s">
        <v>471</v>
      </c>
      <c r="D409" s="1639"/>
      <c r="E409" s="2410">
        <v>160</v>
      </c>
      <c r="F409" s="2722">
        <v>160</v>
      </c>
      <c r="G409" s="2410">
        <v>160</v>
      </c>
      <c r="H409" s="1676">
        <v>160</v>
      </c>
      <c r="I409" s="2958">
        <v>160</v>
      </c>
      <c r="J409" s="1677">
        <v>160</v>
      </c>
      <c r="K409" s="92"/>
      <c r="L409" s="62"/>
      <c r="M409" s="76"/>
      <c r="N409" s="67"/>
      <c r="O409" s="76"/>
      <c r="P409" s="16"/>
    </row>
    <row r="410" spans="1:16" s="33" customFormat="1" ht="12.75">
      <c r="A410" s="782">
        <v>633</v>
      </c>
      <c r="B410" s="42" t="s">
        <v>475</v>
      </c>
      <c r="C410" s="1290" t="s">
        <v>473</v>
      </c>
      <c r="D410" s="1639"/>
      <c r="E410" s="2410">
        <v>15600</v>
      </c>
      <c r="F410" s="2722">
        <v>16412</v>
      </c>
      <c r="G410" s="2410">
        <v>16412</v>
      </c>
      <c r="H410" s="1676">
        <v>17000</v>
      </c>
      <c r="I410" s="2958">
        <v>17000</v>
      </c>
      <c r="J410" s="1677">
        <v>17000</v>
      </c>
      <c r="K410" s="92"/>
      <c r="L410" s="62"/>
      <c r="M410" s="76"/>
      <c r="N410" s="67"/>
      <c r="O410" s="76"/>
      <c r="P410" s="16"/>
    </row>
    <row r="411" spans="1:16" s="33" customFormat="1" ht="12.75">
      <c r="A411" s="782">
        <v>633</v>
      </c>
      <c r="B411" s="42" t="s">
        <v>105</v>
      </c>
      <c r="C411" s="1290" t="s">
        <v>474</v>
      </c>
      <c r="D411" s="1639"/>
      <c r="E411" s="2410">
        <v>40</v>
      </c>
      <c r="F411" s="2722">
        <v>50</v>
      </c>
      <c r="G411" s="2410">
        <v>50</v>
      </c>
      <c r="H411" s="1676">
        <v>50</v>
      </c>
      <c r="I411" s="2958">
        <v>50</v>
      </c>
      <c r="J411" s="1677">
        <v>50</v>
      </c>
      <c r="K411" s="92"/>
      <c r="L411" s="62"/>
      <c r="M411" s="76"/>
      <c r="N411" s="67"/>
      <c r="O411" s="76"/>
      <c r="P411" s="16"/>
    </row>
    <row r="412" spans="1:16" s="33" customFormat="1" ht="12.75">
      <c r="A412" s="1991">
        <v>635</v>
      </c>
      <c r="B412" s="616"/>
      <c r="C412" s="1300" t="s">
        <v>484</v>
      </c>
      <c r="D412" s="1639"/>
      <c r="E412" s="2409">
        <f aca="true" t="shared" si="37" ref="E412:J412">SUM(E413:E415)</f>
        <v>1000</v>
      </c>
      <c r="F412" s="2751">
        <f t="shared" si="37"/>
        <v>1450</v>
      </c>
      <c r="G412" s="2409">
        <f t="shared" si="37"/>
        <v>1450</v>
      </c>
      <c r="H412" s="2299">
        <f t="shared" si="37"/>
        <v>1000</v>
      </c>
      <c r="I412" s="2958">
        <f t="shared" si="37"/>
        <v>1000</v>
      </c>
      <c r="J412" s="2300">
        <f t="shared" si="37"/>
        <v>1000</v>
      </c>
      <c r="K412" s="92"/>
      <c r="L412" s="62"/>
      <c r="M412" s="76"/>
      <c r="N412" s="67"/>
      <c r="O412" s="76"/>
      <c r="P412" s="16"/>
    </row>
    <row r="413" spans="1:16" s="33" customFormat="1" ht="12.75">
      <c r="A413" s="1992">
        <v>635</v>
      </c>
      <c r="B413" s="612" t="s">
        <v>100</v>
      </c>
      <c r="C413" s="1298" t="s">
        <v>485</v>
      </c>
      <c r="D413" s="1639"/>
      <c r="E413" s="2410">
        <v>0</v>
      </c>
      <c r="F413" s="2722">
        <v>150</v>
      </c>
      <c r="G413" s="2410">
        <v>150</v>
      </c>
      <c r="H413" s="1676">
        <v>0</v>
      </c>
      <c r="I413" s="2958">
        <v>0</v>
      </c>
      <c r="J413" s="1677">
        <v>0</v>
      </c>
      <c r="K413" s="92"/>
      <c r="L413" s="62"/>
      <c r="M413" s="76"/>
      <c r="N413" s="67"/>
      <c r="O413" s="76"/>
      <c r="P413" s="16"/>
    </row>
    <row r="414" spans="1:16" s="33" customFormat="1" ht="12.75">
      <c r="A414" s="782">
        <v>635</v>
      </c>
      <c r="B414" s="42" t="s">
        <v>113</v>
      </c>
      <c r="C414" s="1290" t="s">
        <v>486</v>
      </c>
      <c r="D414" s="1639"/>
      <c r="E414" s="2410">
        <v>1000</v>
      </c>
      <c r="F414" s="2722">
        <v>300</v>
      </c>
      <c r="G414" s="2410">
        <v>300</v>
      </c>
      <c r="H414" s="1676">
        <v>500</v>
      </c>
      <c r="I414" s="2958">
        <v>500</v>
      </c>
      <c r="J414" s="1677">
        <v>500</v>
      </c>
      <c r="K414" s="92"/>
      <c r="L414" s="62"/>
      <c r="M414" s="76"/>
      <c r="N414" s="67"/>
      <c r="O414" s="76"/>
      <c r="P414" s="16"/>
    </row>
    <row r="415" spans="1:16" s="33" customFormat="1" ht="12.75">
      <c r="A415" s="783">
        <v>635</v>
      </c>
      <c r="B415" s="87" t="s">
        <v>127</v>
      </c>
      <c r="C415" s="1297" t="s">
        <v>487</v>
      </c>
      <c r="D415" s="1639"/>
      <c r="E415" s="2410">
        <v>0</v>
      </c>
      <c r="F415" s="2722">
        <v>1000</v>
      </c>
      <c r="G415" s="2410">
        <v>1000</v>
      </c>
      <c r="H415" s="1676">
        <v>500</v>
      </c>
      <c r="I415" s="2958">
        <v>500</v>
      </c>
      <c r="J415" s="1677">
        <v>500</v>
      </c>
      <c r="K415" s="92"/>
      <c r="L415" s="62"/>
      <c r="M415" s="76"/>
      <c r="N415" s="67"/>
      <c r="O415" s="76"/>
      <c r="P415" s="16"/>
    </row>
    <row r="416" spans="1:16" s="33" customFormat="1" ht="12.75">
      <c r="A416" s="1991">
        <v>637</v>
      </c>
      <c r="B416" s="616"/>
      <c r="C416" s="1300" t="s">
        <v>490</v>
      </c>
      <c r="D416" s="1639"/>
      <c r="E416" s="2409">
        <f aca="true" t="shared" si="38" ref="E416:J416">SUM(E417:E419)</f>
        <v>4000</v>
      </c>
      <c r="F416" s="2751">
        <f t="shared" si="38"/>
        <v>150</v>
      </c>
      <c r="G416" s="2409">
        <f t="shared" si="38"/>
        <v>150</v>
      </c>
      <c r="H416" s="2299">
        <f t="shared" si="38"/>
        <v>1650</v>
      </c>
      <c r="I416" s="2958">
        <f t="shared" si="38"/>
        <v>150</v>
      </c>
      <c r="J416" s="2300">
        <f t="shared" si="38"/>
        <v>150</v>
      </c>
      <c r="K416" s="92"/>
      <c r="L416" s="62"/>
      <c r="M416" s="76"/>
      <c r="N416" s="67"/>
      <c r="O416" s="76"/>
      <c r="P416" s="16"/>
    </row>
    <row r="417" spans="1:16" s="33" customFormat="1" ht="12.75">
      <c r="A417" s="1992">
        <v>637</v>
      </c>
      <c r="B417" s="612" t="s">
        <v>98</v>
      </c>
      <c r="C417" s="1298" t="s">
        <v>491</v>
      </c>
      <c r="D417" s="1639"/>
      <c r="E417" s="2410">
        <v>0</v>
      </c>
      <c r="F417" s="2722">
        <v>150</v>
      </c>
      <c r="G417" s="2410">
        <v>150</v>
      </c>
      <c r="H417" s="1676">
        <v>150</v>
      </c>
      <c r="I417" s="2958">
        <v>150</v>
      </c>
      <c r="J417" s="1677">
        <v>150</v>
      </c>
      <c r="K417" s="92"/>
      <c r="L417" s="62"/>
      <c r="M417" s="76"/>
      <c r="N417" s="67"/>
      <c r="O417" s="76"/>
      <c r="P417" s="16"/>
    </row>
    <row r="418" spans="1:16" s="33" customFormat="1" ht="12.75">
      <c r="A418" s="1993">
        <v>637</v>
      </c>
      <c r="B418" s="1193" t="s">
        <v>113</v>
      </c>
      <c r="C418" s="1302" t="s">
        <v>495</v>
      </c>
      <c r="D418" s="1639"/>
      <c r="E418" s="2410">
        <v>0</v>
      </c>
      <c r="F418" s="2722">
        <v>0</v>
      </c>
      <c r="G418" s="2410">
        <v>0</v>
      </c>
      <c r="H418" s="1676">
        <v>0</v>
      </c>
      <c r="I418" s="2958">
        <v>0</v>
      </c>
      <c r="J418" s="1677">
        <v>0</v>
      </c>
      <c r="K418" s="92"/>
      <c r="L418" s="62"/>
      <c r="M418" s="76"/>
      <c r="N418" s="67"/>
      <c r="O418" s="76"/>
      <c r="P418" s="16"/>
    </row>
    <row r="419" spans="1:16" s="33" customFormat="1" ht="13.5" thickBot="1">
      <c r="A419" s="1996"/>
      <c r="B419" s="704"/>
      <c r="C419" s="1934" t="s">
        <v>897</v>
      </c>
      <c r="D419" s="1697">
        <v>0</v>
      </c>
      <c r="E419" s="2411">
        <v>4000</v>
      </c>
      <c r="F419" s="2752">
        <v>0</v>
      </c>
      <c r="G419" s="2411"/>
      <c r="H419" s="1983">
        <v>1500</v>
      </c>
      <c r="I419" s="2948">
        <v>0</v>
      </c>
      <c r="J419" s="1997">
        <v>0</v>
      </c>
      <c r="K419" s="92"/>
      <c r="L419" s="19"/>
      <c r="M419" s="76"/>
      <c r="N419" s="67"/>
      <c r="O419" s="76"/>
      <c r="P419" s="16"/>
    </row>
    <row r="420" spans="1:16" s="33" customFormat="1" ht="13.5" customHeight="1" hidden="1" thickBot="1">
      <c r="A420" s="1998"/>
      <c r="B420" s="647"/>
      <c r="C420" s="705"/>
      <c r="D420" s="93"/>
      <c r="E420" s="18"/>
      <c r="F420" s="2753"/>
      <c r="G420" s="18"/>
      <c r="H420" s="1722"/>
      <c r="I420" s="2947"/>
      <c r="J420" s="1999"/>
      <c r="K420" s="93"/>
      <c r="L420" s="19"/>
      <c r="M420" s="19"/>
      <c r="N420" s="19"/>
      <c r="O420" s="19"/>
      <c r="P420" s="16"/>
    </row>
    <row r="421" spans="1:15" s="157" customFormat="1" ht="11.25">
      <c r="A421" s="1978" t="s">
        <v>601</v>
      </c>
      <c r="B421" s="1979"/>
      <c r="C421" s="1979"/>
      <c r="D421" s="1942">
        <f>D422</f>
        <v>714462</v>
      </c>
      <c r="E421" s="1681">
        <f aca="true" t="shared" si="39" ref="E421:J421">E422+E483</f>
        <v>717837</v>
      </c>
      <c r="F421" s="2810">
        <f t="shared" si="39"/>
        <v>800808</v>
      </c>
      <c r="G421" s="1681">
        <f t="shared" si="39"/>
        <v>837642</v>
      </c>
      <c r="H421" s="1683">
        <f t="shared" si="39"/>
        <v>919933</v>
      </c>
      <c r="I421" s="2960">
        <f t="shared" si="39"/>
        <v>959596</v>
      </c>
      <c r="J421" s="1684">
        <f t="shared" si="39"/>
        <v>971421</v>
      </c>
      <c r="K421" s="652"/>
      <c r="L421" s="645"/>
      <c r="M421" s="576"/>
      <c r="N421" s="576"/>
      <c r="O421" s="576"/>
    </row>
    <row r="422" spans="1:15" s="157" customFormat="1" ht="11.25">
      <c r="A422" s="2171" t="s">
        <v>166</v>
      </c>
      <c r="B422" s="2172"/>
      <c r="C422" s="2172"/>
      <c r="D422" s="2165">
        <f aca="true" t="shared" si="40" ref="D422:J422">D423+D439</f>
        <v>714462</v>
      </c>
      <c r="E422" s="2168">
        <f t="shared" si="40"/>
        <v>530846</v>
      </c>
      <c r="F422" s="2169">
        <f t="shared" si="40"/>
        <v>593574</v>
      </c>
      <c r="G422" s="2168">
        <f t="shared" si="40"/>
        <v>632896</v>
      </c>
      <c r="H422" s="2169">
        <f t="shared" si="40"/>
        <v>703692</v>
      </c>
      <c r="I422" s="2966">
        <f t="shared" si="40"/>
        <v>733761</v>
      </c>
      <c r="J422" s="2170">
        <f t="shared" si="40"/>
        <v>733761</v>
      </c>
      <c r="K422" s="652"/>
      <c r="L422" s="645"/>
      <c r="M422" s="576"/>
      <c r="N422" s="576"/>
      <c r="O422" s="576"/>
    </row>
    <row r="423" spans="1:15" s="157" customFormat="1" ht="11.25">
      <c r="A423" s="3255">
        <v>610.62</v>
      </c>
      <c r="B423" s="3256"/>
      <c r="C423" s="1971" t="s">
        <v>750</v>
      </c>
      <c r="D423" s="1972">
        <v>714462</v>
      </c>
      <c r="E423" s="2309">
        <f>SUM(E424:E431)</f>
        <v>445648</v>
      </c>
      <c r="F423" s="2754">
        <f>SUM(F424:F431)+F432+F433</f>
        <v>530695</v>
      </c>
      <c r="G423" s="2309">
        <f>SUM(G424:G435)</f>
        <v>574198</v>
      </c>
      <c r="H423" s="2323">
        <f>SUM(H424:H435)</f>
        <v>643180</v>
      </c>
      <c r="I423" s="3012">
        <f>SUM(I424:I435)</f>
        <v>671639</v>
      </c>
      <c r="J423" s="1975">
        <f>SUM(J424:J435)</f>
        <v>671639</v>
      </c>
      <c r="K423" s="652"/>
      <c r="L423" s="645"/>
      <c r="M423" s="576"/>
      <c r="N423" s="576"/>
      <c r="O423" s="576"/>
    </row>
    <row r="424" spans="1:15" ht="12.75">
      <c r="A424" s="3257" t="s">
        <v>744</v>
      </c>
      <c r="B424" s="1969">
        <v>610</v>
      </c>
      <c r="C424" s="1970" t="s">
        <v>456</v>
      </c>
      <c r="D424" s="1691"/>
      <c r="E424" s="1780">
        <v>113620</v>
      </c>
      <c r="F424" s="2755">
        <v>147190</v>
      </c>
      <c r="G424" s="1780">
        <v>155271</v>
      </c>
      <c r="H424" s="2324">
        <v>170798</v>
      </c>
      <c r="I424" s="2965">
        <v>179338</v>
      </c>
      <c r="J424" s="2006">
        <v>179338</v>
      </c>
      <c r="K424" s="92"/>
      <c r="L424" s="62"/>
      <c r="M424" s="76"/>
      <c r="N424" s="67"/>
      <c r="O424" s="67"/>
    </row>
    <row r="425" spans="1:15" ht="12.75">
      <c r="A425" s="3258"/>
      <c r="B425" s="1951">
        <v>620</v>
      </c>
      <c r="C425" s="1952" t="s">
        <v>198</v>
      </c>
      <c r="D425" s="1721"/>
      <c r="E425" s="2003">
        <v>40536</v>
      </c>
      <c r="F425" s="2702">
        <v>50981</v>
      </c>
      <c r="G425" s="2003">
        <v>53570</v>
      </c>
      <c r="H425" s="1674">
        <v>58927</v>
      </c>
      <c r="I425" s="2940">
        <v>61873</v>
      </c>
      <c r="J425" s="1675">
        <v>61873</v>
      </c>
      <c r="K425" s="92"/>
      <c r="L425" s="62"/>
      <c r="M425" s="76"/>
      <c r="N425" s="67"/>
      <c r="O425" s="67"/>
    </row>
    <row r="426" spans="1:15" ht="12.75">
      <c r="A426" s="3257" t="s">
        <v>745</v>
      </c>
      <c r="B426" s="1951">
        <v>610</v>
      </c>
      <c r="C426" s="1953" t="s">
        <v>456</v>
      </c>
      <c r="D426" s="1721"/>
      <c r="E426" s="2003">
        <v>168048</v>
      </c>
      <c r="F426" s="2702">
        <v>169940</v>
      </c>
      <c r="G426" s="2003">
        <v>186124</v>
      </c>
      <c r="H426" s="1674">
        <v>204736</v>
      </c>
      <c r="I426" s="2940">
        <v>214973</v>
      </c>
      <c r="J426" s="1675">
        <v>214973</v>
      </c>
      <c r="K426" s="92"/>
      <c r="L426" s="62"/>
      <c r="M426" s="76"/>
      <c r="N426" s="67"/>
      <c r="O426" s="67"/>
    </row>
    <row r="427" spans="1:15" ht="12.75">
      <c r="A427" s="3258"/>
      <c r="B427" s="1951">
        <v>620</v>
      </c>
      <c r="C427" s="1952" t="s">
        <v>198</v>
      </c>
      <c r="D427" s="1721"/>
      <c r="E427" s="2003">
        <v>58728</v>
      </c>
      <c r="F427" s="2702">
        <v>57638</v>
      </c>
      <c r="G427" s="2003">
        <v>62352</v>
      </c>
      <c r="H427" s="1674">
        <v>68587</v>
      </c>
      <c r="I427" s="2940">
        <v>72016</v>
      </c>
      <c r="J427" s="1675">
        <v>72016</v>
      </c>
      <c r="K427" s="92"/>
      <c r="L427" s="62"/>
      <c r="M427" s="76"/>
      <c r="N427" s="67"/>
      <c r="O427" s="67"/>
    </row>
    <row r="428" spans="1:15" ht="12.75">
      <c r="A428" s="3257" t="s">
        <v>400</v>
      </c>
      <c r="B428" s="2032">
        <v>610</v>
      </c>
      <c r="C428" s="1953" t="s">
        <v>456</v>
      </c>
      <c r="D428" s="1543"/>
      <c r="E428" s="2003">
        <v>18420</v>
      </c>
      <c r="F428" s="2702">
        <v>20270</v>
      </c>
      <c r="G428" s="2003">
        <v>20112</v>
      </c>
      <c r="H428" s="1674">
        <v>22123</v>
      </c>
      <c r="I428" s="2940">
        <v>23229</v>
      </c>
      <c r="J428" s="1675">
        <v>23229</v>
      </c>
      <c r="K428" s="92"/>
      <c r="L428" s="62"/>
      <c r="M428" s="76"/>
      <c r="N428" s="67"/>
      <c r="O428" s="67"/>
    </row>
    <row r="429" spans="1:15" ht="12.75">
      <c r="A429" s="3258"/>
      <c r="B429" s="2032">
        <v>620</v>
      </c>
      <c r="C429" s="1952" t="s">
        <v>198</v>
      </c>
      <c r="D429" s="1721"/>
      <c r="E429" s="2003">
        <v>7032</v>
      </c>
      <c r="F429" s="2702">
        <v>7084</v>
      </c>
      <c r="G429" s="2003">
        <v>7032</v>
      </c>
      <c r="H429" s="1674">
        <v>7735</v>
      </c>
      <c r="I429" s="2940">
        <v>8122</v>
      </c>
      <c r="J429" s="1675">
        <v>8122</v>
      </c>
      <c r="K429" s="92"/>
      <c r="L429" s="62"/>
      <c r="M429" s="76"/>
      <c r="N429" s="67"/>
      <c r="O429" s="67"/>
    </row>
    <row r="430" spans="1:15" ht="12.75">
      <c r="A430" s="3257" t="s">
        <v>746</v>
      </c>
      <c r="B430" s="1951">
        <v>610</v>
      </c>
      <c r="C430" s="1953" t="s">
        <v>456</v>
      </c>
      <c r="D430" s="1721"/>
      <c r="E430" s="2003">
        <v>29112</v>
      </c>
      <c r="F430" s="2702">
        <v>33692</v>
      </c>
      <c r="G430" s="2003">
        <v>38152</v>
      </c>
      <c r="H430" s="1674">
        <v>41967</v>
      </c>
      <c r="I430" s="2940">
        <v>44065</v>
      </c>
      <c r="J430" s="1675">
        <v>44065</v>
      </c>
      <c r="K430" s="92"/>
      <c r="L430" s="2033"/>
      <c r="M430" s="76"/>
      <c r="N430" s="67"/>
      <c r="O430" s="67"/>
    </row>
    <row r="431" spans="1:15" ht="12.75">
      <c r="A431" s="3258"/>
      <c r="B431" s="1951">
        <v>620</v>
      </c>
      <c r="C431" s="1952" t="s">
        <v>198</v>
      </c>
      <c r="D431" s="1721"/>
      <c r="E431" s="2003">
        <v>10152</v>
      </c>
      <c r="F431" s="2702">
        <v>11545</v>
      </c>
      <c r="G431" s="2003">
        <v>13028</v>
      </c>
      <c r="H431" s="1674">
        <v>14330</v>
      </c>
      <c r="I431" s="2940">
        <v>14046</v>
      </c>
      <c r="J431" s="1675">
        <v>14046</v>
      </c>
      <c r="K431" s="92"/>
      <c r="L431" s="62"/>
      <c r="M431" s="76"/>
      <c r="N431" s="67"/>
      <c r="O431" s="67"/>
    </row>
    <row r="432" spans="1:15" ht="12.75" customHeight="1">
      <c r="A432" s="3259" t="s">
        <v>816</v>
      </c>
      <c r="B432" s="1951">
        <v>610</v>
      </c>
      <c r="C432" s="1953" t="s">
        <v>456</v>
      </c>
      <c r="D432" s="1721"/>
      <c r="E432" s="2003"/>
      <c r="F432" s="2702">
        <v>23976</v>
      </c>
      <c r="G432" s="2003">
        <v>28489</v>
      </c>
      <c r="H432" s="1674">
        <v>39899</v>
      </c>
      <c r="I432" s="2940">
        <v>39899</v>
      </c>
      <c r="J432" s="1675">
        <v>39899</v>
      </c>
      <c r="K432" s="92"/>
      <c r="L432" s="62"/>
      <c r="M432" s="76"/>
      <c r="N432" s="67"/>
      <c r="O432" s="67"/>
    </row>
    <row r="433" spans="1:15" ht="12.75">
      <c r="A433" s="3260"/>
      <c r="B433" s="1951">
        <v>620</v>
      </c>
      <c r="C433" s="1952" t="s">
        <v>198</v>
      </c>
      <c r="D433" s="1721"/>
      <c r="E433" s="2003"/>
      <c r="F433" s="2702">
        <v>8379</v>
      </c>
      <c r="G433" s="2003">
        <v>9338</v>
      </c>
      <c r="H433" s="1674">
        <v>12618</v>
      </c>
      <c r="I433" s="2940">
        <v>12618</v>
      </c>
      <c r="J433" s="1675">
        <v>12618</v>
      </c>
      <c r="K433" s="92"/>
      <c r="L433" s="62"/>
      <c r="M433" s="76"/>
      <c r="N433" s="67"/>
      <c r="O433" s="67"/>
    </row>
    <row r="434" spans="1:15" ht="12.75" customHeight="1">
      <c r="A434" s="3259" t="s">
        <v>898</v>
      </c>
      <c r="B434" s="647">
        <v>637</v>
      </c>
      <c r="C434" s="1952" t="s">
        <v>899</v>
      </c>
      <c r="D434" s="1721"/>
      <c r="E434" s="2003"/>
      <c r="F434" s="2702"/>
      <c r="G434" s="2003">
        <v>550</v>
      </c>
      <c r="H434" s="1674">
        <v>1100</v>
      </c>
      <c r="I434" s="2940">
        <v>1100</v>
      </c>
      <c r="J434" s="1675">
        <v>1100</v>
      </c>
      <c r="K434" s="92"/>
      <c r="L434" s="62"/>
      <c r="M434" s="76"/>
      <c r="N434" s="67"/>
      <c r="O434" s="67"/>
    </row>
    <row r="435" spans="1:15" ht="12.75">
      <c r="A435" s="3260"/>
      <c r="B435" s="3021">
        <v>620</v>
      </c>
      <c r="C435" s="1952" t="s">
        <v>198</v>
      </c>
      <c r="D435" s="3022"/>
      <c r="E435" s="3023"/>
      <c r="F435" s="2774"/>
      <c r="G435" s="3023">
        <v>180</v>
      </c>
      <c r="H435" s="2344">
        <v>360</v>
      </c>
      <c r="I435" s="2944">
        <v>360</v>
      </c>
      <c r="J435" s="3024">
        <v>360</v>
      </c>
      <c r="K435" s="92"/>
      <c r="L435" s="62"/>
      <c r="M435" s="76"/>
      <c r="N435" s="67"/>
      <c r="O435" s="67"/>
    </row>
    <row r="436" spans="1:15" ht="12.75">
      <c r="A436" s="3019"/>
      <c r="B436" s="647"/>
      <c r="C436" s="3020"/>
      <c r="D436" s="1966"/>
      <c r="E436" s="1780"/>
      <c r="F436" s="2755"/>
      <c r="G436" s="1780"/>
      <c r="H436" s="2324"/>
      <c r="I436" s="2965"/>
      <c r="J436" s="2006"/>
      <c r="K436" s="92"/>
      <c r="L436" s="62"/>
      <c r="M436" s="76"/>
      <c r="N436" s="67"/>
      <c r="O436" s="67"/>
    </row>
    <row r="437" spans="1:15" ht="12.75">
      <c r="A437" s="3019"/>
      <c r="B437" s="647"/>
      <c r="C437" s="1952"/>
      <c r="D437" s="1721"/>
      <c r="E437" s="2003"/>
      <c r="F437" s="2702"/>
      <c r="G437" s="2003"/>
      <c r="H437" s="1674"/>
      <c r="I437" s="2940"/>
      <c r="J437" s="1675"/>
      <c r="K437" s="92"/>
      <c r="L437" s="62"/>
      <c r="M437" s="76"/>
      <c r="N437" s="67"/>
      <c r="O437" s="67"/>
    </row>
    <row r="438" spans="1:15" ht="12.75">
      <c r="A438" s="3019"/>
      <c r="B438" s="647"/>
      <c r="C438" s="1952"/>
      <c r="D438" s="1721"/>
      <c r="E438" s="2003"/>
      <c r="F438" s="2702"/>
      <c r="G438" s="2003"/>
      <c r="H438" s="1674"/>
      <c r="I438" s="2940"/>
      <c r="J438" s="1675"/>
      <c r="K438" s="92"/>
      <c r="L438" s="62"/>
      <c r="M438" s="76"/>
      <c r="N438" s="67"/>
      <c r="O438" s="67"/>
    </row>
    <row r="439" spans="1:15" ht="12.75">
      <c r="A439" s="2000"/>
      <c r="B439" s="1967" t="s">
        <v>599</v>
      </c>
      <c r="C439" s="1968" t="s">
        <v>369</v>
      </c>
      <c r="D439" s="1962"/>
      <c r="E439" s="1962">
        <f>E440+E441+E451+E453+E457+E466</f>
        <v>85198</v>
      </c>
      <c r="F439" s="2746">
        <f>F440+F441+F453+F457+F451+F466</f>
        <v>62879</v>
      </c>
      <c r="G439" s="1962">
        <f>G440+G441+G451+G453+G457+G466</f>
        <v>58698</v>
      </c>
      <c r="H439" s="1973">
        <f>H440+H441+H453+H457+H451+H466</f>
        <v>60512</v>
      </c>
      <c r="I439" s="3009">
        <f>I440+I441+I453+I457+I451+I466</f>
        <v>62122</v>
      </c>
      <c r="J439" s="1976">
        <f>J440+J441+J453+J457+J451+J466</f>
        <v>62122</v>
      </c>
      <c r="K439" s="92"/>
      <c r="L439" s="62"/>
      <c r="M439" s="76"/>
      <c r="N439" s="67"/>
      <c r="O439" s="67"/>
    </row>
    <row r="440" spans="1:15" ht="12.75">
      <c r="A440" s="3261">
        <v>632</v>
      </c>
      <c r="B440" s="3262"/>
      <c r="C440" s="1943" t="s">
        <v>460</v>
      </c>
      <c r="D440" s="1721"/>
      <c r="E440" s="2310">
        <v>22041</v>
      </c>
      <c r="F440" s="2747">
        <v>16936</v>
      </c>
      <c r="G440" s="2310">
        <v>13484</v>
      </c>
      <c r="H440" s="2298">
        <v>14090</v>
      </c>
      <c r="I440" s="3009">
        <v>14680</v>
      </c>
      <c r="J440" s="1976">
        <v>14680</v>
      </c>
      <c r="K440" s="92"/>
      <c r="L440" s="62"/>
      <c r="M440" s="76"/>
      <c r="N440" s="67"/>
      <c r="O440" s="67"/>
    </row>
    <row r="441" spans="1:15" ht="12.75">
      <c r="A441" s="3263">
        <v>633</v>
      </c>
      <c r="B441" s="3264"/>
      <c r="C441" s="1944" t="s">
        <v>462</v>
      </c>
      <c r="D441" s="1721"/>
      <c r="E441" s="2310">
        <f aca="true" t="shared" si="41" ref="E441:J441">SUM(E442:E450)</f>
        <v>19167</v>
      </c>
      <c r="F441" s="2747">
        <f t="shared" si="41"/>
        <v>15333</v>
      </c>
      <c r="G441" s="2310">
        <f t="shared" si="41"/>
        <v>15944</v>
      </c>
      <c r="H441" s="2298">
        <f t="shared" si="41"/>
        <v>16650</v>
      </c>
      <c r="I441" s="3009">
        <f t="shared" si="41"/>
        <v>17150</v>
      </c>
      <c r="J441" s="1976">
        <f t="shared" si="41"/>
        <v>17150</v>
      </c>
      <c r="K441" s="92"/>
      <c r="L441" s="62"/>
      <c r="M441" s="76"/>
      <c r="N441" s="67"/>
      <c r="O441" s="67"/>
    </row>
    <row r="442" spans="1:15" ht="12.75">
      <c r="A442" s="1950">
        <v>633</v>
      </c>
      <c r="B442" s="602" t="s">
        <v>98</v>
      </c>
      <c r="C442" s="1270" t="s">
        <v>463</v>
      </c>
      <c r="D442" s="1721"/>
      <c r="E442" s="2003">
        <v>0</v>
      </c>
      <c r="F442" s="2702">
        <v>0</v>
      </c>
      <c r="G442" s="2003">
        <v>0</v>
      </c>
      <c r="H442" s="1674">
        <v>0</v>
      </c>
      <c r="I442" s="2940">
        <v>0</v>
      </c>
      <c r="J442" s="1675">
        <v>0</v>
      </c>
      <c r="K442" s="92"/>
      <c r="L442" s="62"/>
      <c r="M442" s="76"/>
      <c r="N442" s="67"/>
      <c r="O442" s="67"/>
    </row>
    <row r="443" spans="1:15" ht="12.75">
      <c r="A443" s="782">
        <v>633</v>
      </c>
      <c r="B443" s="603" t="s">
        <v>100</v>
      </c>
      <c r="C443" s="1732" t="s">
        <v>464</v>
      </c>
      <c r="D443" s="1721"/>
      <c r="E443" s="2003">
        <v>0</v>
      </c>
      <c r="F443" s="2702">
        <v>0</v>
      </c>
      <c r="G443" s="2003">
        <v>0</v>
      </c>
      <c r="H443" s="1674">
        <v>0</v>
      </c>
      <c r="I443" s="2940">
        <v>0</v>
      </c>
      <c r="J443" s="1675">
        <v>0</v>
      </c>
      <c r="K443" s="92"/>
      <c r="L443" s="62"/>
      <c r="M443" s="76"/>
      <c r="N443" s="67"/>
      <c r="O443" s="67"/>
    </row>
    <row r="444" spans="1:15" ht="12.75">
      <c r="A444" s="782">
        <v>633</v>
      </c>
      <c r="B444" s="603" t="s">
        <v>122</v>
      </c>
      <c r="C444" s="1732" t="s">
        <v>465</v>
      </c>
      <c r="D444" s="1721"/>
      <c r="E444" s="2003">
        <v>0</v>
      </c>
      <c r="F444" s="2702">
        <v>0</v>
      </c>
      <c r="G444" s="2003"/>
      <c r="H444" s="1674"/>
      <c r="I444" s="2940"/>
      <c r="J444" s="1675"/>
      <c r="K444" s="92"/>
      <c r="L444" s="62"/>
      <c r="M444" s="76"/>
      <c r="N444" s="67"/>
      <c r="O444" s="67"/>
    </row>
    <row r="445" spans="1:15" ht="12.75">
      <c r="A445" s="782">
        <v>633</v>
      </c>
      <c r="B445" s="42" t="s">
        <v>127</v>
      </c>
      <c r="C445" s="1732" t="s">
        <v>467</v>
      </c>
      <c r="D445" s="1721"/>
      <c r="E445" s="2003">
        <v>5830</v>
      </c>
      <c r="F445" s="2702">
        <v>5650</v>
      </c>
      <c r="G445" s="2003">
        <v>6135</v>
      </c>
      <c r="H445" s="1674">
        <v>6500</v>
      </c>
      <c r="I445" s="2940">
        <v>6700</v>
      </c>
      <c r="J445" s="1675">
        <v>6700</v>
      </c>
      <c r="K445" s="92"/>
      <c r="L445" s="62"/>
      <c r="M445" s="76"/>
      <c r="N445" s="67"/>
      <c r="O445" s="67"/>
    </row>
    <row r="446" spans="1:15" ht="12.75">
      <c r="A446" s="2113" t="s">
        <v>203</v>
      </c>
      <c r="B446" s="2032" t="s">
        <v>127</v>
      </c>
      <c r="C446" s="1952" t="s">
        <v>764</v>
      </c>
      <c r="D446" s="1721"/>
      <c r="E446" s="2003">
        <v>5268</v>
      </c>
      <c r="F446" s="2702">
        <v>557</v>
      </c>
      <c r="G446" s="2003">
        <v>500</v>
      </c>
      <c r="H446" s="1674">
        <v>500</v>
      </c>
      <c r="I446" s="2940">
        <v>500</v>
      </c>
      <c r="J446" s="1675">
        <v>500</v>
      </c>
      <c r="K446" s="92"/>
      <c r="L446" s="62"/>
      <c r="M446" s="76"/>
      <c r="N446" s="67"/>
      <c r="O446" s="67"/>
    </row>
    <row r="447" spans="1:15" ht="12.75">
      <c r="A447" s="782">
        <v>633</v>
      </c>
      <c r="B447" s="42" t="s">
        <v>468</v>
      </c>
      <c r="C447" s="1732" t="s">
        <v>818</v>
      </c>
      <c r="D447" s="1721"/>
      <c r="E447" s="2003">
        <v>7823</v>
      </c>
      <c r="F447" s="2702">
        <v>8350</v>
      </c>
      <c r="G447" s="2003">
        <v>8240</v>
      </c>
      <c r="H447" s="1674">
        <v>8500</v>
      </c>
      <c r="I447" s="2940">
        <v>8800</v>
      </c>
      <c r="J447" s="1675">
        <v>8800</v>
      </c>
      <c r="K447" s="92"/>
      <c r="L447" s="62"/>
      <c r="M447" s="76"/>
      <c r="N447" s="67"/>
      <c r="O447" s="67"/>
    </row>
    <row r="448" spans="1:15" ht="12.75">
      <c r="A448" s="782">
        <v>633</v>
      </c>
      <c r="B448" s="42" t="s">
        <v>470</v>
      </c>
      <c r="C448" s="1732" t="s">
        <v>471</v>
      </c>
      <c r="D448" s="1721"/>
      <c r="E448" s="2003">
        <v>0</v>
      </c>
      <c r="F448" s="2702">
        <v>0</v>
      </c>
      <c r="G448" s="2003"/>
      <c r="H448" s="1674"/>
      <c r="I448" s="2940"/>
      <c r="J448" s="1675"/>
      <c r="K448" s="92"/>
      <c r="L448" s="62"/>
      <c r="M448" s="76"/>
      <c r="N448" s="67"/>
      <c r="O448" s="67"/>
    </row>
    <row r="449" spans="1:15" ht="12.75">
      <c r="A449" s="782">
        <v>633</v>
      </c>
      <c r="B449" s="42" t="s">
        <v>475</v>
      </c>
      <c r="C449" s="1732" t="s">
        <v>476</v>
      </c>
      <c r="D449" s="1721"/>
      <c r="E449" s="2003">
        <v>0</v>
      </c>
      <c r="F449" s="2702">
        <v>0</v>
      </c>
      <c r="G449" s="2003">
        <v>700</v>
      </c>
      <c r="H449" s="1674">
        <v>700</v>
      </c>
      <c r="I449" s="2940">
        <v>700</v>
      </c>
      <c r="J449" s="1675">
        <v>700</v>
      </c>
      <c r="K449" s="92"/>
      <c r="L449" s="62"/>
      <c r="M449" s="76"/>
      <c r="N449" s="67"/>
      <c r="O449" s="67"/>
    </row>
    <row r="450" spans="1:15" ht="12.75">
      <c r="A450" s="782">
        <v>633</v>
      </c>
      <c r="B450" s="42" t="s">
        <v>105</v>
      </c>
      <c r="C450" s="1732" t="s">
        <v>474</v>
      </c>
      <c r="D450" s="1721"/>
      <c r="E450" s="2003">
        <v>246</v>
      </c>
      <c r="F450" s="2702">
        <v>776</v>
      </c>
      <c r="G450" s="2003">
        <v>369</v>
      </c>
      <c r="H450" s="1674">
        <v>450</v>
      </c>
      <c r="I450" s="2940">
        <v>450</v>
      </c>
      <c r="J450" s="1675">
        <v>450</v>
      </c>
      <c r="K450" s="92"/>
      <c r="L450" s="62"/>
      <c r="M450" s="76"/>
      <c r="N450" s="67"/>
      <c r="O450" s="67"/>
    </row>
    <row r="451" spans="1:15" ht="12.75">
      <c r="A451" s="3235">
        <v>634</v>
      </c>
      <c r="B451" s="3236"/>
      <c r="C451" s="1944" t="s">
        <v>477</v>
      </c>
      <c r="D451" s="1721"/>
      <c r="E451" s="2310">
        <f aca="true" t="shared" si="42" ref="E451:J451">E452</f>
        <v>0</v>
      </c>
      <c r="F451" s="2747">
        <f t="shared" si="42"/>
        <v>0</v>
      </c>
      <c r="G451" s="2310">
        <f t="shared" si="42"/>
        <v>0</v>
      </c>
      <c r="H451" s="2298">
        <f t="shared" si="42"/>
        <v>0</v>
      </c>
      <c r="I451" s="2940">
        <f t="shared" si="42"/>
        <v>0</v>
      </c>
      <c r="J451" s="1977">
        <f t="shared" si="42"/>
        <v>0</v>
      </c>
      <c r="K451" s="92"/>
      <c r="L451" s="62"/>
      <c r="M451" s="76"/>
      <c r="N451" s="67"/>
      <c r="O451" s="67"/>
    </row>
    <row r="452" spans="1:15" ht="12.75">
      <c r="A452" s="782">
        <v>634</v>
      </c>
      <c r="B452" s="42" t="s">
        <v>113</v>
      </c>
      <c r="C452" s="1732" t="s">
        <v>482</v>
      </c>
      <c r="D452" s="1721"/>
      <c r="E452" s="2003">
        <v>0</v>
      </c>
      <c r="F452" s="2702">
        <v>0</v>
      </c>
      <c r="G452" s="2003">
        <v>0</v>
      </c>
      <c r="H452" s="1674">
        <v>0</v>
      </c>
      <c r="I452" s="2940">
        <v>0</v>
      </c>
      <c r="J452" s="1675">
        <v>0</v>
      </c>
      <c r="K452" s="92"/>
      <c r="L452" s="62"/>
      <c r="M452" s="76"/>
      <c r="N452" s="67"/>
      <c r="O452" s="67"/>
    </row>
    <row r="453" spans="1:16" ht="12.75">
      <c r="A453" s="3235">
        <v>635</v>
      </c>
      <c r="B453" s="3236"/>
      <c r="C453" s="1944" t="s">
        <v>484</v>
      </c>
      <c r="D453" s="1721"/>
      <c r="E453" s="2310">
        <f aca="true" t="shared" si="43" ref="E453:J453">SUM(E454:E456)</f>
        <v>0</v>
      </c>
      <c r="F453" s="2747">
        <f t="shared" si="43"/>
        <v>0</v>
      </c>
      <c r="G453" s="2310">
        <f t="shared" si="43"/>
        <v>0</v>
      </c>
      <c r="H453" s="2298">
        <f t="shared" si="43"/>
        <v>0</v>
      </c>
      <c r="I453" s="2940">
        <f t="shared" si="43"/>
        <v>0</v>
      </c>
      <c r="J453" s="1976">
        <f t="shared" si="43"/>
        <v>0</v>
      </c>
      <c r="K453" s="92"/>
      <c r="L453" s="62"/>
      <c r="M453" s="76"/>
      <c r="N453" s="67"/>
      <c r="O453" s="67"/>
      <c r="P453" s="18"/>
    </row>
    <row r="454" spans="1:15" ht="12.75">
      <c r="A454" s="1992">
        <v>635</v>
      </c>
      <c r="B454" s="612" t="s">
        <v>100</v>
      </c>
      <c r="C454" s="1732" t="s">
        <v>485</v>
      </c>
      <c r="D454" s="1721"/>
      <c r="E454" s="2003">
        <v>0</v>
      </c>
      <c r="F454" s="2702">
        <v>0</v>
      </c>
      <c r="G454" s="2003">
        <v>0</v>
      </c>
      <c r="H454" s="1674">
        <v>0</v>
      </c>
      <c r="I454" s="2940">
        <v>0</v>
      </c>
      <c r="J454" s="1675">
        <v>0</v>
      </c>
      <c r="K454" s="92"/>
      <c r="L454" s="62"/>
      <c r="M454" s="76"/>
      <c r="N454" s="67"/>
      <c r="O454" s="67"/>
    </row>
    <row r="455" spans="1:15" ht="12.75">
      <c r="A455" s="782">
        <v>635</v>
      </c>
      <c r="B455" s="42" t="s">
        <v>113</v>
      </c>
      <c r="C455" s="1732" t="s">
        <v>486</v>
      </c>
      <c r="D455" s="1721"/>
      <c r="E455" s="2003">
        <v>0</v>
      </c>
      <c r="F455" s="2702">
        <v>0</v>
      </c>
      <c r="G455" s="2003">
        <v>0</v>
      </c>
      <c r="H455" s="1674">
        <v>0</v>
      </c>
      <c r="I455" s="2940">
        <v>0</v>
      </c>
      <c r="J455" s="1675">
        <v>0</v>
      </c>
      <c r="K455" s="92"/>
      <c r="L455" s="62"/>
      <c r="M455" s="76"/>
      <c r="N455" s="67"/>
      <c r="O455" s="67"/>
    </row>
    <row r="456" spans="1:16" ht="12.75">
      <c r="A456" s="783">
        <v>635</v>
      </c>
      <c r="B456" s="87" t="s">
        <v>127</v>
      </c>
      <c r="C456" s="1732" t="s">
        <v>487</v>
      </c>
      <c r="D456" s="1721"/>
      <c r="E456" s="2003">
        <v>0</v>
      </c>
      <c r="F456" s="2702">
        <v>0</v>
      </c>
      <c r="G456" s="2003">
        <v>0</v>
      </c>
      <c r="H456" s="1674">
        <v>0</v>
      </c>
      <c r="I456" s="2940">
        <v>0</v>
      </c>
      <c r="J456" s="1675">
        <v>0</v>
      </c>
      <c r="K456" s="92"/>
      <c r="L456" s="62"/>
      <c r="M456" s="76"/>
      <c r="N456" s="67"/>
      <c r="O456" s="67"/>
      <c r="P456" s="18"/>
    </row>
    <row r="457" spans="1:15" ht="12.75">
      <c r="A457" s="3235">
        <v>637</v>
      </c>
      <c r="B457" s="3236"/>
      <c r="C457" s="1944" t="s">
        <v>490</v>
      </c>
      <c r="D457" s="1721"/>
      <c r="E457" s="2310">
        <f>E459+E463+E462</f>
        <v>16700</v>
      </c>
      <c r="F457" s="2747">
        <f>SUM(F458:F465)</f>
        <v>15650</v>
      </c>
      <c r="G457" s="2310">
        <f>G459+G463+G462</f>
        <v>14521</v>
      </c>
      <c r="H457" s="2298">
        <f>SUM(H458:H465)</f>
        <v>14792</v>
      </c>
      <c r="I457" s="3009">
        <f>SUM(I458:I465)</f>
        <v>15112</v>
      </c>
      <c r="J457" s="1976">
        <f>SUM(J458:J465)</f>
        <v>15112</v>
      </c>
      <c r="K457" s="92"/>
      <c r="L457" s="62"/>
      <c r="M457" s="76"/>
      <c r="N457" s="67"/>
      <c r="O457" s="67"/>
    </row>
    <row r="458" spans="1:15" ht="12.75">
      <c r="A458" s="1992">
        <v>637</v>
      </c>
      <c r="B458" s="612" t="s">
        <v>98</v>
      </c>
      <c r="C458" s="1732" t="s">
        <v>491</v>
      </c>
      <c r="D458" s="1721"/>
      <c r="E458" s="2003">
        <v>0</v>
      </c>
      <c r="F458" s="2702">
        <v>0</v>
      </c>
      <c r="G458" s="2003"/>
      <c r="H458" s="1674"/>
      <c r="I458" s="2940"/>
      <c r="J458" s="1675"/>
      <c r="K458" s="92"/>
      <c r="L458" s="62"/>
      <c r="M458" s="76"/>
      <c r="N458" s="67"/>
      <c r="O458" s="67"/>
    </row>
    <row r="459" spans="1:15" ht="12.75">
      <c r="A459" s="1993">
        <v>637</v>
      </c>
      <c r="B459" s="1193" t="s">
        <v>113</v>
      </c>
      <c r="C459" s="1732" t="s">
        <v>495</v>
      </c>
      <c r="D459" s="1721"/>
      <c r="E459" s="2003">
        <v>12350</v>
      </c>
      <c r="F459" s="2702">
        <v>6250</v>
      </c>
      <c r="G459" s="2003">
        <v>6120</v>
      </c>
      <c r="H459" s="1674">
        <v>6000</v>
      </c>
      <c r="I459" s="2940">
        <v>6120</v>
      </c>
      <c r="J459" s="1675">
        <v>6120</v>
      </c>
      <c r="K459" s="92"/>
      <c r="L459" s="62"/>
      <c r="M459" s="76"/>
      <c r="N459" s="67"/>
      <c r="O459" s="67"/>
    </row>
    <row r="460" spans="1:15" ht="12.75">
      <c r="A460" s="782">
        <v>637</v>
      </c>
      <c r="B460" s="42" t="s">
        <v>122</v>
      </c>
      <c r="C460" s="1732" t="s">
        <v>333</v>
      </c>
      <c r="D460" s="1721"/>
      <c r="E460" s="2003">
        <v>0</v>
      </c>
      <c r="F460" s="2702">
        <v>0</v>
      </c>
      <c r="G460" s="2003"/>
      <c r="H460" s="1674"/>
      <c r="I460" s="2940"/>
      <c r="J460" s="1675"/>
      <c r="K460" s="92"/>
      <c r="L460" s="62"/>
      <c r="M460" s="76"/>
      <c r="N460" s="67"/>
      <c r="O460" s="67"/>
    </row>
    <row r="461" spans="1:15" ht="12.75">
      <c r="A461" s="782">
        <v>637</v>
      </c>
      <c r="B461" s="42" t="s">
        <v>104</v>
      </c>
      <c r="C461" s="1732" t="s">
        <v>476</v>
      </c>
      <c r="D461" s="1721"/>
      <c r="E461" s="2003">
        <v>0</v>
      </c>
      <c r="F461" s="2702">
        <v>700</v>
      </c>
      <c r="G461" s="2003"/>
      <c r="H461" s="1674"/>
      <c r="I461" s="2940"/>
      <c r="J461" s="1675"/>
      <c r="K461" s="92"/>
      <c r="L461" s="62"/>
      <c r="M461" s="76"/>
      <c r="N461" s="67"/>
      <c r="O461" s="67"/>
    </row>
    <row r="462" spans="1:15" ht="12.75">
      <c r="A462" s="1992">
        <v>637</v>
      </c>
      <c r="B462" s="612" t="s">
        <v>107</v>
      </c>
      <c r="C462" s="1732" t="s">
        <v>497</v>
      </c>
      <c r="D462" s="1965"/>
      <c r="E462" s="2003">
        <v>3900</v>
      </c>
      <c r="F462" s="2702">
        <v>8250</v>
      </c>
      <c r="G462" s="2003">
        <v>7909</v>
      </c>
      <c r="H462" s="1674">
        <v>8300</v>
      </c>
      <c r="I462" s="2940">
        <v>8500</v>
      </c>
      <c r="J462" s="1675">
        <v>8500</v>
      </c>
      <c r="K462" s="92"/>
      <c r="L462" s="62"/>
      <c r="M462" s="76"/>
      <c r="N462" s="67"/>
      <c r="O462" s="67"/>
    </row>
    <row r="463" spans="1:15" ht="12.75">
      <c r="A463" s="782">
        <v>637</v>
      </c>
      <c r="B463" s="42" t="s">
        <v>499</v>
      </c>
      <c r="C463" s="1290" t="s">
        <v>500</v>
      </c>
      <c r="D463" s="1935"/>
      <c r="E463" s="2003">
        <v>450</v>
      </c>
      <c r="F463" s="2702">
        <v>450</v>
      </c>
      <c r="G463" s="2003">
        <v>492</v>
      </c>
      <c r="H463" s="1674">
        <v>492</v>
      </c>
      <c r="I463" s="2940">
        <v>492</v>
      </c>
      <c r="J463" s="1675">
        <v>492</v>
      </c>
      <c r="K463" s="92"/>
      <c r="L463" s="62"/>
      <c r="M463" s="76"/>
      <c r="N463" s="67"/>
      <c r="O463" s="67"/>
    </row>
    <row r="464" spans="1:15" ht="12.75">
      <c r="A464" s="782">
        <v>637</v>
      </c>
      <c r="B464" s="42" t="s">
        <v>475</v>
      </c>
      <c r="C464" s="1732" t="s">
        <v>501</v>
      </c>
      <c r="D464" s="1966"/>
      <c r="E464" s="2003">
        <v>0</v>
      </c>
      <c r="F464" s="2702">
        <v>0</v>
      </c>
      <c r="G464" s="2003"/>
      <c r="H464" s="1674"/>
      <c r="I464" s="2940"/>
      <c r="J464" s="1675"/>
      <c r="K464" s="92"/>
      <c r="L464" s="62"/>
      <c r="M464" s="76"/>
      <c r="N464" s="67"/>
      <c r="O464" s="67"/>
    </row>
    <row r="465" spans="1:15" ht="12.75">
      <c r="A465" s="783">
        <v>637</v>
      </c>
      <c r="B465" s="87" t="s">
        <v>506</v>
      </c>
      <c r="C465" s="1732" t="s">
        <v>817</v>
      </c>
      <c r="D465" s="1721"/>
      <c r="E465" s="2003">
        <v>0</v>
      </c>
      <c r="F465" s="2702">
        <v>0</v>
      </c>
      <c r="G465" s="2003"/>
      <c r="H465" s="1674"/>
      <c r="I465" s="2940"/>
      <c r="J465" s="1675"/>
      <c r="K465" s="92"/>
      <c r="L465" s="62"/>
      <c r="M465" s="76"/>
      <c r="N465" s="67"/>
      <c r="O465" s="67"/>
    </row>
    <row r="466" spans="1:15" ht="12.75">
      <c r="A466" s="3235">
        <v>640</v>
      </c>
      <c r="B466" s="3236"/>
      <c r="C466" s="1944" t="s">
        <v>508</v>
      </c>
      <c r="D466" s="1721">
        <f>SUM(D467:D479)</f>
        <v>26700</v>
      </c>
      <c r="E466" s="2310">
        <f aca="true" t="shared" si="44" ref="E466:J466">E467+E468+E469+E473+E478+E479</f>
        <v>27290</v>
      </c>
      <c r="F466" s="2747">
        <f t="shared" si="44"/>
        <v>14960</v>
      </c>
      <c r="G466" s="2310">
        <f t="shared" si="44"/>
        <v>14749</v>
      </c>
      <c r="H466" s="2298">
        <f t="shared" si="44"/>
        <v>14980</v>
      </c>
      <c r="I466" s="3009">
        <f t="shared" si="44"/>
        <v>15180</v>
      </c>
      <c r="J466" s="1977">
        <f t="shared" si="44"/>
        <v>15180</v>
      </c>
      <c r="K466" s="92"/>
      <c r="L466" s="62"/>
      <c r="M466" s="76"/>
      <c r="N466" s="67"/>
      <c r="O466" s="67"/>
    </row>
    <row r="467" spans="1:15" ht="12.75">
      <c r="A467" s="2001">
        <v>634</v>
      </c>
      <c r="B467" s="598" t="s">
        <v>113</v>
      </c>
      <c r="C467" s="1827" t="s">
        <v>747</v>
      </c>
      <c r="D467" s="1641">
        <v>3200</v>
      </c>
      <c r="E467" s="2311">
        <v>1770</v>
      </c>
      <c r="F467" s="2756">
        <v>2170</v>
      </c>
      <c r="G467" s="2311">
        <v>2077</v>
      </c>
      <c r="H467" s="2325">
        <v>2100</v>
      </c>
      <c r="I467" s="2940">
        <v>2180</v>
      </c>
      <c r="J467" s="2017">
        <v>2180</v>
      </c>
      <c r="K467" s="92"/>
      <c r="L467" s="62"/>
      <c r="M467" s="76"/>
      <c r="N467" s="67"/>
      <c r="O467" s="67"/>
    </row>
    <row r="468" spans="1:15" ht="12.75">
      <c r="A468" s="2001"/>
      <c r="B468" s="598"/>
      <c r="C468" s="1827" t="s">
        <v>752</v>
      </c>
      <c r="D468" s="1641">
        <v>2500</v>
      </c>
      <c r="E468" s="2311">
        <v>1200</v>
      </c>
      <c r="F468" s="2756">
        <v>700</v>
      </c>
      <c r="G468" s="2311">
        <v>564</v>
      </c>
      <c r="H468" s="2325">
        <v>580</v>
      </c>
      <c r="I468" s="2940">
        <v>600</v>
      </c>
      <c r="J468" s="2017">
        <v>600</v>
      </c>
      <c r="K468" s="92"/>
      <c r="L468" s="62"/>
      <c r="M468" s="76"/>
      <c r="N468" s="67"/>
      <c r="O468" s="67"/>
    </row>
    <row r="469" spans="1:15" ht="12.75">
      <c r="A469" s="2001"/>
      <c r="B469" s="598"/>
      <c r="C469" s="1827" t="s">
        <v>748</v>
      </c>
      <c r="D469" s="1641">
        <v>0</v>
      </c>
      <c r="E469" s="2311">
        <f>E470+E471+E472</f>
        <v>7500</v>
      </c>
      <c r="F469" s="2756">
        <f>F470+F471+F472</f>
        <v>5500</v>
      </c>
      <c r="G469" s="2311">
        <v>5000</v>
      </c>
      <c r="H469" s="2325">
        <v>5000</v>
      </c>
      <c r="I469" s="2940">
        <v>5000</v>
      </c>
      <c r="J469" s="2017">
        <v>5000</v>
      </c>
      <c r="K469" s="92"/>
      <c r="L469" s="62"/>
      <c r="M469" s="76"/>
      <c r="N469" s="67"/>
      <c r="O469" s="67"/>
    </row>
    <row r="470" spans="1:15" ht="12.75">
      <c r="A470" s="2001"/>
      <c r="B470" s="598"/>
      <c r="C470" s="1827" t="s">
        <v>760</v>
      </c>
      <c r="D470" s="1641"/>
      <c r="E470" s="2312">
        <v>1850</v>
      </c>
      <c r="F470" s="2748">
        <v>1850</v>
      </c>
      <c r="G470" s="2312"/>
      <c r="H470" s="2014"/>
      <c r="I470" s="2940"/>
      <c r="J470" s="2016"/>
      <c r="K470" s="92"/>
      <c r="L470" s="62"/>
      <c r="M470" s="76"/>
      <c r="N470" s="67"/>
      <c r="O470" s="67"/>
    </row>
    <row r="471" spans="1:15" ht="12.75">
      <c r="A471" s="2001"/>
      <c r="B471" s="598"/>
      <c r="C471" s="1827" t="s">
        <v>761</v>
      </c>
      <c r="D471" s="1641"/>
      <c r="E471" s="2312">
        <v>610</v>
      </c>
      <c r="F471" s="2748">
        <v>610</v>
      </c>
      <c r="G471" s="2312"/>
      <c r="H471" s="2014"/>
      <c r="I471" s="2940"/>
      <c r="J471" s="2016"/>
      <c r="K471" s="92"/>
      <c r="L471" s="62"/>
      <c r="M471" s="76"/>
      <c r="N471" s="67"/>
      <c r="O471" s="67"/>
    </row>
    <row r="472" spans="1:15" ht="12.75">
      <c r="A472" s="2001"/>
      <c r="B472" s="598"/>
      <c r="C472" s="1827" t="s">
        <v>762</v>
      </c>
      <c r="D472" s="1641"/>
      <c r="E472" s="2312">
        <v>5040</v>
      </c>
      <c r="F472" s="2748">
        <v>3040</v>
      </c>
      <c r="G472" s="2312"/>
      <c r="H472" s="2014"/>
      <c r="I472" s="2940"/>
      <c r="J472" s="2016"/>
      <c r="K472" s="92"/>
      <c r="L472" s="62"/>
      <c r="M472" s="76"/>
      <c r="N472" s="67"/>
      <c r="O472" s="67"/>
    </row>
    <row r="473" spans="1:15" ht="12.75">
      <c r="A473" s="2001"/>
      <c r="B473" s="598"/>
      <c r="C473" s="1827" t="s">
        <v>603</v>
      </c>
      <c r="D473" s="1641">
        <v>8000</v>
      </c>
      <c r="E473" s="2311">
        <f>E474+E475+E476+E477</f>
        <v>7850</v>
      </c>
      <c r="F473" s="2756">
        <f>F474+F475+F476+F477</f>
        <v>0</v>
      </c>
      <c r="G473" s="2311"/>
      <c r="H473" s="2325"/>
      <c r="I473" s="2940"/>
      <c r="J473" s="2017"/>
      <c r="K473" s="92"/>
      <c r="L473" s="62"/>
      <c r="M473" s="76"/>
      <c r="N473" s="67"/>
      <c r="O473" s="67"/>
    </row>
    <row r="474" spans="1:15" ht="12.75">
      <c r="A474" s="2001"/>
      <c r="B474" s="598"/>
      <c r="C474" s="1827" t="s">
        <v>754</v>
      </c>
      <c r="D474" s="1641"/>
      <c r="E474" s="2312">
        <v>1815</v>
      </c>
      <c r="F474" s="2748">
        <v>0</v>
      </c>
      <c r="G474" s="2312"/>
      <c r="H474" s="2014"/>
      <c r="I474" s="2940"/>
      <c r="J474" s="2016"/>
      <c r="K474" s="92"/>
      <c r="L474" s="62"/>
      <c r="M474" s="76"/>
      <c r="N474" s="67"/>
      <c r="O474" s="67"/>
    </row>
    <row r="475" spans="1:15" ht="12.75">
      <c r="A475" s="2001"/>
      <c r="B475" s="598"/>
      <c r="C475" s="1827" t="s">
        <v>761</v>
      </c>
      <c r="D475" s="1641"/>
      <c r="E475" s="2312">
        <v>1122</v>
      </c>
      <c r="F475" s="2748">
        <v>0</v>
      </c>
      <c r="G475" s="2312"/>
      <c r="H475" s="2014"/>
      <c r="I475" s="2940"/>
      <c r="J475" s="2016"/>
      <c r="K475" s="92"/>
      <c r="L475" s="62"/>
      <c r="M475" s="76"/>
      <c r="N475" s="67"/>
      <c r="O475" s="67"/>
    </row>
    <row r="476" spans="1:15" ht="12.75">
      <c r="A476" s="2001"/>
      <c r="B476" s="598"/>
      <c r="C476" s="1827" t="s">
        <v>755</v>
      </c>
      <c r="D476" s="1641"/>
      <c r="E476" s="2312">
        <v>1023</v>
      </c>
      <c r="F476" s="2748">
        <v>0</v>
      </c>
      <c r="G476" s="2312"/>
      <c r="H476" s="2014"/>
      <c r="I476" s="2940"/>
      <c r="J476" s="2016"/>
      <c r="K476" s="92"/>
      <c r="L476" s="62"/>
      <c r="M476" s="76"/>
      <c r="N476" s="67"/>
      <c r="O476" s="67"/>
    </row>
    <row r="477" spans="1:15" ht="12.75">
      <c r="A477" s="2001"/>
      <c r="B477" s="598"/>
      <c r="C477" s="1827" t="s">
        <v>759</v>
      </c>
      <c r="D477" s="1641"/>
      <c r="E477" s="2312">
        <v>3890</v>
      </c>
      <c r="F477" s="2748">
        <v>0</v>
      </c>
      <c r="G477" s="2312"/>
      <c r="H477" s="2014"/>
      <c r="I477" s="2940"/>
      <c r="J477" s="2016"/>
      <c r="K477" s="92"/>
      <c r="L477" s="62"/>
      <c r="M477" s="76"/>
      <c r="N477" s="67"/>
      <c r="O477" s="67"/>
    </row>
    <row r="478" spans="1:15" ht="12.75">
      <c r="A478" s="2001"/>
      <c r="B478" s="598"/>
      <c r="C478" s="1827" t="s">
        <v>674</v>
      </c>
      <c r="D478" s="1641">
        <v>1000</v>
      </c>
      <c r="E478" s="2311">
        <v>130</v>
      </c>
      <c r="F478" s="2756">
        <v>130</v>
      </c>
      <c r="G478" s="2311">
        <v>908</v>
      </c>
      <c r="H478" s="2325">
        <v>1000</v>
      </c>
      <c r="I478" s="2940">
        <v>1000</v>
      </c>
      <c r="J478" s="2017">
        <v>1000</v>
      </c>
      <c r="K478" s="92"/>
      <c r="L478" s="62"/>
      <c r="M478" s="76"/>
      <c r="N478" s="67"/>
      <c r="O478" s="67"/>
    </row>
    <row r="479" spans="1:15" ht="12.75">
      <c r="A479" s="2001"/>
      <c r="B479" s="598"/>
      <c r="C479" s="1827" t="s">
        <v>749</v>
      </c>
      <c r="D479" s="2101">
        <v>12000</v>
      </c>
      <c r="E479" s="2313">
        <f>E480+E481+E482</f>
        <v>8840</v>
      </c>
      <c r="F479" s="2757">
        <v>6460</v>
      </c>
      <c r="G479" s="2313">
        <v>6200</v>
      </c>
      <c r="H479" s="2326">
        <v>6300</v>
      </c>
      <c r="I479" s="2944">
        <v>6400</v>
      </c>
      <c r="J479" s="2029">
        <v>6400</v>
      </c>
      <c r="K479" s="92"/>
      <c r="L479" s="62"/>
      <c r="M479" s="76"/>
      <c r="N479" s="67"/>
      <c r="O479" s="67"/>
    </row>
    <row r="480" spans="1:15" ht="12.75">
      <c r="A480" s="2023"/>
      <c r="B480" s="2024"/>
      <c r="C480" s="1827" t="s">
        <v>756</v>
      </c>
      <c r="D480" s="2025"/>
      <c r="E480" s="2314">
        <v>6348</v>
      </c>
      <c r="F480" s="2758">
        <v>0</v>
      </c>
      <c r="G480" s="2314"/>
      <c r="H480" s="2327"/>
      <c r="I480" s="2959"/>
      <c r="J480" s="2030"/>
      <c r="K480" s="92"/>
      <c r="L480" s="62"/>
      <c r="M480" s="76"/>
      <c r="N480" s="67"/>
      <c r="O480" s="67"/>
    </row>
    <row r="481" spans="1:15" ht="12.75">
      <c r="A481" s="2026"/>
      <c r="B481" s="2027"/>
      <c r="C481" s="1827" t="s">
        <v>757</v>
      </c>
      <c r="D481" s="2028"/>
      <c r="E481" s="2315">
        <v>1260</v>
      </c>
      <c r="F481" s="2759">
        <v>0</v>
      </c>
      <c r="G481" s="2315"/>
      <c r="H481" s="2328"/>
      <c r="I481" s="2968"/>
      <c r="J481" s="2031"/>
      <c r="K481" s="92"/>
      <c r="L481" s="62"/>
      <c r="M481" s="76"/>
      <c r="N481" s="67"/>
      <c r="O481" s="67"/>
    </row>
    <row r="482" spans="1:15" ht="12.75">
      <c r="A482" s="2023"/>
      <c r="B482" s="2024"/>
      <c r="C482" s="2034" t="s">
        <v>758</v>
      </c>
      <c r="D482" s="2025"/>
      <c r="E482" s="2314">
        <v>1232</v>
      </c>
      <c r="F482" s="2758">
        <v>0</v>
      </c>
      <c r="G482" s="2314"/>
      <c r="H482" s="2327"/>
      <c r="I482" s="2959"/>
      <c r="J482" s="2030"/>
      <c r="K482" s="92"/>
      <c r="L482" s="62"/>
      <c r="M482" s="76"/>
      <c r="N482" s="67"/>
      <c r="O482" s="67"/>
    </row>
    <row r="483" spans="1:15" ht="12.75">
      <c r="A483" s="2171" t="s">
        <v>751</v>
      </c>
      <c r="B483" s="2172"/>
      <c r="C483" s="2172"/>
      <c r="D483" s="2167"/>
      <c r="E483" s="2316">
        <f aca="true" t="shared" si="45" ref="E483:J483">E484+E493</f>
        <v>186991</v>
      </c>
      <c r="F483" s="2169">
        <f t="shared" si="45"/>
        <v>207234</v>
      </c>
      <c r="G483" s="2316">
        <f t="shared" si="45"/>
        <v>204746</v>
      </c>
      <c r="H483" s="2169">
        <f t="shared" si="45"/>
        <v>216241</v>
      </c>
      <c r="I483" s="3017">
        <f t="shared" si="45"/>
        <v>225835</v>
      </c>
      <c r="J483" s="2170">
        <f t="shared" si="45"/>
        <v>237660</v>
      </c>
      <c r="K483" s="92"/>
      <c r="L483" s="92"/>
      <c r="M483" s="76"/>
      <c r="N483" s="67"/>
      <c r="O483" s="67"/>
    </row>
    <row r="484" spans="1:16" ht="12.75">
      <c r="A484" s="3255">
        <v>610.62</v>
      </c>
      <c r="B484" s="3256"/>
      <c r="C484" s="1968" t="s">
        <v>750</v>
      </c>
      <c r="D484" s="1743"/>
      <c r="E484" s="2317">
        <f aca="true" t="shared" si="46" ref="E484:J484">SUM(E485:E492)</f>
        <v>168020</v>
      </c>
      <c r="F484" s="2760">
        <f t="shared" si="46"/>
        <v>193396</v>
      </c>
      <c r="G484" s="2317">
        <f t="shared" si="46"/>
        <v>192384</v>
      </c>
      <c r="H484" s="2329">
        <f t="shared" si="46"/>
        <v>202421</v>
      </c>
      <c r="I484" s="3007">
        <f t="shared" si="46"/>
        <v>212542</v>
      </c>
      <c r="J484" s="2005">
        <f t="shared" si="46"/>
        <v>223167</v>
      </c>
      <c r="K484" s="92"/>
      <c r="L484" s="92"/>
      <c r="M484" s="76"/>
      <c r="N484" s="67"/>
      <c r="O484" s="67"/>
      <c r="P484" s="64"/>
    </row>
    <row r="485" spans="1:16" ht="12.75">
      <c r="A485" s="3257" t="s">
        <v>744</v>
      </c>
      <c r="B485" s="1969">
        <v>610</v>
      </c>
      <c r="C485" s="1970" t="s">
        <v>456</v>
      </c>
      <c r="D485" s="1743"/>
      <c r="E485" s="2003">
        <v>24752</v>
      </c>
      <c r="F485" s="2702">
        <v>28258</v>
      </c>
      <c r="G485" s="2003">
        <v>26976</v>
      </c>
      <c r="H485" s="1674">
        <v>28325</v>
      </c>
      <c r="I485" s="2940">
        <v>29741</v>
      </c>
      <c r="J485" s="1675">
        <v>31228</v>
      </c>
      <c r="K485" s="92"/>
      <c r="L485" s="92"/>
      <c r="M485" s="76"/>
      <c r="N485" s="67"/>
      <c r="O485" s="67"/>
      <c r="P485" s="64"/>
    </row>
    <row r="486" spans="1:16" s="33" customFormat="1" ht="12.75">
      <c r="A486" s="3258"/>
      <c r="B486" s="1951">
        <v>620</v>
      </c>
      <c r="C486" s="1952" t="s">
        <v>198</v>
      </c>
      <c r="D486" s="1639"/>
      <c r="E486" s="2003">
        <v>8472</v>
      </c>
      <c r="F486" s="2702">
        <v>9520</v>
      </c>
      <c r="G486" s="2003">
        <v>9276</v>
      </c>
      <c r="H486" s="1674">
        <v>9740</v>
      </c>
      <c r="I486" s="2940">
        <v>10227</v>
      </c>
      <c r="J486" s="1675">
        <v>10738</v>
      </c>
      <c r="K486" s="92"/>
      <c r="L486" s="19"/>
      <c r="M486" s="76"/>
      <c r="N486" s="618"/>
      <c r="O486" s="67"/>
      <c r="P486" s="64"/>
    </row>
    <row r="487" spans="1:16" s="706" customFormat="1" ht="12.75">
      <c r="A487" s="3257" t="s">
        <v>745</v>
      </c>
      <c r="B487" s="1951">
        <v>610</v>
      </c>
      <c r="C487" s="1953" t="s">
        <v>456</v>
      </c>
      <c r="D487" s="1935"/>
      <c r="E487" s="2003">
        <v>77988</v>
      </c>
      <c r="F487" s="2702">
        <v>90493</v>
      </c>
      <c r="G487" s="2003">
        <v>89028</v>
      </c>
      <c r="H487" s="1674">
        <v>93480</v>
      </c>
      <c r="I487" s="2940">
        <v>98154</v>
      </c>
      <c r="J487" s="1675">
        <v>103062</v>
      </c>
      <c r="K487" s="619"/>
      <c r="L487" s="596"/>
      <c r="M487" s="608"/>
      <c r="N487" s="572"/>
      <c r="O487" s="607"/>
      <c r="P487" s="605"/>
    </row>
    <row r="488" spans="1:16" s="706" customFormat="1" ht="12.75">
      <c r="A488" s="3258"/>
      <c r="B488" s="1951">
        <v>620</v>
      </c>
      <c r="C488" s="1952" t="s">
        <v>198</v>
      </c>
      <c r="D488" s="1935"/>
      <c r="E488" s="2003">
        <v>27264</v>
      </c>
      <c r="F488" s="2702">
        <v>31625</v>
      </c>
      <c r="G488" s="2003">
        <v>31116</v>
      </c>
      <c r="H488" s="1674">
        <v>32672</v>
      </c>
      <c r="I488" s="2940">
        <v>34306</v>
      </c>
      <c r="J488" s="1675">
        <v>36021</v>
      </c>
      <c r="K488" s="619"/>
      <c r="L488" s="596"/>
      <c r="M488" s="608"/>
      <c r="N488" s="572"/>
      <c r="O488" s="607"/>
      <c r="P488" s="605"/>
    </row>
    <row r="489" spans="1:16" s="33" customFormat="1" ht="12.75">
      <c r="A489" s="3257" t="s">
        <v>400</v>
      </c>
      <c r="B489" s="1951">
        <v>610</v>
      </c>
      <c r="C489" s="1953" t="s">
        <v>456</v>
      </c>
      <c r="D489" s="2044"/>
      <c r="E489" s="2003">
        <v>9840</v>
      </c>
      <c r="F489" s="2702">
        <v>10795</v>
      </c>
      <c r="G489" s="2003">
        <v>11220</v>
      </c>
      <c r="H489" s="1674">
        <v>11781</v>
      </c>
      <c r="I489" s="2969">
        <v>12370</v>
      </c>
      <c r="J489" s="2004">
        <v>12988</v>
      </c>
      <c r="K489" s="684"/>
      <c r="L489" s="685"/>
      <c r="M489" s="684"/>
      <c r="N489" s="572"/>
      <c r="O489" s="707"/>
      <c r="P489" s="16"/>
    </row>
    <row r="490" spans="1:16" s="33" customFormat="1" ht="12.75">
      <c r="A490" s="3258"/>
      <c r="B490" s="1951">
        <v>620</v>
      </c>
      <c r="C490" s="1952" t="s">
        <v>198</v>
      </c>
      <c r="D490" s="2044"/>
      <c r="E490" s="2003">
        <v>3384</v>
      </c>
      <c r="F490" s="2702">
        <v>3773</v>
      </c>
      <c r="G490" s="2003">
        <v>3924</v>
      </c>
      <c r="H490" s="1674">
        <v>4120</v>
      </c>
      <c r="I490" s="2969">
        <v>4326</v>
      </c>
      <c r="J490" s="2004">
        <v>4542</v>
      </c>
      <c r="K490" s="684"/>
      <c r="L490" s="685"/>
      <c r="M490" s="684"/>
      <c r="N490" s="572"/>
      <c r="O490" s="707"/>
      <c r="P490" s="16"/>
    </row>
    <row r="491" spans="1:16" s="33" customFormat="1" ht="12.75">
      <c r="A491" s="3257" t="s">
        <v>746</v>
      </c>
      <c r="B491" s="1951">
        <v>610</v>
      </c>
      <c r="C491" s="1953" t="s">
        <v>456</v>
      </c>
      <c r="D491" s="2044"/>
      <c r="E491" s="2003">
        <v>12120</v>
      </c>
      <c r="F491" s="2702">
        <v>14030</v>
      </c>
      <c r="G491" s="2003">
        <v>15444</v>
      </c>
      <c r="H491" s="1674">
        <v>16525</v>
      </c>
      <c r="I491" s="2969">
        <v>17351</v>
      </c>
      <c r="J491" s="2004">
        <v>18218</v>
      </c>
      <c r="K491" s="684"/>
      <c r="L491" s="685"/>
      <c r="M491" s="684"/>
      <c r="N491" s="572"/>
      <c r="O491" s="707"/>
      <c r="P491" s="16"/>
    </row>
    <row r="492" spans="1:16" s="33" customFormat="1" ht="12.75">
      <c r="A492" s="3258"/>
      <c r="B492" s="1951">
        <v>620</v>
      </c>
      <c r="C492" s="1952" t="s">
        <v>198</v>
      </c>
      <c r="D492" s="2044"/>
      <c r="E492" s="2007">
        <v>4200</v>
      </c>
      <c r="F492" s="2761">
        <v>4902</v>
      </c>
      <c r="G492" s="2007">
        <v>5400</v>
      </c>
      <c r="H492" s="2330">
        <v>5778</v>
      </c>
      <c r="I492" s="2969">
        <v>6067</v>
      </c>
      <c r="J492" s="2008">
        <v>6370</v>
      </c>
      <c r="K492" s="684"/>
      <c r="L492" s="685"/>
      <c r="M492" s="684"/>
      <c r="N492" s="572"/>
      <c r="O492" s="707"/>
      <c r="P492" s="16"/>
    </row>
    <row r="493" spans="1:15" ht="12.75">
      <c r="A493" s="2000"/>
      <c r="B493" s="1967" t="s">
        <v>599</v>
      </c>
      <c r="C493" s="1968" t="s">
        <v>369</v>
      </c>
      <c r="D493" s="2044"/>
      <c r="E493" s="2011">
        <f aca="true" t="shared" si="47" ref="E493:J493">E494+E495+E506+E508+E512+E521</f>
        <v>18971</v>
      </c>
      <c r="F493" s="2762">
        <f t="shared" si="47"/>
        <v>13838</v>
      </c>
      <c r="G493" s="2011">
        <f t="shared" si="47"/>
        <v>12362</v>
      </c>
      <c r="H493" s="1974">
        <f t="shared" si="47"/>
        <v>13820</v>
      </c>
      <c r="I493" s="3013">
        <f t="shared" si="47"/>
        <v>13293</v>
      </c>
      <c r="J493" s="2012">
        <f t="shared" si="47"/>
        <v>14493</v>
      </c>
      <c r="K493" s="619"/>
      <c r="M493" s="657"/>
      <c r="N493" s="572"/>
      <c r="O493" s="607"/>
    </row>
    <row r="494" spans="1:15" ht="12.75">
      <c r="A494" s="3255">
        <v>632</v>
      </c>
      <c r="B494" s="3256"/>
      <c r="C494" s="1968" t="s">
        <v>460</v>
      </c>
      <c r="D494" s="2044"/>
      <c r="E494" s="2302">
        <v>1815</v>
      </c>
      <c r="F494" s="2763">
        <v>1592</v>
      </c>
      <c r="G494" s="2302">
        <v>1620</v>
      </c>
      <c r="H494" s="2331">
        <v>1750</v>
      </c>
      <c r="I494" s="3014">
        <v>1900</v>
      </c>
      <c r="J494" s="2303">
        <v>1900</v>
      </c>
      <c r="K494" s="619"/>
      <c r="M494" s="657"/>
      <c r="N494" s="572"/>
      <c r="O494" s="607"/>
    </row>
    <row r="495" spans="1:15" ht="12.75">
      <c r="A495" s="3267">
        <v>633</v>
      </c>
      <c r="B495" s="3268"/>
      <c r="C495" s="1971" t="s">
        <v>462</v>
      </c>
      <c r="D495" s="2044"/>
      <c r="E495" s="2302">
        <f>SUM(E496:E504)</f>
        <v>5974</v>
      </c>
      <c r="F495" s="2763">
        <f>SUM(F496:F504)</f>
        <v>730</v>
      </c>
      <c r="G495" s="2302">
        <f>SUM(G496:G505)</f>
        <v>1108</v>
      </c>
      <c r="H495" s="2331">
        <f>SUM(H496:H505)</f>
        <v>1260</v>
      </c>
      <c r="I495" s="3014">
        <f>SUM(I496:I505)</f>
        <v>1430</v>
      </c>
      <c r="J495" s="2303">
        <f>SUM(J496:J505)</f>
        <v>1430</v>
      </c>
      <c r="K495" s="619"/>
      <c r="M495" s="657"/>
      <c r="N495" s="572"/>
      <c r="O495" s="607"/>
    </row>
    <row r="496" spans="1:15" ht="12.75">
      <c r="A496" s="1950">
        <v>633</v>
      </c>
      <c r="B496" s="602" t="s">
        <v>98</v>
      </c>
      <c r="C496" s="1270" t="s">
        <v>463</v>
      </c>
      <c r="D496" s="2044"/>
      <c r="E496" s="1723"/>
      <c r="F496" s="2764"/>
      <c r="G496" s="1723"/>
      <c r="H496" s="2332"/>
      <c r="I496" s="2970"/>
      <c r="J496" s="2002"/>
      <c r="K496" s="619"/>
      <c r="M496" s="657"/>
      <c r="N496" s="572"/>
      <c r="O496" s="607"/>
    </row>
    <row r="497" spans="1:15" ht="12.75">
      <c r="A497" s="782">
        <v>633</v>
      </c>
      <c r="B497" s="603" t="s">
        <v>100</v>
      </c>
      <c r="C497" s="1732" t="s">
        <v>464</v>
      </c>
      <c r="D497" s="2044"/>
      <c r="E497" s="1723"/>
      <c r="F497" s="2764"/>
      <c r="G497" s="1723"/>
      <c r="H497" s="2332"/>
      <c r="I497" s="2970"/>
      <c r="J497" s="2002"/>
      <c r="K497" s="619"/>
      <c r="M497" s="657"/>
      <c r="N497" s="572"/>
      <c r="O497" s="607"/>
    </row>
    <row r="498" spans="1:15" ht="12.75">
      <c r="A498" s="782">
        <v>633</v>
      </c>
      <c r="B498" s="603" t="s">
        <v>122</v>
      </c>
      <c r="C498" s="1732" t="s">
        <v>465</v>
      </c>
      <c r="D498" s="2044"/>
      <c r="E498" s="1723"/>
      <c r="F498" s="2764"/>
      <c r="G498" s="1723"/>
      <c r="H498" s="2332"/>
      <c r="I498" s="2970"/>
      <c r="J498" s="2002"/>
      <c r="K498" s="619"/>
      <c r="M498" s="657"/>
      <c r="N498" s="572"/>
      <c r="O498" s="607"/>
    </row>
    <row r="499" spans="1:15" ht="12.75">
      <c r="A499" s="782">
        <v>633</v>
      </c>
      <c r="B499" s="42" t="s">
        <v>127</v>
      </c>
      <c r="C499" s="1732" t="s">
        <v>467</v>
      </c>
      <c r="D499" s="2044"/>
      <c r="E499" s="2009">
        <v>935</v>
      </c>
      <c r="F499" s="2765">
        <v>180</v>
      </c>
      <c r="G499" s="2009">
        <v>228</v>
      </c>
      <c r="H499" s="2333">
        <v>280</v>
      </c>
      <c r="I499" s="2970">
        <v>350</v>
      </c>
      <c r="J499" s="2010">
        <v>350</v>
      </c>
      <c r="K499" s="619"/>
      <c r="M499" s="657"/>
      <c r="N499" s="572"/>
      <c r="O499" s="607"/>
    </row>
    <row r="500" spans="1:15" ht="12.75">
      <c r="A500" s="782">
        <v>633</v>
      </c>
      <c r="B500" s="42" t="s">
        <v>127</v>
      </c>
      <c r="C500" s="1732" t="s">
        <v>764</v>
      </c>
      <c r="D500" s="2044"/>
      <c r="E500" s="2009">
        <v>4166</v>
      </c>
      <c r="F500" s="2765">
        <v>0</v>
      </c>
      <c r="G500" s="2009">
        <v>0</v>
      </c>
      <c r="H500" s="2333">
        <v>0</v>
      </c>
      <c r="I500" s="2970">
        <v>0</v>
      </c>
      <c r="J500" s="2010">
        <v>0</v>
      </c>
      <c r="K500" s="619"/>
      <c r="M500" s="657"/>
      <c r="N500" s="572"/>
      <c r="O500" s="607"/>
    </row>
    <row r="501" spans="1:15" ht="12.75">
      <c r="A501" s="782">
        <v>633</v>
      </c>
      <c r="B501" s="42" t="s">
        <v>468</v>
      </c>
      <c r="C501" s="1732" t="s">
        <v>394</v>
      </c>
      <c r="D501" s="2044"/>
      <c r="E501" s="2009">
        <v>627</v>
      </c>
      <c r="F501" s="2765">
        <v>350</v>
      </c>
      <c r="G501" s="2009">
        <v>200</v>
      </c>
      <c r="H501" s="2333">
        <v>300</v>
      </c>
      <c r="I501" s="2970">
        <v>380</v>
      </c>
      <c r="J501" s="2010">
        <v>380</v>
      </c>
      <c r="K501" s="619"/>
      <c r="M501" s="657"/>
      <c r="N501" s="572"/>
      <c r="O501" s="607"/>
    </row>
    <row r="502" spans="1:15" ht="12.75">
      <c r="A502" s="782">
        <v>633</v>
      </c>
      <c r="B502" s="42" t="s">
        <v>470</v>
      </c>
      <c r="C502" s="1732" t="s">
        <v>471</v>
      </c>
      <c r="D502" s="2044"/>
      <c r="E502" s="2009"/>
      <c r="F502" s="2765"/>
      <c r="G502" s="2009"/>
      <c r="H502" s="2333"/>
      <c r="I502" s="2970"/>
      <c r="J502" s="2010"/>
      <c r="K502" s="619"/>
      <c r="M502" s="657"/>
      <c r="N502" s="572"/>
      <c r="O502" s="607"/>
    </row>
    <row r="503" spans="1:15" ht="12.75">
      <c r="A503" s="782">
        <v>633</v>
      </c>
      <c r="B503" s="42" t="s">
        <v>472</v>
      </c>
      <c r="C503" s="1732" t="s">
        <v>473</v>
      </c>
      <c r="D503" s="2044"/>
      <c r="E503" s="2009"/>
      <c r="F503" s="2765"/>
      <c r="G503" s="2009"/>
      <c r="H503" s="2333"/>
      <c r="I503" s="2970"/>
      <c r="J503" s="2010"/>
      <c r="K503" s="619"/>
      <c r="M503" s="657"/>
      <c r="N503" s="572"/>
      <c r="O503" s="607"/>
    </row>
    <row r="504" spans="1:15" ht="12.75">
      <c r="A504" s="782">
        <v>633</v>
      </c>
      <c r="B504" s="42" t="s">
        <v>105</v>
      </c>
      <c r="C504" s="1732" t="s">
        <v>474</v>
      </c>
      <c r="D504" s="2044"/>
      <c r="E504" s="2009">
        <v>246</v>
      </c>
      <c r="F504" s="2765">
        <v>200</v>
      </c>
      <c r="G504" s="2009">
        <v>180</v>
      </c>
      <c r="H504" s="2333">
        <v>180</v>
      </c>
      <c r="I504" s="2970">
        <v>200</v>
      </c>
      <c r="J504" s="2010">
        <v>200</v>
      </c>
      <c r="K504" s="619"/>
      <c r="M504" s="657"/>
      <c r="N504" s="572"/>
      <c r="O504" s="607"/>
    </row>
    <row r="505" spans="1:15" ht="12.75">
      <c r="A505" s="782">
        <v>633</v>
      </c>
      <c r="B505" s="42" t="s">
        <v>475</v>
      </c>
      <c r="C505" s="1732" t="s">
        <v>364</v>
      </c>
      <c r="D505" s="2044"/>
      <c r="E505" s="2009"/>
      <c r="F505" s="2765"/>
      <c r="G505" s="2009">
        <v>500</v>
      </c>
      <c r="H505" s="2333">
        <v>500</v>
      </c>
      <c r="I505" s="2970">
        <v>500</v>
      </c>
      <c r="J505" s="2010">
        <v>500</v>
      </c>
      <c r="K505" s="619"/>
      <c r="M505" s="657"/>
      <c r="N505" s="572"/>
      <c r="O505" s="607"/>
    </row>
    <row r="506" spans="1:15" ht="12.75">
      <c r="A506" s="3235">
        <v>634</v>
      </c>
      <c r="B506" s="3236"/>
      <c r="C506" s="1944" t="s">
        <v>477</v>
      </c>
      <c r="D506" s="2044"/>
      <c r="E506" s="2302">
        <f aca="true" t="shared" si="48" ref="E506:J506">E507</f>
        <v>0</v>
      </c>
      <c r="F506" s="2763">
        <f t="shared" si="48"/>
        <v>0</v>
      </c>
      <c r="G506" s="2302">
        <f t="shared" si="48"/>
        <v>0</v>
      </c>
      <c r="H506" s="2331">
        <f t="shared" si="48"/>
        <v>0</v>
      </c>
      <c r="I506" s="2970">
        <f t="shared" si="48"/>
        <v>0</v>
      </c>
      <c r="J506" s="2303">
        <f t="shared" si="48"/>
        <v>0</v>
      </c>
      <c r="K506" s="619"/>
      <c r="M506" s="657"/>
      <c r="N506" s="572"/>
      <c r="O506" s="607"/>
    </row>
    <row r="507" spans="1:15" ht="12.75">
      <c r="A507" s="782">
        <v>634</v>
      </c>
      <c r="B507" s="42" t="s">
        <v>113</v>
      </c>
      <c r="C507" s="1732" t="s">
        <v>482</v>
      </c>
      <c r="D507" s="2044"/>
      <c r="E507" s="2009"/>
      <c r="F507" s="2765"/>
      <c r="G507" s="2009"/>
      <c r="H507" s="2333"/>
      <c r="I507" s="2970"/>
      <c r="J507" s="2010"/>
      <c r="K507" s="619"/>
      <c r="M507" s="657"/>
      <c r="N507" s="572"/>
      <c r="O507" s="607"/>
    </row>
    <row r="508" spans="1:15" ht="12.75">
      <c r="A508" s="3235">
        <v>635</v>
      </c>
      <c r="B508" s="3236"/>
      <c r="C508" s="1944" t="s">
        <v>484</v>
      </c>
      <c r="D508" s="2044"/>
      <c r="E508" s="2302">
        <f aca="true" t="shared" si="49" ref="E508:J508">SUM(E509:E511)</f>
        <v>0</v>
      </c>
      <c r="F508" s="2763">
        <f t="shared" si="49"/>
        <v>0</v>
      </c>
      <c r="G508" s="2302">
        <f t="shared" si="49"/>
        <v>0</v>
      </c>
      <c r="H508" s="2331">
        <f t="shared" si="49"/>
        <v>0</v>
      </c>
      <c r="I508" s="2970">
        <f t="shared" si="49"/>
        <v>0</v>
      </c>
      <c r="J508" s="2303">
        <f t="shared" si="49"/>
        <v>0</v>
      </c>
      <c r="K508" s="619"/>
      <c r="M508" s="657"/>
      <c r="N508" s="572"/>
      <c r="O508" s="607"/>
    </row>
    <row r="509" spans="1:15" ht="12.75">
      <c r="A509" s="1992">
        <v>635</v>
      </c>
      <c r="B509" s="612" t="s">
        <v>100</v>
      </c>
      <c r="C509" s="1732" t="s">
        <v>485</v>
      </c>
      <c r="D509" s="2044"/>
      <c r="E509" s="2009"/>
      <c r="F509" s="2765"/>
      <c r="G509" s="2009"/>
      <c r="H509" s="2333"/>
      <c r="I509" s="2970"/>
      <c r="J509" s="2010"/>
      <c r="K509" s="619"/>
      <c r="M509" s="657"/>
      <c r="N509" s="572"/>
      <c r="O509" s="607"/>
    </row>
    <row r="510" spans="1:15" ht="12.75">
      <c r="A510" s="782">
        <v>635</v>
      </c>
      <c r="B510" s="42" t="s">
        <v>113</v>
      </c>
      <c r="C510" s="1732" t="s">
        <v>486</v>
      </c>
      <c r="D510" s="2044"/>
      <c r="E510" s="2009"/>
      <c r="F510" s="2765"/>
      <c r="G510" s="2009"/>
      <c r="H510" s="2333"/>
      <c r="I510" s="2970"/>
      <c r="J510" s="2010"/>
      <c r="K510" s="619"/>
      <c r="M510" s="657"/>
      <c r="N510" s="572"/>
      <c r="O510" s="607"/>
    </row>
    <row r="511" spans="1:15" ht="12.75">
      <c r="A511" s="783">
        <v>635</v>
      </c>
      <c r="B511" s="87" t="s">
        <v>127</v>
      </c>
      <c r="C511" s="1732" t="s">
        <v>487</v>
      </c>
      <c r="D511" s="2044"/>
      <c r="E511" s="2318"/>
      <c r="F511" s="2766"/>
      <c r="G511" s="2318"/>
      <c r="H511" s="2334"/>
      <c r="I511" s="2971"/>
      <c r="J511" s="2308"/>
      <c r="K511" s="619"/>
      <c r="M511" s="657"/>
      <c r="N511" s="572"/>
      <c r="O511" s="607"/>
    </row>
    <row r="512" spans="1:15" ht="12.75">
      <c r="A512" s="3235">
        <v>637</v>
      </c>
      <c r="B512" s="3236"/>
      <c r="C512" s="1944" t="s">
        <v>490</v>
      </c>
      <c r="D512" s="2044"/>
      <c r="E512" s="2304">
        <f aca="true" t="shared" si="50" ref="E512:J512">SUM(E513:E520)</f>
        <v>4600</v>
      </c>
      <c r="F512" s="2767">
        <f t="shared" si="50"/>
        <v>4800</v>
      </c>
      <c r="G512" s="2304">
        <f t="shared" si="50"/>
        <v>5730</v>
      </c>
      <c r="H512" s="2335">
        <f t="shared" si="50"/>
        <v>6030</v>
      </c>
      <c r="I512" s="3015">
        <f t="shared" si="50"/>
        <v>6250</v>
      </c>
      <c r="J512" s="2307">
        <f t="shared" si="50"/>
        <v>6250</v>
      </c>
      <c r="K512" s="619"/>
      <c r="M512" s="657"/>
      <c r="N512" s="572"/>
      <c r="O512" s="607"/>
    </row>
    <row r="513" spans="1:15" ht="12.75">
      <c r="A513" s="1992">
        <v>637</v>
      </c>
      <c r="B513" s="612" t="s">
        <v>98</v>
      </c>
      <c r="C513" s="1732" t="s">
        <v>491</v>
      </c>
      <c r="D513" s="2044"/>
      <c r="E513" s="2009"/>
      <c r="F513" s="2765"/>
      <c r="G513" s="2009"/>
      <c r="H513" s="2333"/>
      <c r="I513" s="2970"/>
      <c r="J513" s="2010"/>
      <c r="K513" s="619"/>
      <c r="M513" s="657"/>
      <c r="N513" s="572"/>
      <c r="O513" s="607"/>
    </row>
    <row r="514" spans="1:15" ht="12.75">
      <c r="A514" s="1993">
        <v>637</v>
      </c>
      <c r="B514" s="1193" t="s">
        <v>113</v>
      </c>
      <c r="C514" s="1732" t="s">
        <v>495</v>
      </c>
      <c r="D514" s="2044"/>
      <c r="E514" s="2009"/>
      <c r="F514" s="2765">
        <v>1620</v>
      </c>
      <c r="G514" s="2009">
        <v>1752</v>
      </c>
      <c r="H514" s="2333">
        <v>2000</v>
      </c>
      <c r="I514" s="2970">
        <v>2200</v>
      </c>
      <c r="J514" s="2010">
        <v>2200</v>
      </c>
      <c r="K514" s="619"/>
      <c r="M514" s="657"/>
      <c r="N514" s="572"/>
      <c r="O514" s="607"/>
    </row>
    <row r="515" spans="1:15" ht="12.75">
      <c r="A515" s="782">
        <v>637</v>
      </c>
      <c r="B515" s="42" t="s">
        <v>122</v>
      </c>
      <c r="C515" s="1732" t="s">
        <v>333</v>
      </c>
      <c r="D515" s="2044"/>
      <c r="E515" s="2009">
        <v>1640</v>
      </c>
      <c r="F515" s="2765">
        <v>0</v>
      </c>
      <c r="G515" s="2009"/>
      <c r="H515" s="2333"/>
      <c r="I515" s="2970"/>
      <c r="J515" s="2010"/>
      <c r="K515" s="619"/>
      <c r="M515" s="657"/>
      <c r="N515" s="572"/>
      <c r="O515" s="607"/>
    </row>
    <row r="516" spans="1:15" ht="12.75">
      <c r="A516" s="782">
        <v>637</v>
      </c>
      <c r="B516" s="42" t="s">
        <v>104</v>
      </c>
      <c r="C516" s="1732" t="s">
        <v>496</v>
      </c>
      <c r="D516" s="2044"/>
      <c r="E516" s="1723"/>
      <c r="F516" s="2764"/>
      <c r="G516" s="1723"/>
      <c r="H516" s="2332"/>
      <c r="I516" s="2970"/>
      <c r="J516" s="2002"/>
      <c r="K516" s="619"/>
      <c r="M516" s="657"/>
      <c r="N516" s="572"/>
      <c r="O516" s="607"/>
    </row>
    <row r="517" spans="1:15" ht="12.75">
      <c r="A517" s="1992">
        <v>637</v>
      </c>
      <c r="B517" s="612" t="s">
        <v>107</v>
      </c>
      <c r="C517" s="1732" t="s">
        <v>497</v>
      </c>
      <c r="D517" s="2044"/>
      <c r="E517" s="2009">
        <v>2772</v>
      </c>
      <c r="F517" s="2765">
        <v>3000</v>
      </c>
      <c r="G517" s="2009">
        <v>3728</v>
      </c>
      <c r="H517" s="2333">
        <v>3750</v>
      </c>
      <c r="I517" s="2970">
        <v>3750</v>
      </c>
      <c r="J517" s="2010">
        <v>3750</v>
      </c>
      <c r="K517" s="619"/>
      <c r="M517" s="657"/>
      <c r="N517" s="572"/>
      <c r="O517" s="607"/>
    </row>
    <row r="518" spans="1:15" ht="12.75">
      <c r="A518" s="782">
        <v>637</v>
      </c>
      <c r="B518" s="42" t="s">
        <v>499</v>
      </c>
      <c r="C518" s="1290" t="s">
        <v>500</v>
      </c>
      <c r="D518" s="2044"/>
      <c r="E518" s="2009">
        <v>188</v>
      </c>
      <c r="F518" s="2765">
        <v>180</v>
      </c>
      <c r="G518" s="2009">
        <v>250</v>
      </c>
      <c r="H518" s="2333">
        <v>280</v>
      </c>
      <c r="I518" s="2970">
        <v>300</v>
      </c>
      <c r="J518" s="2010">
        <v>300</v>
      </c>
      <c r="K518" s="619"/>
      <c r="M518" s="657"/>
      <c r="N518" s="572"/>
      <c r="O518" s="607"/>
    </row>
    <row r="519" spans="1:15" ht="12.75">
      <c r="A519" s="783">
        <v>637</v>
      </c>
      <c r="B519" s="87" t="s">
        <v>475</v>
      </c>
      <c r="C519" s="2158" t="s">
        <v>501</v>
      </c>
      <c r="D519" s="2044"/>
      <c r="E519" s="1723"/>
      <c r="F519" s="2764"/>
      <c r="G519" s="1723"/>
      <c r="H519" s="2332"/>
      <c r="I519" s="2970"/>
      <c r="J519" s="2002"/>
      <c r="K519" s="619"/>
      <c r="M519" s="657"/>
      <c r="N519" s="572"/>
      <c r="O519" s="607"/>
    </row>
    <row r="520" spans="1:15" ht="12.75">
      <c r="A520" s="784">
        <v>637</v>
      </c>
      <c r="B520" s="778" t="s">
        <v>506</v>
      </c>
      <c r="C520" s="1732" t="s">
        <v>262</v>
      </c>
      <c r="D520" s="2044"/>
      <c r="E520" s="2319"/>
      <c r="F520" s="2768"/>
      <c r="G520" s="2319"/>
      <c r="H520" s="2336"/>
      <c r="I520" s="2967"/>
      <c r="J520" s="2002"/>
      <c r="K520" s="619"/>
      <c r="M520" s="657"/>
      <c r="N520" s="572"/>
      <c r="O520" s="607"/>
    </row>
    <row r="521" spans="1:15" ht="12.75">
      <c r="A521" s="3265">
        <v>640</v>
      </c>
      <c r="B521" s="3266"/>
      <c r="C521" s="2159" t="s">
        <v>508</v>
      </c>
      <c r="D521" s="2044"/>
      <c r="E521" s="2304">
        <f aca="true" t="shared" si="51" ref="E521:J521">E522+E523+E524+E526+E531+E532</f>
        <v>6582</v>
      </c>
      <c r="F521" s="2767">
        <f t="shared" si="51"/>
        <v>6716</v>
      </c>
      <c r="G521" s="2304">
        <f t="shared" si="51"/>
        <v>3904</v>
      </c>
      <c r="H521" s="2335">
        <f t="shared" si="51"/>
        <v>4780</v>
      </c>
      <c r="I521" s="3015">
        <f t="shared" si="51"/>
        <v>3713</v>
      </c>
      <c r="J521" s="2303">
        <f t="shared" si="51"/>
        <v>4913</v>
      </c>
      <c r="K521" s="619"/>
      <c r="M521" s="657"/>
      <c r="N521" s="572"/>
      <c r="O521" s="607"/>
    </row>
    <row r="522" spans="1:15" ht="12.75">
      <c r="A522" s="2001"/>
      <c r="B522" s="598"/>
      <c r="C522" s="1827" t="s">
        <v>747</v>
      </c>
      <c r="D522" s="2044"/>
      <c r="E522" s="2035">
        <v>2032</v>
      </c>
      <c r="F522" s="2769">
        <v>2002</v>
      </c>
      <c r="G522" s="2035">
        <v>2004</v>
      </c>
      <c r="H522" s="2337">
        <v>1200</v>
      </c>
      <c r="I522" s="2970">
        <v>1250</v>
      </c>
      <c r="J522" s="2036">
        <v>1250</v>
      </c>
      <c r="K522" s="619"/>
      <c r="M522" s="657"/>
      <c r="N522" s="572"/>
      <c r="O522" s="607"/>
    </row>
    <row r="523" spans="1:15" ht="12.75">
      <c r="A523" s="2001"/>
      <c r="B523" s="598"/>
      <c r="C523" s="1827" t="s">
        <v>753</v>
      </c>
      <c r="D523" s="2044"/>
      <c r="E523" s="2035">
        <v>400</v>
      </c>
      <c r="F523" s="2769">
        <v>249</v>
      </c>
      <c r="G523" s="2035">
        <v>83</v>
      </c>
      <c r="H523" s="2337">
        <v>100</v>
      </c>
      <c r="I523" s="2970">
        <v>133</v>
      </c>
      <c r="J523" s="2036">
        <v>133</v>
      </c>
      <c r="K523" s="619"/>
      <c r="M523" s="657"/>
      <c r="N523" s="572"/>
      <c r="O523" s="607"/>
    </row>
    <row r="524" spans="1:15" ht="12.75">
      <c r="A524" s="2001"/>
      <c r="B524" s="598"/>
      <c r="C524" s="1827" t="s">
        <v>748</v>
      </c>
      <c r="D524" s="2044"/>
      <c r="E524" s="2035">
        <v>800</v>
      </c>
      <c r="F524" s="2769">
        <v>2700</v>
      </c>
      <c r="G524" s="2035">
        <v>1100</v>
      </c>
      <c r="H524" s="2337">
        <v>2700</v>
      </c>
      <c r="I524" s="2970">
        <v>1500</v>
      </c>
      <c r="J524" s="2036">
        <v>2700</v>
      </c>
      <c r="K524" s="619"/>
      <c r="M524" s="657"/>
      <c r="N524" s="572"/>
      <c r="O524" s="607"/>
    </row>
    <row r="525" spans="1:15" ht="12.75">
      <c r="A525" s="2001"/>
      <c r="B525" s="598"/>
      <c r="C525" s="2040" t="s">
        <v>765</v>
      </c>
      <c r="D525" s="2044"/>
      <c r="E525" s="1723">
        <v>800</v>
      </c>
      <c r="F525" s="2764">
        <v>2700</v>
      </c>
      <c r="G525" s="1723"/>
      <c r="H525" s="2332"/>
      <c r="I525" s="2970"/>
      <c r="J525" s="2002"/>
      <c r="K525" s="619"/>
      <c r="M525" s="657"/>
      <c r="N525" s="572"/>
      <c r="O525" s="607"/>
    </row>
    <row r="526" spans="1:15" ht="12.75">
      <c r="A526" s="2087"/>
      <c r="B526" s="2088"/>
      <c r="C526" s="1827" t="s">
        <v>603</v>
      </c>
      <c r="D526" s="2044"/>
      <c r="E526" s="2320">
        <f>E527+E528+E529+E530</f>
        <v>1880</v>
      </c>
      <c r="F526" s="2770">
        <v>0</v>
      </c>
      <c r="G526" s="2320"/>
      <c r="H526" s="2338"/>
      <c r="I526" s="2967"/>
      <c r="J526" s="2041"/>
      <c r="K526" s="619"/>
      <c r="M526" s="657"/>
      <c r="N526" s="572"/>
      <c r="O526" s="607"/>
    </row>
    <row r="527" spans="1:15" ht="12.75">
      <c r="A527" s="2160"/>
      <c r="B527" s="2021"/>
      <c r="C527" s="1827" t="s">
        <v>767</v>
      </c>
      <c r="D527" s="2044"/>
      <c r="E527" s="2319">
        <v>297</v>
      </c>
      <c r="F527" s="2768">
        <v>0</v>
      </c>
      <c r="G527" s="2319"/>
      <c r="H527" s="2339"/>
      <c r="I527" s="2967"/>
      <c r="J527" s="1939"/>
      <c r="K527" s="619"/>
      <c r="M527" s="657"/>
      <c r="N527" s="572"/>
      <c r="O527" s="607"/>
    </row>
    <row r="528" spans="1:15" ht="12.75">
      <c r="A528" s="2026"/>
      <c r="B528" s="1955"/>
      <c r="C528" s="1827" t="s">
        <v>761</v>
      </c>
      <c r="D528" s="2044"/>
      <c r="E528" s="2319">
        <v>105</v>
      </c>
      <c r="F528" s="2768">
        <v>0</v>
      </c>
      <c r="G528" s="2319"/>
      <c r="H528" s="2339"/>
      <c r="I528" s="2967"/>
      <c r="J528" s="1939"/>
      <c r="K528" s="619"/>
      <c r="M528" s="657"/>
      <c r="N528" s="572"/>
      <c r="O528" s="607"/>
    </row>
    <row r="529" spans="1:15" ht="12.75">
      <c r="A529" s="2160"/>
      <c r="B529" s="2021"/>
      <c r="C529" s="1827" t="s">
        <v>768</v>
      </c>
      <c r="D529" s="2044"/>
      <c r="E529" s="2319">
        <v>283</v>
      </c>
      <c r="F529" s="2768">
        <v>0</v>
      </c>
      <c r="G529" s="2319"/>
      <c r="H529" s="2339"/>
      <c r="I529" s="2967"/>
      <c r="J529" s="1939"/>
      <c r="K529" s="619"/>
      <c r="M529" s="657"/>
      <c r="N529" s="572"/>
      <c r="O529" s="607"/>
    </row>
    <row r="530" spans="1:15" ht="12.75">
      <c r="A530" s="2026"/>
      <c r="B530" s="1955"/>
      <c r="C530" s="1827" t="s">
        <v>758</v>
      </c>
      <c r="D530" s="2044"/>
      <c r="E530" s="2319">
        <v>1195</v>
      </c>
      <c r="F530" s="2768">
        <v>0</v>
      </c>
      <c r="G530" s="2319"/>
      <c r="H530" s="2339"/>
      <c r="I530" s="2967"/>
      <c r="J530" s="1939"/>
      <c r="K530" s="619"/>
      <c r="M530" s="657"/>
      <c r="N530" s="572"/>
      <c r="O530" s="607"/>
    </row>
    <row r="531" spans="1:15" ht="12.75">
      <c r="A531" s="3263"/>
      <c r="B531" s="3264"/>
      <c r="C531" s="1827" t="s">
        <v>674</v>
      </c>
      <c r="D531" s="1939"/>
      <c r="E531" s="2320">
        <v>70</v>
      </c>
      <c r="F531" s="2770">
        <v>60</v>
      </c>
      <c r="G531" s="2320">
        <v>267</v>
      </c>
      <c r="H531" s="2338">
        <v>280</v>
      </c>
      <c r="I531" s="2967">
        <v>280</v>
      </c>
      <c r="J531" s="2041">
        <v>280</v>
      </c>
      <c r="K531" s="619"/>
      <c r="M531" s="657"/>
      <c r="N531" s="572"/>
      <c r="O531" s="607"/>
    </row>
    <row r="532" spans="1:15" ht="12.75">
      <c r="A532" s="3263"/>
      <c r="B532" s="3264"/>
      <c r="C532" s="1827" t="s">
        <v>749</v>
      </c>
      <c r="D532" s="1939"/>
      <c r="E532" s="2320">
        <v>1400</v>
      </c>
      <c r="F532" s="2770">
        <v>1705</v>
      </c>
      <c r="G532" s="2320">
        <v>450</v>
      </c>
      <c r="H532" s="2338">
        <v>500</v>
      </c>
      <c r="I532" s="2967">
        <v>550</v>
      </c>
      <c r="J532" s="2041">
        <v>550</v>
      </c>
      <c r="K532" s="619"/>
      <c r="M532" s="657"/>
      <c r="N532" s="572"/>
      <c r="O532" s="607"/>
    </row>
    <row r="533" spans="1:15" ht="12.75">
      <c r="A533" s="3263"/>
      <c r="B533" s="3264"/>
      <c r="C533" s="1827" t="s">
        <v>766</v>
      </c>
      <c r="D533" s="1939"/>
      <c r="E533" s="2319">
        <v>1400</v>
      </c>
      <c r="F533" s="2768">
        <v>1705</v>
      </c>
      <c r="G533" s="2319"/>
      <c r="H533" s="2339"/>
      <c r="I533" s="2967"/>
      <c r="J533" s="1939"/>
      <c r="K533" s="619"/>
      <c r="M533" s="657"/>
      <c r="N533" s="572"/>
      <c r="O533" s="607"/>
    </row>
    <row r="534" spans="1:15" ht="12.75" customHeight="1" hidden="1">
      <c r="A534" s="2160"/>
      <c r="B534" s="2021"/>
      <c r="C534" s="2037"/>
      <c r="D534" s="2038"/>
      <c r="E534" s="2042"/>
      <c r="F534" s="2771"/>
      <c r="G534" s="2042"/>
      <c r="H534" s="2340"/>
      <c r="I534" s="2947"/>
      <c r="J534" s="2039"/>
      <c r="K534" s="619"/>
      <c r="M534" s="657"/>
      <c r="N534" s="572"/>
      <c r="O534" s="607"/>
    </row>
    <row r="535" spans="1:15" ht="12.75" customHeight="1" hidden="1">
      <c r="A535" s="2161"/>
      <c r="B535" s="607"/>
      <c r="C535" s="607"/>
      <c r="D535" s="619"/>
      <c r="E535" s="2321"/>
      <c r="F535" s="2772"/>
      <c r="G535" s="2321"/>
      <c r="H535" s="2341"/>
      <c r="I535" s="2947"/>
      <c r="J535" s="684"/>
      <c r="K535" s="619"/>
      <c r="M535" s="657"/>
      <c r="N535" s="572"/>
      <c r="O535" s="607"/>
    </row>
    <row r="536" spans="1:15" ht="12.75" customHeight="1" hidden="1">
      <c r="A536" s="2161"/>
      <c r="B536" s="607"/>
      <c r="E536" s="16"/>
      <c r="F536" s="2773"/>
      <c r="G536" s="16"/>
      <c r="H536" s="2342"/>
      <c r="J536" s="16"/>
      <c r="K536" s="619"/>
      <c r="M536" s="657"/>
      <c r="N536" s="572"/>
      <c r="O536" s="607"/>
    </row>
    <row r="537" spans="1:15" s="646" customFormat="1" ht="12.75">
      <c r="A537" s="2162" t="s">
        <v>604</v>
      </c>
      <c r="B537" s="973"/>
      <c r="C537" s="973" t="s">
        <v>406</v>
      </c>
      <c r="D537" s="1724">
        <f>SUM(D538:D541)-D539</f>
        <v>73183.7</v>
      </c>
      <c r="E537" s="2322">
        <f>SUM(E538,E540,E539,E541)</f>
        <v>78781</v>
      </c>
      <c r="F537" s="2816">
        <f>SUM(F538,F540,F541)+F539</f>
        <v>82700</v>
      </c>
      <c r="G537" s="2322">
        <f>SUM(G538,G540,G539,G541)</f>
        <v>118114</v>
      </c>
      <c r="H537" s="2343">
        <f>SUM(H538,H540,H541)+H539</f>
        <v>158075</v>
      </c>
      <c r="I537" s="2993">
        <f>SUM(I538,I540,I541)+I539</f>
        <v>165525</v>
      </c>
      <c r="J537" s="1725">
        <f>SUM(J538,J540,J541)+J539</f>
        <v>165525</v>
      </c>
      <c r="K537" s="652"/>
      <c r="L537" s="631"/>
      <c r="M537" s="576"/>
      <c r="N537" s="576"/>
      <c r="O537" s="576"/>
    </row>
    <row r="538" spans="1:15" ht="12.75">
      <c r="A538" s="1255">
        <v>610</v>
      </c>
      <c r="B538" s="697"/>
      <c r="C538" s="1252" t="s">
        <v>456</v>
      </c>
      <c r="D538" s="1947">
        <v>26831.08</v>
      </c>
      <c r="E538" s="2267">
        <v>30200</v>
      </c>
      <c r="F538" s="2700">
        <v>33000</v>
      </c>
      <c r="G538" s="2267">
        <v>41200</v>
      </c>
      <c r="H538" s="1656">
        <v>52000</v>
      </c>
      <c r="I538" s="2940">
        <v>53500</v>
      </c>
      <c r="J538" s="1545">
        <v>53500</v>
      </c>
      <c r="K538" s="76"/>
      <c r="M538" s="76"/>
      <c r="N538" s="67"/>
      <c r="O538" s="76"/>
    </row>
    <row r="539" spans="1:15" ht="12.75">
      <c r="A539" s="1255"/>
      <c r="B539" s="697"/>
      <c r="C539" s="1252"/>
      <c r="D539" s="1935">
        <v>0</v>
      </c>
      <c r="E539" s="2237">
        <v>0</v>
      </c>
      <c r="F539" s="2700">
        <v>0</v>
      </c>
      <c r="G539" s="2237">
        <v>0</v>
      </c>
      <c r="H539" s="1656">
        <v>0</v>
      </c>
      <c r="I539" s="2940">
        <v>0</v>
      </c>
      <c r="J539" s="1545">
        <v>0</v>
      </c>
      <c r="K539" s="76"/>
      <c r="M539" s="76"/>
      <c r="N539" s="67"/>
      <c r="O539" s="76"/>
    </row>
    <row r="540" spans="1:15" ht="12.75">
      <c r="A540" s="1255">
        <v>620</v>
      </c>
      <c r="B540" s="693"/>
      <c r="C540" s="1253" t="s">
        <v>198</v>
      </c>
      <c r="D540" s="1639">
        <v>9425.95</v>
      </c>
      <c r="E540" s="2237">
        <v>11170</v>
      </c>
      <c r="F540" s="2700">
        <v>12000</v>
      </c>
      <c r="G540" s="2237">
        <v>14875</v>
      </c>
      <c r="H540" s="1656">
        <v>18890</v>
      </c>
      <c r="I540" s="2940">
        <v>24640</v>
      </c>
      <c r="J540" s="1545">
        <v>24640</v>
      </c>
      <c r="K540" s="76"/>
      <c r="M540" s="76"/>
      <c r="N540" s="67"/>
      <c r="O540" s="76"/>
    </row>
    <row r="541" spans="1:15" ht="12.75">
      <c r="A541" s="1927">
        <v>630</v>
      </c>
      <c r="B541" s="694"/>
      <c r="C541" s="1254" t="s">
        <v>369</v>
      </c>
      <c r="D541" s="1639">
        <f>SUM(D542,D543,D545,D549,D546,D547,D544)+D550+D548</f>
        <v>36926.67</v>
      </c>
      <c r="E541" s="2237">
        <f>SUM(E542,E543,E545,E549,E546,E547)+E550+E544</f>
        <v>37411</v>
      </c>
      <c r="F541" s="2700">
        <f>SUM(F542,F543,F545,F549,F546,F547)+F550+F544</f>
        <v>37700</v>
      </c>
      <c r="G541" s="2237">
        <f>SUM(G542,G543,G545,G549,G546,G547)+G550+G544+G548</f>
        <v>62039</v>
      </c>
      <c r="H541" s="1656">
        <f>SUM(H542,H543,H545,H549,H546,H547)+H550+H544</f>
        <v>87185</v>
      </c>
      <c r="I541" s="2940">
        <f>SUM(I542,I543,I545,I549,I546,I547)+I550+I544+I548</f>
        <v>87385</v>
      </c>
      <c r="J541" s="1545">
        <f>SUM(J542,J543,J545,J549,J546,J547)+J550+J544+J548</f>
        <v>87385</v>
      </c>
      <c r="K541" s="76"/>
      <c r="M541" s="67"/>
      <c r="N541" s="67"/>
      <c r="O541" s="76"/>
    </row>
    <row r="542" spans="1:15" ht="12.75">
      <c r="A542" s="783">
        <v>632</v>
      </c>
      <c r="B542" s="87"/>
      <c r="C542" s="1248" t="s">
        <v>605</v>
      </c>
      <c r="D542" s="1697">
        <v>7014.27</v>
      </c>
      <c r="E542" s="2268">
        <v>6800</v>
      </c>
      <c r="F542" s="2702">
        <v>7000</v>
      </c>
      <c r="G542" s="2268">
        <v>5955</v>
      </c>
      <c r="H542" s="1674">
        <v>7985</v>
      </c>
      <c r="I542" s="2940">
        <v>8185</v>
      </c>
      <c r="J542" s="1524">
        <v>8185</v>
      </c>
      <c r="K542" s="627"/>
      <c r="M542" s="627"/>
      <c r="N542" s="618"/>
      <c r="O542" s="627"/>
    </row>
    <row r="543" spans="1:15" ht="12.75">
      <c r="A543" s="782">
        <v>633</v>
      </c>
      <c r="B543" s="42"/>
      <c r="C543" s="1249" t="s">
        <v>363</v>
      </c>
      <c r="D543" s="1697">
        <v>2187.05</v>
      </c>
      <c r="E543" s="2268">
        <v>1451</v>
      </c>
      <c r="F543" s="2702">
        <v>1500</v>
      </c>
      <c r="G543" s="2268">
        <v>4214</v>
      </c>
      <c r="H543" s="1674">
        <v>2000</v>
      </c>
      <c r="I543" s="2940">
        <v>2000</v>
      </c>
      <c r="J543" s="1524">
        <v>2000</v>
      </c>
      <c r="K543" s="627"/>
      <c r="M543" s="653"/>
      <c r="N543" s="618"/>
      <c r="O543" s="627"/>
    </row>
    <row r="544" spans="1:15" ht="12.75">
      <c r="A544" s="1992">
        <v>633</v>
      </c>
      <c r="B544" s="612" t="s">
        <v>100</v>
      </c>
      <c r="C544" s="1250" t="s">
        <v>464</v>
      </c>
      <c r="D544" s="1697">
        <v>0</v>
      </c>
      <c r="E544" s="2268">
        <v>0</v>
      </c>
      <c r="F544" s="2702">
        <v>0</v>
      </c>
      <c r="G544" s="2268">
        <v>0</v>
      </c>
      <c r="H544" s="1674">
        <v>0</v>
      </c>
      <c r="I544" s="2940">
        <v>0</v>
      </c>
      <c r="J544" s="1524">
        <v>0</v>
      </c>
      <c r="K544" s="627"/>
      <c r="M544" s="653"/>
      <c r="N544" s="618"/>
      <c r="O544" s="627"/>
    </row>
    <row r="545" spans="1:15" ht="12.75">
      <c r="A545" s="1992">
        <v>633</v>
      </c>
      <c r="B545" s="612" t="s">
        <v>472</v>
      </c>
      <c r="C545" s="1250" t="s">
        <v>393</v>
      </c>
      <c r="D545" s="1697">
        <v>25217.11</v>
      </c>
      <c r="E545" s="2268">
        <v>27000</v>
      </c>
      <c r="F545" s="2702">
        <v>27000</v>
      </c>
      <c r="G545" s="2268">
        <v>47587</v>
      </c>
      <c r="H545" s="1674">
        <v>75000</v>
      </c>
      <c r="I545" s="2940">
        <v>75000</v>
      </c>
      <c r="J545" s="1524">
        <v>75000</v>
      </c>
      <c r="K545" s="627"/>
      <c r="M545" s="627"/>
      <c r="N545" s="618"/>
      <c r="O545" s="76"/>
    </row>
    <row r="546" spans="1:15" ht="12.75">
      <c r="A546" s="782">
        <v>633</v>
      </c>
      <c r="B546" s="42" t="s">
        <v>113</v>
      </c>
      <c r="C546" s="1251" t="s">
        <v>606</v>
      </c>
      <c r="D546" s="1697">
        <v>810.6</v>
      </c>
      <c r="E546" s="2268">
        <v>280</v>
      </c>
      <c r="F546" s="2702">
        <v>1000</v>
      </c>
      <c r="G546" s="2268">
        <v>2051</v>
      </c>
      <c r="H546" s="1674">
        <v>1000</v>
      </c>
      <c r="I546" s="2940">
        <v>500</v>
      </c>
      <c r="J546" s="1524">
        <v>500</v>
      </c>
      <c r="K546" s="627"/>
      <c r="M546" s="627"/>
      <c r="N546" s="618"/>
      <c r="O546" s="76"/>
    </row>
    <row r="547" spans="1:15" ht="12.75">
      <c r="A547" s="782">
        <v>635</v>
      </c>
      <c r="B547" s="42"/>
      <c r="C547" s="1251" t="s">
        <v>607</v>
      </c>
      <c r="D547" s="1697">
        <v>57.79</v>
      </c>
      <c r="E547" s="2268">
        <v>1100</v>
      </c>
      <c r="F547" s="2702">
        <v>500</v>
      </c>
      <c r="G547" s="2268"/>
      <c r="H547" s="1674">
        <v>500</v>
      </c>
      <c r="I547" s="2940">
        <v>500</v>
      </c>
      <c r="J547" s="1524">
        <v>500</v>
      </c>
      <c r="K547" s="627"/>
      <c r="M547" s="627"/>
      <c r="N547" s="618"/>
      <c r="O547" s="76"/>
    </row>
    <row r="548" spans="1:15" ht="12.75">
      <c r="A548" s="782">
        <v>636</v>
      </c>
      <c r="B548" s="42"/>
      <c r="C548" s="1251" t="s">
        <v>799</v>
      </c>
      <c r="D548" s="1697">
        <v>600</v>
      </c>
      <c r="E548" s="2268"/>
      <c r="F548" s="2755"/>
      <c r="G548" s="2268">
        <v>1400</v>
      </c>
      <c r="H548" s="2324">
        <v>1000</v>
      </c>
      <c r="I548" s="2965">
        <v>1000</v>
      </c>
      <c r="J548" s="1726">
        <v>1000</v>
      </c>
      <c r="K548" s="627"/>
      <c r="M548" s="627"/>
      <c r="N548" s="618"/>
      <c r="O548" s="76"/>
    </row>
    <row r="549" spans="1:16" ht="12.75">
      <c r="A549" s="1995">
        <v>637</v>
      </c>
      <c r="B549" s="35"/>
      <c r="C549" s="1241" t="s">
        <v>212</v>
      </c>
      <c r="D549" s="1697">
        <v>938.24</v>
      </c>
      <c r="E549" s="2268">
        <v>780</v>
      </c>
      <c r="F549" s="2755">
        <v>700</v>
      </c>
      <c r="G549" s="2268">
        <v>585</v>
      </c>
      <c r="H549" s="2324">
        <v>700</v>
      </c>
      <c r="I549" s="2965">
        <v>200</v>
      </c>
      <c r="J549" s="1726">
        <v>200</v>
      </c>
      <c r="K549" s="627"/>
      <c r="M549" s="653"/>
      <c r="N549" s="618"/>
      <c r="O549" s="76"/>
      <c r="P549" s="637"/>
    </row>
    <row r="550" spans="1:16" ht="12.75">
      <c r="A550" s="1988">
        <v>642</v>
      </c>
      <c r="B550" s="66"/>
      <c r="C550" s="1241" t="s">
        <v>695</v>
      </c>
      <c r="D550" s="1697">
        <v>101.61</v>
      </c>
      <c r="E550" s="2268">
        <v>0</v>
      </c>
      <c r="F550" s="2774">
        <v>0</v>
      </c>
      <c r="G550" s="2268">
        <v>247</v>
      </c>
      <c r="H550" s="2344">
        <v>0</v>
      </c>
      <c r="I550" s="2944">
        <v>0</v>
      </c>
      <c r="J550" s="1727">
        <v>0</v>
      </c>
      <c r="K550" s="627"/>
      <c r="M550" s="653"/>
      <c r="N550" s="618"/>
      <c r="O550" s="76"/>
      <c r="P550" s="637"/>
    </row>
    <row r="551" spans="1:16" ht="12.75">
      <c r="A551" s="2162" t="s">
        <v>831</v>
      </c>
      <c r="B551" s="973"/>
      <c r="C551" s="973" t="s">
        <v>779</v>
      </c>
      <c r="D551" s="2433">
        <f aca="true" t="shared" si="52" ref="D551:J551">D552</f>
        <v>637.39</v>
      </c>
      <c r="E551" s="2433">
        <f t="shared" si="52"/>
        <v>300</v>
      </c>
      <c r="F551" s="2432">
        <f t="shared" si="52"/>
        <v>300</v>
      </c>
      <c r="G551" s="2433">
        <f t="shared" si="52"/>
        <v>25846</v>
      </c>
      <c r="H551" s="2432">
        <f t="shared" si="52"/>
        <v>26040</v>
      </c>
      <c r="I551" s="3002">
        <f t="shared" si="52"/>
        <v>25300</v>
      </c>
      <c r="J551" s="2433">
        <f t="shared" si="52"/>
        <v>25300</v>
      </c>
      <c r="K551" s="627"/>
      <c r="M551" s="653"/>
      <c r="N551" s="618"/>
      <c r="O551" s="76"/>
      <c r="P551" s="637"/>
    </row>
    <row r="552" spans="1:16" ht="12.75">
      <c r="A552" s="3235">
        <v>640</v>
      </c>
      <c r="B552" s="3236"/>
      <c r="C552" s="2430" t="s">
        <v>508</v>
      </c>
      <c r="D552" s="1940">
        <v>637.39</v>
      </c>
      <c r="E552" s="1940">
        <v>300</v>
      </c>
      <c r="F552" s="2692">
        <v>300</v>
      </c>
      <c r="G552" s="1941">
        <v>25846</v>
      </c>
      <c r="H552" s="2431">
        <v>26040</v>
      </c>
      <c r="I552" s="2972">
        <v>25300</v>
      </c>
      <c r="J552" s="1743">
        <v>25300</v>
      </c>
      <c r="K552" s="627"/>
      <c r="M552" s="653"/>
      <c r="N552" s="618"/>
      <c r="O552" s="76"/>
      <c r="P552" s="637"/>
    </row>
    <row r="553" spans="1:15" ht="13.5" thickBot="1">
      <c r="A553" s="795" t="s">
        <v>608</v>
      </c>
      <c r="B553" s="796"/>
      <c r="C553" s="797" t="s">
        <v>452</v>
      </c>
      <c r="D553" s="2163">
        <f aca="true" t="shared" si="53" ref="D553:J553">SUM(D370,D421,D537)+D551</f>
        <v>993419.09</v>
      </c>
      <c r="E553" s="1686">
        <f t="shared" si="53"/>
        <v>1020564</v>
      </c>
      <c r="F553" s="2824">
        <f t="shared" si="53"/>
        <v>1111360</v>
      </c>
      <c r="G553" s="1686">
        <f t="shared" si="53"/>
        <v>1232964</v>
      </c>
      <c r="H553" s="2345">
        <f t="shared" si="53"/>
        <v>1356888</v>
      </c>
      <c r="I553" s="2995">
        <f t="shared" si="53"/>
        <v>1401761</v>
      </c>
      <c r="J553" s="1728">
        <f t="shared" si="53"/>
        <v>1413586</v>
      </c>
      <c r="K553" s="93"/>
      <c r="L553" s="67"/>
      <c r="M553" s="576"/>
      <c r="N553" s="576"/>
      <c r="O553" s="576"/>
    </row>
    <row r="554" spans="1:10" ht="12.75" customHeight="1" hidden="1">
      <c r="A554" s="67"/>
      <c r="B554" s="67"/>
      <c r="C554" s="67"/>
      <c r="D554" s="67"/>
      <c r="E554" s="46"/>
      <c r="F554" s="2698"/>
      <c r="G554" s="46"/>
      <c r="H554" s="638"/>
      <c r="I554" s="2947"/>
      <c r="J554" s="46"/>
    </row>
    <row r="555" spans="1:10" ht="12.75">
      <c r="A555" s="67"/>
      <c r="B555" s="67"/>
      <c r="C555" s="67"/>
      <c r="D555" s="67"/>
      <c r="E555" s="46"/>
      <c r="F555" s="2698"/>
      <c r="G555" s="46"/>
      <c r="H555" s="638"/>
      <c r="I555" s="2947"/>
      <c r="J555" s="46"/>
    </row>
    <row r="556" spans="1:10" ht="12.75" customHeight="1" hidden="1">
      <c r="A556" s="67"/>
      <c r="B556" s="67"/>
      <c r="C556" s="67"/>
      <c r="D556" s="67"/>
      <c r="E556" s="46"/>
      <c r="F556" s="2698"/>
      <c r="G556" s="46"/>
      <c r="H556" s="638"/>
      <c r="I556" s="2947"/>
      <c r="J556" s="46"/>
    </row>
    <row r="557" spans="1:10" ht="12.75" customHeight="1" hidden="1">
      <c r="A557" s="67"/>
      <c r="B557" s="67"/>
      <c r="C557" s="67"/>
      <c r="D557" s="67"/>
      <c r="E557" s="46"/>
      <c r="F557" s="2698"/>
      <c r="G557" s="46"/>
      <c r="H557" s="638"/>
      <c r="I557" s="2947"/>
      <c r="J557" s="46"/>
    </row>
    <row r="558" spans="1:10" ht="12.75" customHeight="1" hidden="1">
      <c r="A558" s="67"/>
      <c r="B558" s="67"/>
      <c r="C558" s="67"/>
      <c r="D558" s="67"/>
      <c r="E558" s="46"/>
      <c r="F558" s="2698"/>
      <c r="G558" s="46"/>
      <c r="H558" s="638"/>
      <c r="I558" s="2947"/>
      <c r="J558" s="46"/>
    </row>
    <row r="559" spans="1:15" ht="13.5" thickBot="1">
      <c r="A559" s="67"/>
      <c r="B559" s="67"/>
      <c r="C559" s="67"/>
      <c r="D559" s="67"/>
      <c r="E559" s="46"/>
      <c r="F559" s="2073"/>
      <c r="G559" s="46"/>
      <c r="H559" s="3238" t="s">
        <v>609</v>
      </c>
      <c r="I559" s="3238"/>
      <c r="J559" s="3238" t="s">
        <v>609</v>
      </c>
      <c r="K559" s="140"/>
      <c r="L559" s="140"/>
      <c r="M559" s="140"/>
      <c r="N559" s="140"/>
      <c r="O559" s="140"/>
    </row>
    <row r="560" spans="1:10" ht="13.5" customHeight="1" hidden="1" thickBot="1">
      <c r="A560" s="67"/>
      <c r="B560" s="67"/>
      <c r="C560" s="67"/>
      <c r="D560" s="67"/>
      <c r="E560" s="46"/>
      <c r="F560" s="2698"/>
      <c r="G560" s="46"/>
      <c r="H560" s="638"/>
      <c r="I560" s="2947"/>
      <c r="J560" s="46"/>
    </row>
    <row r="561" spans="1:15" s="642" customFormat="1" ht="18.75" customHeight="1">
      <c r="A561" s="567" t="s">
        <v>447</v>
      </c>
      <c r="B561" s="568"/>
      <c r="C561" s="569"/>
      <c r="D561" s="569">
        <v>2017</v>
      </c>
      <c r="E561" s="2636">
        <v>2018</v>
      </c>
      <c r="F561" s="2801">
        <v>2019</v>
      </c>
      <c r="G561" s="2636" t="s">
        <v>881</v>
      </c>
      <c r="H561" s="2637">
        <v>2020</v>
      </c>
      <c r="I561" s="3041" t="s">
        <v>882</v>
      </c>
      <c r="J561" s="3042">
        <v>2022</v>
      </c>
      <c r="K561" s="639"/>
      <c r="L561" s="640"/>
      <c r="M561" s="641"/>
      <c r="N561" s="570"/>
      <c r="O561" s="571"/>
    </row>
    <row r="562" spans="1:15" s="157" customFormat="1" ht="11.25">
      <c r="A562" s="779" t="s">
        <v>610</v>
      </c>
      <c r="B562" s="674"/>
      <c r="C562" s="674"/>
      <c r="D562" s="1694">
        <f>D563+D564+D566+D568+D567</f>
        <v>13732.85</v>
      </c>
      <c r="E562" s="2424">
        <f>E563+E564+E566+E567+E568</f>
        <v>17050</v>
      </c>
      <c r="F562" s="2808">
        <f>F563+F564+F566+F567+F568+F565</f>
        <v>16900</v>
      </c>
      <c r="G562" s="2424">
        <f>G563+G564+G566+G567+G568</f>
        <v>15000</v>
      </c>
      <c r="H562" s="1981">
        <f>H563+H564+H566+H567+H568+H565</f>
        <v>17100</v>
      </c>
      <c r="I562" s="2997">
        <f>I563+I564+I566+I567+I568+I565</f>
        <v>17800</v>
      </c>
      <c r="J562" s="2348">
        <f>J563+J564+J566+J567+J568+J565</f>
        <v>17800</v>
      </c>
      <c r="K562" s="652"/>
      <c r="L562" s="127"/>
      <c r="M562" s="576"/>
      <c r="N562" s="576"/>
      <c r="O562" s="576"/>
    </row>
    <row r="563" spans="1:15" ht="12.75">
      <c r="A563" s="790" t="s">
        <v>611</v>
      </c>
      <c r="B563" s="35"/>
      <c r="C563" s="1241" t="s">
        <v>418</v>
      </c>
      <c r="D563" s="2421">
        <v>2047.25</v>
      </c>
      <c r="E563" s="2417">
        <v>2300</v>
      </c>
      <c r="F563" s="2775">
        <v>2300</v>
      </c>
      <c r="G563" s="2417">
        <v>1300</v>
      </c>
      <c r="H563" s="2370">
        <v>2500</v>
      </c>
      <c r="I563" s="2940">
        <v>2500</v>
      </c>
      <c r="J563" s="2349">
        <v>2500</v>
      </c>
      <c r="K563" s="92"/>
      <c r="L563" s="20"/>
      <c r="M563" s="76"/>
      <c r="N563" s="67"/>
      <c r="O563" s="67"/>
    </row>
    <row r="564" spans="1:15" ht="12.75">
      <c r="A564" s="790" t="s">
        <v>611</v>
      </c>
      <c r="B564" s="35"/>
      <c r="C564" s="1241" t="s">
        <v>419</v>
      </c>
      <c r="D564" s="2421">
        <v>7920</v>
      </c>
      <c r="E564" s="2418">
        <v>12000</v>
      </c>
      <c r="F564" s="2775">
        <v>12000</v>
      </c>
      <c r="G564" s="2418">
        <v>12000</v>
      </c>
      <c r="H564" s="2371">
        <v>12000</v>
      </c>
      <c r="I564" s="2940">
        <v>12000</v>
      </c>
      <c r="J564" s="2349">
        <v>12000</v>
      </c>
      <c r="K564" s="2089"/>
      <c r="L564" s="708"/>
      <c r="M564" s="76"/>
      <c r="N564" s="67"/>
      <c r="O564" s="67"/>
    </row>
    <row r="565" spans="1:15" ht="12.75">
      <c r="A565" s="790" t="s">
        <v>611</v>
      </c>
      <c r="B565" s="35"/>
      <c r="C565" s="1241" t="s">
        <v>420</v>
      </c>
      <c r="D565" s="2421">
        <v>0</v>
      </c>
      <c r="E565" s="2418">
        <v>0</v>
      </c>
      <c r="F565" s="2775">
        <v>0</v>
      </c>
      <c r="G565" s="2418">
        <v>0</v>
      </c>
      <c r="H565" s="2371">
        <v>0</v>
      </c>
      <c r="I565" s="2940">
        <v>0</v>
      </c>
      <c r="J565" s="2349">
        <v>0</v>
      </c>
      <c r="K565" s="92"/>
      <c r="L565" s="708"/>
      <c r="M565" s="76"/>
      <c r="N565" s="67"/>
      <c r="O565" s="67"/>
    </row>
    <row r="566" spans="1:15" ht="12.75">
      <c r="A566" s="790" t="s">
        <v>422</v>
      </c>
      <c r="B566" s="35"/>
      <c r="C566" s="1241" t="s">
        <v>612</v>
      </c>
      <c r="D566" s="2421">
        <v>1752.67</v>
      </c>
      <c r="E566" s="2418">
        <v>600</v>
      </c>
      <c r="F566" s="2775">
        <v>600</v>
      </c>
      <c r="G566" s="2418">
        <v>0</v>
      </c>
      <c r="H566" s="2371">
        <v>600</v>
      </c>
      <c r="I566" s="2940">
        <v>600</v>
      </c>
      <c r="J566" s="2349">
        <v>600</v>
      </c>
      <c r="K566" s="92"/>
      <c r="L566" s="111"/>
      <c r="M566" s="92"/>
      <c r="N566" s="92"/>
      <c r="O566" s="92"/>
    </row>
    <row r="567" spans="1:15" ht="12.75">
      <c r="A567" s="790" t="s">
        <v>422</v>
      </c>
      <c r="B567" s="35"/>
      <c r="C567" s="1241" t="s">
        <v>613</v>
      </c>
      <c r="D567" s="1940">
        <v>1562.93</v>
      </c>
      <c r="E567" s="2419">
        <v>1150</v>
      </c>
      <c r="F567" s="2776">
        <v>1000</v>
      </c>
      <c r="G567" s="2419">
        <v>1700</v>
      </c>
      <c r="H567" s="2372">
        <v>1000</v>
      </c>
      <c r="I567" s="2939">
        <v>1700</v>
      </c>
      <c r="J567" s="2350">
        <v>1700</v>
      </c>
      <c r="K567" s="2673" t="s">
        <v>855</v>
      </c>
      <c r="L567" s="111"/>
      <c r="M567" s="92"/>
      <c r="N567" s="92"/>
      <c r="O567" s="67"/>
    </row>
    <row r="568" spans="1:16" s="33" customFormat="1" ht="12.75">
      <c r="A568" s="2351" t="s">
        <v>614</v>
      </c>
      <c r="B568" s="35"/>
      <c r="C568" s="1241" t="s">
        <v>615</v>
      </c>
      <c r="D568" s="2421">
        <v>450</v>
      </c>
      <c r="E568" s="2420">
        <v>1000</v>
      </c>
      <c r="F568" s="2775">
        <v>1000</v>
      </c>
      <c r="G568" s="2420"/>
      <c r="H568" s="2371">
        <v>1000</v>
      </c>
      <c r="I568" s="2940">
        <v>1000</v>
      </c>
      <c r="J568" s="2349">
        <v>1000</v>
      </c>
      <c r="K568" s="92"/>
      <c r="L568" s="111"/>
      <c r="M568" s="92"/>
      <c r="N568" s="92"/>
      <c r="O568" s="92"/>
      <c r="P568" s="16"/>
    </row>
    <row r="569" spans="1:15" ht="12.75">
      <c r="A569" s="2352" t="s">
        <v>429</v>
      </c>
      <c r="B569" s="937"/>
      <c r="C569" s="938" t="s">
        <v>675</v>
      </c>
      <c r="D569" s="2422">
        <f>SUM(D570:D572)</f>
        <v>13373.019999999999</v>
      </c>
      <c r="E569" s="2367">
        <f aca="true" t="shared" si="54" ref="E569:J569">SUM(E570,E572,E571)</f>
        <v>23600</v>
      </c>
      <c r="F569" s="2373">
        <f t="shared" si="54"/>
        <v>25100</v>
      </c>
      <c r="G569" s="2367">
        <f t="shared" si="54"/>
        <v>29783</v>
      </c>
      <c r="H569" s="2373">
        <f t="shared" si="54"/>
        <v>31500</v>
      </c>
      <c r="I569" s="3003">
        <f t="shared" si="54"/>
        <v>33500</v>
      </c>
      <c r="J569" s="2353">
        <f t="shared" si="54"/>
        <v>35500</v>
      </c>
      <c r="K569" s="709"/>
      <c r="L569" s="111"/>
      <c r="M569" s="92"/>
      <c r="N569" s="92"/>
      <c r="O569" s="92"/>
    </row>
    <row r="570" spans="1:15" ht="12.75">
      <c r="A570" s="3245" t="s">
        <v>598</v>
      </c>
      <c r="B570" s="3246"/>
      <c r="C570" s="1244" t="s">
        <v>456</v>
      </c>
      <c r="D570" s="1743">
        <v>1867.48</v>
      </c>
      <c r="E570" s="1889">
        <v>3100</v>
      </c>
      <c r="F570" s="2701">
        <v>8100</v>
      </c>
      <c r="G570" s="1889">
        <v>10125</v>
      </c>
      <c r="H570" s="2374">
        <v>5000</v>
      </c>
      <c r="I570" s="2939">
        <v>6000</v>
      </c>
      <c r="J570" s="2354">
        <v>7000</v>
      </c>
      <c r="K570" s="3005"/>
      <c r="L570" s="111"/>
      <c r="M570" s="92"/>
      <c r="N570" s="711"/>
      <c r="O570" s="627"/>
    </row>
    <row r="571" spans="1:15" ht="12.75">
      <c r="A571" s="3247"/>
      <c r="B571" s="3248"/>
      <c r="C571" s="1246" t="s">
        <v>456</v>
      </c>
      <c r="D571" s="2249">
        <v>11274.88</v>
      </c>
      <c r="E571" s="2130">
        <v>18600</v>
      </c>
      <c r="F571" s="2710">
        <v>15000</v>
      </c>
      <c r="G571" s="2130">
        <v>19168</v>
      </c>
      <c r="H571" s="2375">
        <v>26000</v>
      </c>
      <c r="I571" s="3004">
        <v>27000</v>
      </c>
      <c r="J571" s="2355">
        <v>28000</v>
      </c>
      <c r="K571" s="710"/>
      <c r="L571" s="111"/>
      <c r="M571" s="92"/>
      <c r="N571" s="711"/>
      <c r="O571" s="627"/>
    </row>
    <row r="572" spans="1:15" ht="12.75">
      <c r="A572" s="3245" t="s">
        <v>599</v>
      </c>
      <c r="B572" s="3246"/>
      <c r="C572" s="1244" t="s">
        <v>369</v>
      </c>
      <c r="D572" s="1743">
        <v>230.66</v>
      </c>
      <c r="E572" s="1891">
        <v>1900</v>
      </c>
      <c r="F572" s="2701">
        <v>2000</v>
      </c>
      <c r="G572" s="1891">
        <v>490</v>
      </c>
      <c r="H572" s="1757">
        <v>500</v>
      </c>
      <c r="I572" s="2940">
        <v>500</v>
      </c>
      <c r="J572" s="1758">
        <v>500</v>
      </c>
      <c r="K572" s="710"/>
      <c r="L572" s="111"/>
      <c r="M572" s="92"/>
      <c r="N572" s="711"/>
      <c r="O572" s="627"/>
    </row>
    <row r="573" spans="1:15" ht="12.75">
      <c r="A573" s="2356" t="s">
        <v>429</v>
      </c>
      <c r="B573" s="939"/>
      <c r="C573" s="940" t="s">
        <v>426</v>
      </c>
      <c r="D573" s="2422">
        <f aca="true" t="shared" si="55" ref="D573:J573">SUM(D574:D589)</f>
        <v>54842.23</v>
      </c>
      <c r="E573" s="2368">
        <f t="shared" si="55"/>
        <v>53956</v>
      </c>
      <c r="F573" s="2817">
        <f t="shared" si="55"/>
        <v>47550</v>
      </c>
      <c r="G573" s="2368">
        <f>SUM(G574:G589)</f>
        <v>45953</v>
      </c>
      <c r="H573" s="2376">
        <f t="shared" si="55"/>
        <v>50850</v>
      </c>
      <c r="I573" s="3003">
        <f t="shared" si="55"/>
        <v>52250</v>
      </c>
      <c r="J573" s="2357">
        <f t="shared" si="55"/>
        <v>53450</v>
      </c>
      <c r="K573" s="710"/>
      <c r="L573" s="111"/>
      <c r="M573" s="92"/>
      <c r="N573" s="711"/>
      <c r="O573" s="92"/>
    </row>
    <row r="574" spans="1:15" ht="12.75">
      <c r="A574" s="3249">
        <v>610</v>
      </c>
      <c r="B574" s="3250"/>
      <c r="C574" s="1244" t="s">
        <v>456</v>
      </c>
      <c r="D574" s="2421">
        <v>7514</v>
      </c>
      <c r="E574" s="2346">
        <v>4500</v>
      </c>
      <c r="F574" s="2775">
        <v>20000</v>
      </c>
      <c r="G574" s="2346">
        <v>10233</v>
      </c>
      <c r="H574" s="2370">
        <v>3600</v>
      </c>
      <c r="I574" s="2940">
        <v>3800</v>
      </c>
      <c r="J574" s="2349">
        <v>4000</v>
      </c>
      <c r="K574" s="3005"/>
      <c r="L574" s="111"/>
      <c r="M574" s="92"/>
      <c r="N574" s="92"/>
      <c r="O574" s="92"/>
    </row>
    <row r="575" spans="1:15" ht="12.75">
      <c r="A575" s="3253"/>
      <c r="B575" s="3254"/>
      <c r="C575" s="1245" t="s">
        <v>456</v>
      </c>
      <c r="D575" s="1935">
        <v>35050.99</v>
      </c>
      <c r="E575" s="2382">
        <v>34650</v>
      </c>
      <c r="F575" s="2777">
        <v>20000</v>
      </c>
      <c r="G575" s="2382">
        <v>29575</v>
      </c>
      <c r="H575" s="2377">
        <v>40000</v>
      </c>
      <c r="I575" s="2991">
        <v>41000</v>
      </c>
      <c r="J575" s="2358">
        <v>42000</v>
      </c>
      <c r="K575" s="709"/>
      <c r="L575" s="111"/>
      <c r="M575" s="92"/>
      <c r="N575" s="92"/>
      <c r="O575" s="92"/>
    </row>
    <row r="576" spans="1:15" ht="12.75">
      <c r="A576" s="3253"/>
      <c r="B576" s="3254"/>
      <c r="C576" s="1245" t="s">
        <v>676</v>
      </c>
      <c r="D576" s="1935">
        <v>4693.53</v>
      </c>
      <c r="E576" s="2382">
        <v>4925</v>
      </c>
      <c r="F576" s="2777">
        <v>0</v>
      </c>
      <c r="G576" s="2382"/>
      <c r="H576" s="2377">
        <v>0</v>
      </c>
      <c r="I576" s="2940">
        <v>0</v>
      </c>
      <c r="J576" s="2358">
        <v>0</v>
      </c>
      <c r="K576" s="709"/>
      <c r="L576" s="111"/>
      <c r="M576" s="92"/>
      <c r="N576" s="92"/>
      <c r="O576" s="92"/>
    </row>
    <row r="577" spans="1:15" ht="12.75">
      <c r="A577" s="3249">
        <v>631</v>
      </c>
      <c r="B577" s="3250"/>
      <c r="C577" s="1244" t="s">
        <v>677</v>
      </c>
      <c r="D577" s="2421">
        <v>81.08</v>
      </c>
      <c r="E577" s="2152">
        <v>300</v>
      </c>
      <c r="F577" s="2775">
        <v>100</v>
      </c>
      <c r="G577" s="2152">
        <v>10</v>
      </c>
      <c r="H577" s="2370">
        <v>400</v>
      </c>
      <c r="I577" s="2940">
        <v>400</v>
      </c>
      <c r="J577" s="2349">
        <v>400</v>
      </c>
      <c r="K577" s="709"/>
      <c r="L577" s="111"/>
      <c r="M577" s="92"/>
      <c r="N577" s="92"/>
      <c r="O577" s="92"/>
    </row>
    <row r="578" spans="1:15" ht="12.75">
      <c r="A578" s="3249">
        <v>632</v>
      </c>
      <c r="B578" s="3250"/>
      <c r="C578" s="1244" t="s">
        <v>678</v>
      </c>
      <c r="D578" s="2421">
        <v>3989.18</v>
      </c>
      <c r="E578" s="2152">
        <v>4580</v>
      </c>
      <c r="F578" s="2775">
        <v>5000</v>
      </c>
      <c r="G578" s="2152">
        <v>2930</v>
      </c>
      <c r="H578" s="2370">
        <v>4300</v>
      </c>
      <c r="I578" s="2940">
        <v>4300</v>
      </c>
      <c r="J578" s="2349">
        <v>4300</v>
      </c>
      <c r="K578" s="709"/>
      <c r="L578" s="111"/>
      <c r="M578" s="92"/>
      <c r="N578" s="92"/>
      <c r="O578" s="92"/>
    </row>
    <row r="579" spans="1:15" ht="12.75">
      <c r="A579" s="3249">
        <v>633</v>
      </c>
      <c r="B579" s="3250"/>
      <c r="C579" s="1244" t="s">
        <v>463</v>
      </c>
      <c r="D579" s="2421">
        <v>28.39</v>
      </c>
      <c r="E579" s="2152">
        <v>300</v>
      </c>
      <c r="F579" s="2775">
        <v>300</v>
      </c>
      <c r="G579" s="2152">
        <v>0</v>
      </c>
      <c r="H579" s="2370">
        <v>300</v>
      </c>
      <c r="I579" s="2940">
        <v>500</v>
      </c>
      <c r="J579" s="2349">
        <v>500</v>
      </c>
      <c r="K579" s="709"/>
      <c r="L579" s="111"/>
      <c r="M579" s="92"/>
      <c r="N579" s="92"/>
      <c r="O579" s="92"/>
    </row>
    <row r="580" spans="1:15" ht="12.75">
      <c r="A580" s="3251">
        <v>633</v>
      </c>
      <c r="B580" s="3252"/>
      <c r="C580" s="1245" t="s">
        <v>463</v>
      </c>
      <c r="D580" s="1935">
        <v>0</v>
      </c>
      <c r="E580" s="2382">
        <v>0</v>
      </c>
      <c r="F580" s="2777">
        <v>0</v>
      </c>
      <c r="G580" s="2382">
        <v>0</v>
      </c>
      <c r="H580" s="2377">
        <v>0</v>
      </c>
      <c r="I580" s="2940">
        <v>0</v>
      </c>
      <c r="J580" s="2358">
        <v>0</v>
      </c>
      <c r="K580" s="709"/>
      <c r="L580" s="111"/>
      <c r="M580" s="92"/>
      <c r="N580" s="92"/>
      <c r="O580" s="92"/>
    </row>
    <row r="581" spans="1:15" ht="12.75">
      <c r="A581" s="3249">
        <v>633</v>
      </c>
      <c r="B581" s="3250"/>
      <c r="C581" s="1244" t="s">
        <v>464</v>
      </c>
      <c r="D581" s="2421">
        <v>0</v>
      </c>
      <c r="E581" s="2152">
        <v>0</v>
      </c>
      <c r="F581" s="2775">
        <v>0</v>
      </c>
      <c r="G581" s="2152">
        <v>0</v>
      </c>
      <c r="H581" s="2370">
        <v>0</v>
      </c>
      <c r="I581" s="2940">
        <v>0</v>
      </c>
      <c r="J581" s="2349">
        <v>0</v>
      </c>
      <c r="K581" s="709"/>
      <c r="L581" s="111"/>
      <c r="M581" s="92"/>
      <c r="N581" s="92"/>
      <c r="O581" s="92"/>
    </row>
    <row r="582" spans="1:15" ht="12.75">
      <c r="A582" s="3251">
        <v>633</v>
      </c>
      <c r="B582" s="3252"/>
      <c r="C582" s="1245" t="s">
        <v>464</v>
      </c>
      <c r="D582" s="1935">
        <v>0</v>
      </c>
      <c r="E582" s="2382">
        <v>0</v>
      </c>
      <c r="F582" s="2777">
        <v>0</v>
      </c>
      <c r="G582" s="2382">
        <v>0</v>
      </c>
      <c r="H582" s="2377">
        <v>0</v>
      </c>
      <c r="I582" s="2940">
        <v>0</v>
      </c>
      <c r="J582" s="2358">
        <v>0</v>
      </c>
      <c r="K582" s="709"/>
      <c r="L582" s="111"/>
      <c r="M582" s="92"/>
      <c r="N582" s="92"/>
      <c r="O582" s="92"/>
    </row>
    <row r="583" spans="1:15" ht="12.75">
      <c r="A583" s="3249">
        <v>633</v>
      </c>
      <c r="B583" s="3250"/>
      <c r="C583" s="1244" t="s">
        <v>679</v>
      </c>
      <c r="D583" s="2421">
        <v>568.8</v>
      </c>
      <c r="E583" s="2152">
        <v>516</v>
      </c>
      <c r="F583" s="2775">
        <v>500</v>
      </c>
      <c r="G583" s="2152">
        <v>0</v>
      </c>
      <c r="H583" s="2370">
        <v>500</v>
      </c>
      <c r="I583" s="2940">
        <v>500</v>
      </c>
      <c r="J583" s="2349">
        <v>500</v>
      </c>
      <c r="K583" s="709"/>
      <c r="L583" s="111"/>
      <c r="M583" s="92"/>
      <c r="N583" s="92"/>
      <c r="O583" s="92"/>
    </row>
    <row r="584" spans="1:15" ht="12.75">
      <c r="A584" s="3251">
        <v>633</v>
      </c>
      <c r="B584" s="3252"/>
      <c r="C584" s="1245" t="s">
        <v>679</v>
      </c>
      <c r="D584" s="1935">
        <v>933.13</v>
      </c>
      <c r="E584" s="2382">
        <v>750</v>
      </c>
      <c r="F584" s="2777">
        <v>0</v>
      </c>
      <c r="G584" s="2382"/>
      <c r="H584" s="2377">
        <v>0</v>
      </c>
      <c r="I584" s="2940">
        <v>0</v>
      </c>
      <c r="J584" s="2358">
        <v>0</v>
      </c>
      <c r="K584" s="709"/>
      <c r="L584" s="111"/>
      <c r="M584" s="92"/>
      <c r="N584" s="92"/>
      <c r="O584" s="92"/>
    </row>
    <row r="585" spans="1:15" ht="12.75">
      <c r="A585" s="3249">
        <v>633</v>
      </c>
      <c r="B585" s="3250"/>
      <c r="C585" s="1244" t="s">
        <v>467</v>
      </c>
      <c r="D585" s="2421">
        <v>1100.33</v>
      </c>
      <c r="E585" s="2152">
        <v>1340</v>
      </c>
      <c r="F585" s="2775">
        <v>1000</v>
      </c>
      <c r="G585" s="2152">
        <v>1650</v>
      </c>
      <c r="H585" s="2370">
        <v>1000</v>
      </c>
      <c r="I585" s="2940">
        <v>1000</v>
      </c>
      <c r="J585" s="2349">
        <v>1000</v>
      </c>
      <c r="K585" s="709"/>
      <c r="L585" s="111"/>
      <c r="M585" s="92"/>
      <c r="N585" s="92"/>
      <c r="O585" s="92"/>
    </row>
    <row r="586" spans="1:15" ht="12.75">
      <c r="A586" s="3249">
        <v>633</v>
      </c>
      <c r="B586" s="3250"/>
      <c r="C586" s="1244" t="s">
        <v>680</v>
      </c>
      <c r="D586" s="2421">
        <v>0</v>
      </c>
      <c r="E586" s="2152">
        <v>0</v>
      </c>
      <c r="F586" s="2775">
        <v>0</v>
      </c>
      <c r="G586" s="2152">
        <v>0</v>
      </c>
      <c r="H586" s="2370">
        <v>0</v>
      </c>
      <c r="I586" s="2940">
        <v>0</v>
      </c>
      <c r="J586" s="2349">
        <v>0</v>
      </c>
      <c r="K586" s="709"/>
      <c r="L586" s="111"/>
      <c r="M586" s="92"/>
      <c r="N586" s="92"/>
      <c r="O586" s="92"/>
    </row>
    <row r="587" spans="1:15" ht="12.75">
      <c r="A587" s="3249">
        <v>635</v>
      </c>
      <c r="B587" s="3250"/>
      <c r="C587" s="1244" t="s">
        <v>563</v>
      </c>
      <c r="D587" s="2421">
        <v>267.8</v>
      </c>
      <c r="E587" s="2152">
        <v>1045</v>
      </c>
      <c r="F587" s="2775">
        <v>500</v>
      </c>
      <c r="G587" s="2152">
        <v>1045</v>
      </c>
      <c r="H587" s="2370">
        <v>500</v>
      </c>
      <c r="I587" s="2940">
        <v>500</v>
      </c>
      <c r="J587" s="2349">
        <v>500</v>
      </c>
      <c r="K587" s="709"/>
      <c r="L587" s="111"/>
      <c r="M587" s="92"/>
      <c r="N587" s="92"/>
      <c r="O587" s="92"/>
    </row>
    <row r="588" spans="1:15" ht="12.75">
      <c r="A588" s="3249">
        <v>637</v>
      </c>
      <c r="B588" s="3250"/>
      <c r="C588" s="1244" t="s">
        <v>333</v>
      </c>
      <c r="D588" s="2421">
        <v>307.5</v>
      </c>
      <c r="E588" s="2152">
        <v>0</v>
      </c>
      <c r="F588" s="2775">
        <v>0</v>
      </c>
      <c r="G588" s="2152">
        <v>0</v>
      </c>
      <c r="H588" s="2370">
        <v>0</v>
      </c>
      <c r="I588" s="2940">
        <v>0</v>
      </c>
      <c r="J588" s="2349">
        <v>0</v>
      </c>
      <c r="K588" s="709"/>
      <c r="L588" s="111"/>
      <c r="M588" s="92"/>
      <c r="N588" s="92"/>
      <c r="O588" s="92"/>
    </row>
    <row r="589" spans="1:15" ht="12.75">
      <c r="A589" s="3249">
        <v>637</v>
      </c>
      <c r="B589" s="3250"/>
      <c r="C589" s="1244" t="s">
        <v>681</v>
      </c>
      <c r="D589" s="2421">
        <v>307.5</v>
      </c>
      <c r="E589" s="2347">
        <v>1050</v>
      </c>
      <c r="F589" s="2775">
        <v>150</v>
      </c>
      <c r="G589" s="2347">
        <v>510</v>
      </c>
      <c r="H589" s="2370">
        <v>250</v>
      </c>
      <c r="I589" s="2940">
        <v>250</v>
      </c>
      <c r="J589" s="2349">
        <v>250</v>
      </c>
      <c r="K589" s="709"/>
      <c r="L589" s="111"/>
      <c r="M589" s="92"/>
      <c r="N589" s="92"/>
      <c r="O589" s="92"/>
    </row>
    <row r="590" spans="1:15" ht="12.75">
      <c r="A590" s="2359" t="s">
        <v>616</v>
      </c>
      <c r="B590" s="941"/>
      <c r="C590" s="938" t="s">
        <v>617</v>
      </c>
      <c r="D590" s="2422">
        <f>SUM(D591:D595)</f>
        <v>13783.66</v>
      </c>
      <c r="E590" s="2367">
        <f aca="true" t="shared" si="56" ref="E590:J590">SUM(E591,E592,E593,E595,E594)</f>
        <v>9000</v>
      </c>
      <c r="F590" s="2373">
        <f t="shared" si="56"/>
        <v>17000</v>
      </c>
      <c r="G590" s="2367">
        <f t="shared" si="56"/>
        <v>5000</v>
      </c>
      <c r="H590" s="2373">
        <f t="shared" si="56"/>
        <v>4000</v>
      </c>
      <c r="I590" s="3003">
        <f t="shared" si="56"/>
        <v>4000</v>
      </c>
      <c r="J590" s="2353">
        <f t="shared" si="56"/>
        <v>4000</v>
      </c>
      <c r="K590" s="709"/>
      <c r="L590" s="111"/>
      <c r="M590" s="92"/>
      <c r="N590" s="92"/>
      <c r="O590" s="92"/>
    </row>
    <row r="591" spans="1:15" ht="12.75">
      <c r="A591" s="2360" t="s">
        <v>614</v>
      </c>
      <c r="B591" s="699"/>
      <c r="C591" s="1240" t="s">
        <v>618</v>
      </c>
      <c r="D591" s="1639">
        <v>0</v>
      </c>
      <c r="E591" s="2258">
        <v>0</v>
      </c>
      <c r="F591" s="2700">
        <v>3000</v>
      </c>
      <c r="G591" s="2258">
        <v>0</v>
      </c>
      <c r="H591" s="2378"/>
      <c r="I591" s="2940">
        <v>0</v>
      </c>
      <c r="J591" s="1657">
        <v>0</v>
      </c>
      <c r="K591" s="710"/>
      <c r="L591" s="111"/>
      <c r="M591" s="627"/>
      <c r="N591" s="712"/>
      <c r="O591" s="92"/>
    </row>
    <row r="592" spans="1:15" ht="12.75">
      <c r="A592" s="790" t="s">
        <v>619</v>
      </c>
      <c r="B592" s="35"/>
      <c r="C592" s="1241" t="s">
        <v>620</v>
      </c>
      <c r="D592" s="1639">
        <v>0</v>
      </c>
      <c r="E592" s="2121">
        <v>0</v>
      </c>
      <c r="F592" s="2700">
        <v>0</v>
      </c>
      <c r="G592" s="2121">
        <v>0</v>
      </c>
      <c r="H592" s="1656">
        <v>0</v>
      </c>
      <c r="I592" s="2940">
        <v>0</v>
      </c>
      <c r="J592" s="1657">
        <v>0</v>
      </c>
      <c r="K592" s="627"/>
      <c r="L592" s="649"/>
      <c r="M592" s="627"/>
      <c r="N592" s="92"/>
      <c r="O592" s="92"/>
    </row>
    <row r="593" spans="1:15" ht="12.75">
      <c r="A593" s="2361" t="s">
        <v>619</v>
      </c>
      <c r="B593" s="713"/>
      <c r="C593" s="1242" t="s">
        <v>621</v>
      </c>
      <c r="D593" s="2423">
        <v>7713.9</v>
      </c>
      <c r="E593" s="2383">
        <v>6000</v>
      </c>
      <c r="F593" s="2778">
        <v>10000</v>
      </c>
      <c r="G593" s="2383"/>
      <c r="H593" s="2379"/>
      <c r="I593" s="2991"/>
      <c r="J593" s="2362"/>
      <c r="K593" s="684"/>
      <c r="L593" s="714"/>
      <c r="M593" s="715"/>
      <c r="N593" s="716"/>
      <c r="O593" s="715"/>
    </row>
    <row r="594" spans="1:15" ht="12.75">
      <c r="A594" s="2145" t="s">
        <v>619</v>
      </c>
      <c r="B594" s="593"/>
      <c r="C594" s="1243" t="s">
        <v>622</v>
      </c>
      <c r="D594" s="2423">
        <v>2182.5</v>
      </c>
      <c r="E594" s="2383">
        <v>0</v>
      </c>
      <c r="F594" s="2778">
        <v>1000</v>
      </c>
      <c r="G594" s="2383">
        <v>0</v>
      </c>
      <c r="H594" s="2379">
        <v>1000</v>
      </c>
      <c r="I594" s="2991">
        <v>1000</v>
      </c>
      <c r="J594" s="2362">
        <v>1000</v>
      </c>
      <c r="K594" s="684"/>
      <c r="L594" s="714"/>
      <c r="M594" s="715"/>
      <c r="N594" s="716"/>
      <c r="O594" s="715"/>
    </row>
    <row r="595" spans="1:15" s="719" customFormat="1" ht="12.75">
      <c r="A595" s="2145" t="s">
        <v>619</v>
      </c>
      <c r="B595" s="593"/>
      <c r="C595" s="1243" t="s">
        <v>623</v>
      </c>
      <c r="D595" s="2423">
        <v>3887.26</v>
      </c>
      <c r="E595" s="2383">
        <v>3000</v>
      </c>
      <c r="F595" s="2779">
        <v>3000</v>
      </c>
      <c r="G595" s="2383">
        <v>5000</v>
      </c>
      <c r="H595" s="2380">
        <v>3000</v>
      </c>
      <c r="I595" s="2991">
        <v>3000</v>
      </c>
      <c r="J595" s="2362">
        <v>3000</v>
      </c>
      <c r="K595" s="684"/>
      <c r="L595" s="708"/>
      <c r="M595" s="717"/>
      <c r="N595" s="718"/>
      <c r="O595" s="717"/>
    </row>
    <row r="596" spans="1:15" ht="13.5" thickBot="1">
      <c r="A596" s="2363" t="s">
        <v>276</v>
      </c>
      <c r="B596" s="2364"/>
      <c r="C596" s="2365" t="s">
        <v>624</v>
      </c>
      <c r="D596" s="2366">
        <f aca="true" t="shared" si="57" ref="D596:J596">D562+D569+D573+D590</f>
        <v>95731.76000000001</v>
      </c>
      <c r="E596" s="2369">
        <f t="shared" si="57"/>
        <v>103606</v>
      </c>
      <c r="F596" s="2825">
        <f t="shared" si="57"/>
        <v>106550</v>
      </c>
      <c r="G596" s="2369">
        <f t="shared" si="57"/>
        <v>95736</v>
      </c>
      <c r="H596" s="2381">
        <f t="shared" si="57"/>
        <v>103450</v>
      </c>
      <c r="I596" s="3001">
        <f>I562+I569+I573+I590</f>
        <v>107550</v>
      </c>
      <c r="J596" s="1931">
        <f t="shared" si="57"/>
        <v>110750</v>
      </c>
      <c r="K596" s="93"/>
      <c r="L596" s="127"/>
      <c r="M596" s="576"/>
      <c r="N596" s="576"/>
      <c r="O596" s="576"/>
    </row>
    <row r="597" spans="1:16" ht="13.5" thickBot="1">
      <c r="A597" s="2829" t="s">
        <v>625</v>
      </c>
      <c r="B597" s="2830"/>
      <c r="C597" s="2831"/>
      <c r="D597" s="2832">
        <f>SUM(D100,D113,D158,D220,D263,D281,D296,D363,D553,D596)</f>
        <v>1853549.99</v>
      </c>
      <c r="E597" s="2833">
        <f aca="true" t="shared" si="58" ref="E597:J597">E100+E113+E158+E220+E263+E281+E296+E363+E553+E596</f>
        <v>1985548</v>
      </c>
      <c r="F597" s="2828">
        <f t="shared" si="58"/>
        <v>2075231</v>
      </c>
      <c r="G597" s="2833">
        <f t="shared" si="58"/>
        <v>2254816</v>
      </c>
      <c r="H597" s="2828">
        <f t="shared" si="58"/>
        <v>2383134</v>
      </c>
      <c r="I597" s="3006">
        <f t="shared" si="58"/>
        <v>2370716</v>
      </c>
      <c r="J597" s="2828">
        <f t="shared" si="58"/>
        <v>2385541</v>
      </c>
      <c r="K597" s="93"/>
      <c r="L597" s="20"/>
      <c r="M597" s="576"/>
      <c r="N597" s="576"/>
      <c r="O597" s="576"/>
      <c r="P597" s="654"/>
    </row>
    <row r="598" spans="1:16" ht="12.75">
      <c r="A598" s="149"/>
      <c r="B598" s="19"/>
      <c r="C598" s="149"/>
      <c r="D598" s="93"/>
      <c r="E598" s="93"/>
      <c r="F598" s="2753"/>
      <c r="G598" s="93"/>
      <c r="H598" s="93"/>
      <c r="I598" s="2947"/>
      <c r="J598" s="93"/>
      <c r="K598" s="93"/>
      <c r="L598" s="20"/>
      <c r="M598" s="576"/>
      <c r="N598" s="576"/>
      <c r="O598" s="576"/>
      <c r="P598" s="654"/>
    </row>
    <row r="599" spans="1:16" ht="12.75">
      <c r="A599" s="149"/>
      <c r="B599" s="19"/>
      <c r="C599" s="149"/>
      <c r="D599" s="93"/>
      <c r="E599" s="93"/>
      <c r="F599" s="2753"/>
      <c r="G599" s="93"/>
      <c r="H599" s="93"/>
      <c r="I599" s="2947"/>
      <c r="J599" s="93"/>
      <c r="K599" s="93"/>
      <c r="L599" s="20"/>
      <c r="M599" s="576"/>
      <c r="N599" s="576"/>
      <c r="O599" s="576"/>
      <c r="P599" s="654"/>
    </row>
    <row r="600" spans="1:16" ht="12.75">
      <c r="A600" s="149"/>
      <c r="B600" s="19"/>
      <c r="C600" s="149"/>
      <c r="D600" s="93"/>
      <c r="E600" s="93"/>
      <c r="F600" s="2753"/>
      <c r="G600" s="93"/>
      <c r="H600" s="93"/>
      <c r="I600" s="2947"/>
      <c r="J600" s="93"/>
      <c r="K600" s="93"/>
      <c r="L600" s="20"/>
      <c r="M600" s="576"/>
      <c r="N600" s="576"/>
      <c r="O600" s="576"/>
      <c r="P600" s="654"/>
    </row>
    <row r="601" spans="1:16" ht="12.75">
      <c r="A601" s="149"/>
      <c r="B601" s="19"/>
      <c r="C601" s="149"/>
      <c r="D601" s="93"/>
      <c r="E601" s="93"/>
      <c r="F601" s="2753"/>
      <c r="G601" s="93"/>
      <c r="H601" s="93"/>
      <c r="I601" s="2947"/>
      <c r="J601" s="93"/>
      <c r="K601" s="93"/>
      <c r="L601" s="20"/>
      <c r="M601" s="576"/>
      <c r="N601" s="576"/>
      <c r="O601" s="576"/>
      <c r="P601" s="654"/>
    </row>
    <row r="602" spans="1:10" ht="12.75">
      <c r="A602" s="149"/>
      <c r="B602" s="19"/>
      <c r="C602" s="149"/>
      <c r="D602" s="149"/>
      <c r="E602" s="150"/>
      <c r="F602" s="2780"/>
      <c r="G602" s="150"/>
      <c r="H602" s="150"/>
      <c r="I602" s="2947"/>
      <c r="J602" s="650"/>
    </row>
    <row r="603" spans="1:10" ht="12.75" customHeight="1" hidden="1">
      <c r="A603" s="149"/>
      <c r="B603" s="19"/>
      <c r="C603" s="149"/>
      <c r="D603" s="149"/>
      <c r="E603" s="150"/>
      <c r="F603" s="2780"/>
      <c r="G603" s="150"/>
      <c r="H603" s="150"/>
      <c r="I603" s="2947"/>
      <c r="J603" s="650"/>
    </row>
    <row r="604" spans="1:10" ht="12.75" customHeight="1" hidden="1">
      <c r="A604" s="149"/>
      <c r="B604" s="19"/>
      <c r="C604" s="149"/>
      <c r="D604" s="149"/>
      <c r="E604" s="150"/>
      <c r="F604" s="2780"/>
      <c r="G604" s="150"/>
      <c r="H604" s="150"/>
      <c r="I604" s="2947"/>
      <c r="J604" s="650"/>
    </row>
    <row r="605" spans="1:10" ht="12.75" customHeight="1" hidden="1">
      <c r="A605" s="149"/>
      <c r="B605" s="19"/>
      <c r="C605" s="149"/>
      <c r="D605" s="149"/>
      <c r="E605" s="150"/>
      <c r="F605" s="2780"/>
      <c r="G605" s="150"/>
      <c r="H605" s="150"/>
      <c r="I605" s="2949"/>
      <c r="J605" s="650"/>
    </row>
    <row r="606" spans="1:10" ht="12.75" customHeight="1" hidden="1">
      <c r="A606" s="149"/>
      <c r="B606" s="19"/>
      <c r="C606" s="149"/>
      <c r="D606" s="149"/>
      <c r="E606" s="150"/>
      <c r="F606" s="2780"/>
      <c r="G606" s="150"/>
      <c r="H606" s="150"/>
      <c r="I606" s="2947"/>
      <c r="J606" s="650"/>
    </row>
    <row r="607" spans="1:10" ht="12.75" customHeight="1" hidden="1">
      <c r="A607" s="149"/>
      <c r="B607" s="19"/>
      <c r="C607" s="149"/>
      <c r="D607" s="149"/>
      <c r="E607" s="150"/>
      <c r="F607" s="2780"/>
      <c r="G607" s="150"/>
      <c r="H607" s="150"/>
      <c r="I607" s="2947"/>
      <c r="J607" s="650"/>
    </row>
    <row r="608" spans="1:10" ht="12.75" customHeight="1" hidden="1">
      <c r="A608" s="149"/>
      <c r="B608" s="19"/>
      <c r="C608" s="149"/>
      <c r="D608" s="149"/>
      <c r="E608" s="150"/>
      <c r="F608" s="2780"/>
      <c r="G608" s="150"/>
      <c r="H608" s="150"/>
      <c r="I608" s="2947"/>
      <c r="J608" s="650"/>
    </row>
    <row r="609" spans="1:10" ht="12.75" customHeight="1" hidden="1">
      <c r="A609" s="149"/>
      <c r="B609" s="19"/>
      <c r="C609" s="149"/>
      <c r="D609" s="149"/>
      <c r="E609" s="150"/>
      <c r="F609" s="2780"/>
      <c r="G609" s="150"/>
      <c r="H609" s="150"/>
      <c r="I609" s="2947"/>
      <c r="J609" s="650"/>
    </row>
    <row r="610" spans="1:10" ht="12.75" customHeight="1" hidden="1">
      <c r="A610" s="149"/>
      <c r="B610" s="19"/>
      <c r="C610" s="149"/>
      <c r="D610" s="149"/>
      <c r="E610" s="150"/>
      <c r="F610" s="2780"/>
      <c r="G610" s="150"/>
      <c r="H610" s="150"/>
      <c r="I610" s="2947"/>
      <c r="J610" s="650"/>
    </row>
    <row r="611" spans="1:10" ht="12.75" customHeight="1" hidden="1">
      <c r="A611" s="149"/>
      <c r="B611" s="19"/>
      <c r="C611" s="149"/>
      <c r="D611" s="149"/>
      <c r="E611" s="150"/>
      <c r="F611" s="2780"/>
      <c r="G611" s="150"/>
      <c r="H611" s="150"/>
      <c r="I611" s="2947"/>
      <c r="J611" s="650"/>
    </row>
    <row r="612" spans="1:10" ht="12.75" hidden="1">
      <c r="A612" s="149"/>
      <c r="B612" s="19"/>
      <c r="C612" s="149"/>
      <c r="D612" s="149"/>
      <c r="E612" s="150"/>
      <c r="F612" s="2780"/>
      <c r="G612" s="150"/>
      <c r="H612" s="150"/>
      <c r="I612" s="2947"/>
      <c r="J612" s="650"/>
    </row>
    <row r="613" spans="1:10" ht="12.75" hidden="1">
      <c r="A613" s="149"/>
      <c r="B613" s="19"/>
      <c r="C613" s="149"/>
      <c r="D613" s="149"/>
      <c r="E613" s="150"/>
      <c r="F613" s="2780"/>
      <c r="G613" s="150"/>
      <c r="H613" s="150"/>
      <c r="I613" s="2947"/>
      <c r="J613" s="650"/>
    </row>
    <row r="614" spans="1:10" ht="12.75" hidden="1">
      <c r="A614" s="149"/>
      <c r="B614" s="19"/>
      <c r="C614" s="149"/>
      <c r="D614" s="149"/>
      <c r="E614" s="150"/>
      <c r="F614" s="2780"/>
      <c r="G614" s="150"/>
      <c r="H614" s="150"/>
      <c r="I614" s="2947"/>
      <c r="J614" s="650"/>
    </row>
    <row r="615" spans="1:10" ht="12.75" hidden="1">
      <c r="A615" s="149"/>
      <c r="B615" s="19"/>
      <c r="C615" s="149"/>
      <c r="D615" s="149"/>
      <c r="E615" s="150"/>
      <c r="F615" s="2780"/>
      <c r="G615" s="150"/>
      <c r="H615" s="150"/>
      <c r="I615" s="2947"/>
      <c r="J615" s="650"/>
    </row>
    <row r="616" spans="1:10" ht="12.75" hidden="1">
      <c r="A616" s="149"/>
      <c r="B616" s="19"/>
      <c r="C616" s="149"/>
      <c r="D616" s="149"/>
      <c r="E616" s="150"/>
      <c r="F616" s="2780"/>
      <c r="G616" s="150"/>
      <c r="H616" s="150"/>
      <c r="I616" s="2947"/>
      <c r="J616" s="650"/>
    </row>
    <row r="617" spans="1:10" ht="13.5" thickBot="1">
      <c r="A617" s="149"/>
      <c r="B617" s="19"/>
      <c r="C617" s="565" t="s">
        <v>441</v>
      </c>
      <c r="D617" s="565"/>
      <c r="E617" s="150"/>
      <c r="F617" s="2780"/>
      <c r="G617" s="150"/>
      <c r="H617" s="150"/>
      <c r="I617" s="2947"/>
      <c r="J617" s="650"/>
    </row>
    <row r="618" spans="1:10" ht="13.5" hidden="1" thickBot="1">
      <c r="A618" s="149"/>
      <c r="B618" s="19"/>
      <c r="C618" s="149"/>
      <c r="D618" s="149"/>
      <c r="E618" s="150"/>
      <c r="F618" s="2780"/>
      <c r="G618" s="150"/>
      <c r="H618" s="150"/>
      <c r="I618" s="2947"/>
      <c r="J618" s="650"/>
    </row>
    <row r="619" spans="1:15" s="642" customFormat="1" ht="18.75" customHeight="1">
      <c r="A619" s="567" t="s">
        <v>447</v>
      </c>
      <c r="B619" s="568"/>
      <c r="C619" s="569"/>
      <c r="D619" s="569">
        <v>2017</v>
      </c>
      <c r="E619" s="2636">
        <v>2018</v>
      </c>
      <c r="F619" s="2801">
        <v>2019</v>
      </c>
      <c r="G619" s="2636" t="s">
        <v>881</v>
      </c>
      <c r="H619" s="2637">
        <v>2020</v>
      </c>
      <c r="I619" s="3041" t="s">
        <v>882</v>
      </c>
      <c r="J619" s="3042">
        <v>2022</v>
      </c>
      <c r="K619" s="639"/>
      <c r="L619" s="640"/>
      <c r="M619" s="641"/>
      <c r="N619" s="570"/>
      <c r="O619" s="571"/>
    </row>
    <row r="620" spans="1:15" s="157" customFormat="1" ht="11.25">
      <c r="A620" s="1872" t="s">
        <v>455</v>
      </c>
      <c r="B620" s="1873"/>
      <c r="C620" s="1873"/>
      <c r="D620" s="1874">
        <f>SUM(D621)</f>
        <v>0</v>
      </c>
      <c r="E620" s="1875">
        <f>SUM(E621)+E624</f>
        <v>1058</v>
      </c>
      <c r="F620" s="2842">
        <f>SUM(F621)</f>
        <v>0</v>
      </c>
      <c r="G620" s="1875">
        <f>SUM(G621)+G624+G623</f>
        <v>3263</v>
      </c>
      <c r="H620" s="2842">
        <f>H621+H623+H624</f>
        <v>5000</v>
      </c>
      <c r="I620" s="2973"/>
      <c r="J620" s="1876">
        <f>SUM(J621)</f>
        <v>0</v>
      </c>
      <c r="K620" s="77"/>
      <c r="L620" s="645"/>
      <c r="M620" s="645"/>
      <c r="N620" s="645"/>
      <c r="O620" s="645"/>
    </row>
    <row r="621" spans="1:14" ht="12.75">
      <c r="A621" s="1843">
        <v>711</v>
      </c>
      <c r="B621" s="1270" t="s">
        <v>98</v>
      </c>
      <c r="C621" s="1270" t="s">
        <v>707</v>
      </c>
      <c r="D621" s="1811">
        <v>0</v>
      </c>
      <c r="E621" s="1829">
        <v>558</v>
      </c>
      <c r="F621" s="2781">
        <v>0</v>
      </c>
      <c r="G621" s="1829">
        <v>390</v>
      </c>
      <c r="H621" s="1877">
        <v>0</v>
      </c>
      <c r="I621" s="2974"/>
      <c r="J621" s="1844">
        <v>0</v>
      </c>
      <c r="K621" s="76"/>
      <c r="M621" s="67"/>
      <c r="N621" s="67"/>
    </row>
    <row r="622" spans="1:14" ht="12.75" hidden="1">
      <c r="A622" s="1843"/>
      <c r="B622" s="1270"/>
      <c r="C622" s="1270"/>
      <c r="D622" s="1802"/>
      <c r="E622" s="1800"/>
      <c r="F622" s="2782"/>
      <c r="G622" s="1800"/>
      <c r="H622" s="1878"/>
      <c r="I622" s="2974"/>
      <c r="J622" s="1845"/>
      <c r="K622" s="76"/>
      <c r="M622" s="67"/>
      <c r="N622" s="67"/>
    </row>
    <row r="623" spans="1:14" ht="12.75">
      <c r="A623" s="1843">
        <v>711</v>
      </c>
      <c r="B623" s="1270" t="s">
        <v>96</v>
      </c>
      <c r="C623" s="1270" t="s">
        <v>891</v>
      </c>
      <c r="D623" s="1802"/>
      <c r="E623" s="1800"/>
      <c r="F623" s="2782"/>
      <c r="G623" s="1800">
        <v>2873</v>
      </c>
      <c r="H623" s="1877">
        <v>5000</v>
      </c>
      <c r="I623" s="2974"/>
      <c r="J623" s="1845"/>
      <c r="K623" s="76"/>
      <c r="M623" s="67"/>
      <c r="N623" s="67"/>
    </row>
    <row r="624" spans="1:14" ht="12.75">
      <c r="A624" s="1843">
        <v>716</v>
      </c>
      <c r="B624" s="1270"/>
      <c r="C624" s="1270" t="s">
        <v>630</v>
      </c>
      <c r="D624" s="1802"/>
      <c r="E624" s="1800">
        <v>500</v>
      </c>
      <c r="F624" s="2782"/>
      <c r="G624" s="1800">
        <v>0</v>
      </c>
      <c r="H624" s="1838"/>
      <c r="I624" s="2974"/>
      <c r="J624" s="1845"/>
      <c r="K624" s="76"/>
      <c r="M624" s="67"/>
      <c r="N624" s="67"/>
    </row>
    <row r="625" spans="1:15" ht="12.75">
      <c r="A625" s="1846" t="s">
        <v>525</v>
      </c>
      <c r="B625" s="1816"/>
      <c r="C625" s="1816"/>
      <c r="D625" s="1805">
        <f>SUM(D626)</f>
        <v>0</v>
      </c>
      <c r="E625" s="1828">
        <f>E626</f>
        <v>12500</v>
      </c>
      <c r="F625" s="1885">
        <f>F626</f>
        <v>0</v>
      </c>
      <c r="G625" s="1828">
        <f>G626</f>
        <v>0</v>
      </c>
      <c r="H625" s="1879">
        <f>H626</f>
        <v>0</v>
      </c>
      <c r="I625" s="2975"/>
      <c r="J625" s="1842">
        <f>J626</f>
        <v>0</v>
      </c>
      <c r="K625" s="77"/>
      <c r="L625" s="645"/>
      <c r="M625" s="645"/>
      <c r="N625" s="645"/>
      <c r="O625" s="645"/>
    </row>
    <row r="626" spans="1:14" ht="12.75">
      <c r="A626" s="1843">
        <v>713</v>
      </c>
      <c r="B626" s="1270" t="s">
        <v>113</v>
      </c>
      <c r="C626" s="1270" t="s">
        <v>626</v>
      </c>
      <c r="D626" s="1802">
        <v>0</v>
      </c>
      <c r="E626" s="1800">
        <v>12500</v>
      </c>
      <c r="F626" s="2718">
        <v>0</v>
      </c>
      <c r="G626" s="1800"/>
      <c r="H626" s="1662">
        <v>0</v>
      </c>
      <c r="I626" s="2974"/>
      <c r="J626" s="1845">
        <v>0</v>
      </c>
      <c r="K626" s="76"/>
      <c r="M626" s="67"/>
      <c r="N626" s="67"/>
    </row>
    <row r="627" spans="1:15" ht="12.75">
      <c r="A627" s="1847">
        <v>713</v>
      </c>
      <c r="B627" s="1817" t="s">
        <v>113</v>
      </c>
      <c r="C627" s="1817" t="s">
        <v>627</v>
      </c>
      <c r="D627" s="1812">
        <v>0</v>
      </c>
      <c r="E627" s="1830">
        <v>10000</v>
      </c>
      <c r="F627" s="2783">
        <v>0</v>
      </c>
      <c r="G627" s="1830"/>
      <c r="H627" s="1880">
        <v>0</v>
      </c>
      <c r="I627" s="2974"/>
      <c r="J627" s="1848">
        <v>0</v>
      </c>
      <c r="K627" s="608"/>
      <c r="L627" s="596"/>
      <c r="M627" s="607"/>
      <c r="N627" s="607"/>
      <c r="O627" s="596"/>
    </row>
    <row r="628" spans="1:16" s="33" customFormat="1" ht="12.75" hidden="1">
      <c r="A628" s="1849"/>
      <c r="B628" s="1732"/>
      <c r="C628" s="1732"/>
      <c r="D628" s="1806"/>
      <c r="E628" s="1801"/>
      <c r="F628" s="2784"/>
      <c r="G628" s="1801"/>
      <c r="H628" s="1839"/>
      <c r="I628" s="2974"/>
      <c r="J628" s="1850"/>
      <c r="K628" s="76"/>
      <c r="L628" s="19"/>
      <c r="M628" s="19"/>
      <c r="N628" s="67"/>
      <c r="O628" s="19"/>
      <c r="P628" s="16"/>
    </row>
    <row r="629" spans="1:16" s="33" customFormat="1" ht="12.75">
      <c r="A629" s="1859" t="s">
        <v>282</v>
      </c>
      <c r="B629" s="1823" t="s">
        <v>281</v>
      </c>
      <c r="C629" s="1823"/>
      <c r="D629" s="1808">
        <f>D633+D634</f>
        <v>0</v>
      </c>
      <c r="E629" s="1835">
        <f>E630+E631</f>
        <v>2100</v>
      </c>
      <c r="F629" s="2427">
        <f>F630+F631</f>
        <v>0</v>
      </c>
      <c r="G629" s="1835">
        <f>G630+G631+G632</f>
        <v>0</v>
      </c>
      <c r="H629" s="2427">
        <f>H630+H631+H632</f>
        <v>80000</v>
      </c>
      <c r="I629" s="2976"/>
      <c r="J629" s="1860">
        <f>J630+J631</f>
        <v>0</v>
      </c>
      <c r="K629" s="76"/>
      <c r="L629" s="19"/>
      <c r="M629" s="19"/>
      <c r="N629" s="67"/>
      <c r="O629" s="19"/>
      <c r="P629" s="16"/>
    </row>
    <row r="630" spans="1:16" s="33" customFormat="1" ht="12.75">
      <c r="A630" s="1849">
        <v>716</v>
      </c>
      <c r="B630" s="1732"/>
      <c r="C630" s="1732" t="s">
        <v>630</v>
      </c>
      <c r="D630" s="1802"/>
      <c r="E630" s="1800">
        <v>2100</v>
      </c>
      <c r="F630" s="2782"/>
      <c r="G630" s="1800"/>
      <c r="H630" s="1838"/>
      <c r="I630" s="2974"/>
      <c r="J630" s="1845"/>
      <c r="K630" s="76"/>
      <c r="L630" s="19"/>
      <c r="M630" s="19"/>
      <c r="N630" s="67"/>
      <c r="O630" s="19"/>
      <c r="P630" s="16"/>
    </row>
    <row r="631" spans="1:16" s="33" customFormat="1" ht="12.75">
      <c r="A631" s="1849">
        <v>717</v>
      </c>
      <c r="B631" s="1732"/>
      <c r="C631" s="1732" t="s">
        <v>845</v>
      </c>
      <c r="D631" s="1806"/>
      <c r="E631" s="1801"/>
      <c r="F631" s="2785">
        <v>0</v>
      </c>
      <c r="G631" s="1800">
        <v>0</v>
      </c>
      <c r="H631" s="3083">
        <v>40000</v>
      </c>
      <c r="I631" s="2974"/>
      <c r="J631" s="1845"/>
      <c r="K631" s="76"/>
      <c r="L631" s="19"/>
      <c r="M631" s="19"/>
      <c r="N631" s="67"/>
      <c r="O631" s="19"/>
      <c r="P631" s="16"/>
    </row>
    <row r="632" spans="1:16" s="33" customFormat="1" ht="12.75">
      <c r="A632" s="1849"/>
      <c r="B632" s="1732"/>
      <c r="C632" s="2643" t="s">
        <v>844</v>
      </c>
      <c r="D632" s="1806"/>
      <c r="E632" s="1801"/>
      <c r="F632" s="2785"/>
      <c r="G632" s="2934">
        <v>0</v>
      </c>
      <c r="H632" s="3084">
        <v>40000</v>
      </c>
      <c r="I632" s="2977"/>
      <c r="J632" s="1850"/>
      <c r="K632" s="76"/>
      <c r="L632" s="19"/>
      <c r="M632" s="19"/>
      <c r="N632" s="67"/>
      <c r="O632" s="19"/>
      <c r="P632" s="16"/>
    </row>
    <row r="633" spans="1:16" s="33" customFormat="1" ht="12.75">
      <c r="A633" s="1851" t="s">
        <v>708</v>
      </c>
      <c r="B633" s="1816" t="s">
        <v>709</v>
      </c>
      <c r="C633" s="1816"/>
      <c r="D633" s="1805">
        <f>SUM(D634)</f>
        <v>0</v>
      </c>
      <c r="E633" s="1828">
        <f>SUM(E634)</f>
        <v>1000</v>
      </c>
      <c r="F633" s="1885">
        <f>SUM(F634)</f>
        <v>0</v>
      </c>
      <c r="G633" s="1828">
        <f>SUM(G634)</f>
        <v>0</v>
      </c>
      <c r="H633" s="1879">
        <f>SUM(H634)</f>
        <v>0</v>
      </c>
      <c r="I633" s="2975"/>
      <c r="J633" s="1842">
        <f>SUM(J634)</f>
        <v>0</v>
      </c>
      <c r="K633" s="76"/>
      <c r="L633" s="19"/>
      <c r="M633" s="19"/>
      <c r="N633" s="67"/>
      <c r="O633" s="19"/>
      <c r="P633" s="16"/>
    </row>
    <row r="634" spans="1:16" s="33" customFormat="1" ht="12.75">
      <c r="A634" s="1843">
        <v>713</v>
      </c>
      <c r="B634" s="1270" t="s">
        <v>113</v>
      </c>
      <c r="C634" s="1270" t="s">
        <v>710</v>
      </c>
      <c r="D634" s="1811">
        <v>0</v>
      </c>
      <c r="E634" s="1829">
        <v>1000</v>
      </c>
      <c r="F634" s="2781">
        <v>0</v>
      </c>
      <c r="G634" s="1829"/>
      <c r="H634" s="1877">
        <v>0</v>
      </c>
      <c r="I634" s="2974"/>
      <c r="J634" s="1844">
        <v>0</v>
      </c>
      <c r="K634" s="76"/>
      <c r="L634" s="19"/>
      <c r="M634" s="19"/>
      <c r="N634" s="67"/>
      <c r="O634" s="19"/>
      <c r="P634" s="16"/>
    </row>
    <row r="635" spans="1:15" s="157" customFormat="1" ht="11.25">
      <c r="A635" s="3243" t="s">
        <v>628</v>
      </c>
      <c r="B635" s="3244"/>
      <c r="C635" s="3244"/>
      <c r="D635" s="1805">
        <f>SUM(D636:D638)</f>
        <v>3644</v>
      </c>
      <c r="E635" s="1828">
        <f>E636</f>
        <v>0</v>
      </c>
      <c r="F635" s="1885">
        <v>0</v>
      </c>
      <c r="G635" s="1828">
        <f>G636</f>
        <v>0</v>
      </c>
      <c r="H635" s="1879">
        <f>H636</f>
        <v>0</v>
      </c>
      <c r="I635" s="2975"/>
      <c r="J635" s="1842">
        <v>0</v>
      </c>
      <c r="K635" s="77"/>
      <c r="L635" s="645"/>
      <c r="M635" s="645"/>
      <c r="N635" s="645"/>
      <c r="O635" s="645"/>
    </row>
    <row r="636" spans="1:16" s="33" customFormat="1" ht="12.75">
      <c r="A636" s="1849">
        <v>717</v>
      </c>
      <c r="B636" s="1732" t="s">
        <v>100</v>
      </c>
      <c r="C636" s="1732" t="s">
        <v>802</v>
      </c>
      <c r="D636" s="1802">
        <v>0</v>
      </c>
      <c r="E636" s="1800">
        <v>0</v>
      </c>
      <c r="F636" s="2718"/>
      <c r="G636" s="3095"/>
      <c r="H636" s="1838"/>
      <c r="I636" s="2974"/>
      <c r="J636" s="1845"/>
      <c r="K636" s="76" t="s">
        <v>913</v>
      </c>
      <c r="L636" s="19"/>
      <c r="M636" s="653"/>
      <c r="N636" s="67"/>
      <c r="O636" s="19"/>
      <c r="P636" s="16"/>
    </row>
    <row r="637" spans="1:14" ht="12.75" hidden="1">
      <c r="A637" s="1849"/>
      <c r="B637" s="1732"/>
      <c r="C637" s="1732"/>
      <c r="D637" s="1806"/>
      <c r="E637" s="1801"/>
      <c r="F637" s="2784"/>
      <c r="G637" s="1801"/>
      <c r="H637" s="1839"/>
      <c r="I637" s="2974"/>
      <c r="J637" s="1850"/>
      <c r="K637" s="76"/>
      <c r="N637" s="67"/>
    </row>
    <row r="638" spans="1:14" ht="12.75">
      <c r="A638" s="1849">
        <v>716</v>
      </c>
      <c r="B638" s="1732"/>
      <c r="C638" s="1732" t="s">
        <v>803</v>
      </c>
      <c r="D638" s="1802">
        <v>3644</v>
      </c>
      <c r="E638" s="1800"/>
      <c r="F638" s="2782"/>
      <c r="G638" s="1800"/>
      <c r="H638" s="1838"/>
      <c r="I638" s="2974"/>
      <c r="J638" s="1845"/>
      <c r="K638" s="76"/>
      <c r="N638" s="67"/>
    </row>
    <row r="639" spans="1:15" s="157" customFormat="1" ht="11.25">
      <c r="A639" s="1852" t="s">
        <v>629</v>
      </c>
      <c r="B639" s="1818"/>
      <c r="C639" s="1818"/>
      <c r="D639" s="1805">
        <f>D640</f>
        <v>0</v>
      </c>
      <c r="E639" s="1828">
        <f>SUM(E640)</f>
        <v>0</v>
      </c>
      <c r="F639" s="1885">
        <f>F640</f>
        <v>0</v>
      </c>
      <c r="G639" s="1828">
        <f>SUM(G640)</f>
        <v>0</v>
      </c>
      <c r="H639" s="1879">
        <f>H640</f>
        <v>0</v>
      </c>
      <c r="I639" s="2975"/>
      <c r="J639" s="1842">
        <f>J640</f>
        <v>0</v>
      </c>
      <c r="K639" s="77"/>
      <c r="L639" s="645"/>
      <c r="M639" s="645"/>
      <c r="N639" s="645"/>
      <c r="O639" s="645"/>
    </row>
    <row r="640" spans="1:14" ht="12.75">
      <c r="A640" s="1849">
        <v>717</v>
      </c>
      <c r="B640" s="1732" t="s">
        <v>98</v>
      </c>
      <c r="C640" s="1732" t="s">
        <v>630</v>
      </c>
      <c r="D640" s="1802">
        <v>0</v>
      </c>
      <c r="E640" s="1800">
        <v>0</v>
      </c>
      <c r="F640" s="2718">
        <v>0</v>
      </c>
      <c r="G640" s="1800">
        <v>0</v>
      </c>
      <c r="H640" s="1662">
        <v>0</v>
      </c>
      <c r="I640" s="2974"/>
      <c r="J640" s="1850">
        <v>0</v>
      </c>
      <c r="K640" s="76"/>
      <c r="L640" s="62"/>
      <c r="N640" s="67"/>
    </row>
    <row r="641" spans="1:16" s="33" customFormat="1" ht="12.75" hidden="1">
      <c r="A641" s="1849"/>
      <c r="B641" s="1732"/>
      <c r="C641" s="1732"/>
      <c r="D641" s="1806"/>
      <c r="E641" s="1801"/>
      <c r="F641" s="2784"/>
      <c r="G641" s="1801"/>
      <c r="H641" s="1839"/>
      <c r="I641" s="2974"/>
      <c r="J641" s="1850"/>
      <c r="K641" s="76"/>
      <c r="L641" s="62"/>
      <c r="M641" s="19"/>
      <c r="N641" s="67"/>
      <c r="O641" s="19"/>
      <c r="P641" s="16"/>
    </row>
    <row r="642" spans="1:16" s="720" customFormat="1" ht="11.25">
      <c r="A642" s="1841" t="s">
        <v>314</v>
      </c>
      <c r="B642" s="1816" t="s">
        <v>315</v>
      </c>
      <c r="C642" s="1816"/>
      <c r="D642" s="1805">
        <f>SUM(D643:D647)</f>
        <v>0</v>
      </c>
      <c r="E642" s="1828">
        <f>E643+E644+E645+E646+E647</f>
        <v>0</v>
      </c>
      <c r="F642" s="1885">
        <f>SUM(F643:F647)</f>
        <v>0</v>
      </c>
      <c r="G642" s="1828">
        <f>G643+G644+G645+G646+G647</f>
        <v>0</v>
      </c>
      <c r="H642" s="1879">
        <f>SUM(H643:H647)</f>
        <v>0</v>
      </c>
      <c r="I642" s="2975"/>
      <c r="J642" s="1842">
        <f>SUM(J643:J647)</f>
        <v>0</v>
      </c>
      <c r="K642" s="77"/>
      <c r="L642" s="645"/>
      <c r="M642" s="77"/>
      <c r="N642" s="645"/>
      <c r="O642" s="645"/>
      <c r="P642" s="157"/>
    </row>
    <row r="643" spans="1:16" s="33" customFormat="1" ht="12.75">
      <c r="A643" s="1853">
        <v>717</v>
      </c>
      <c r="B643" s="1819" t="s">
        <v>98</v>
      </c>
      <c r="C643" s="1819" t="s">
        <v>559</v>
      </c>
      <c r="D643" s="1813">
        <v>0</v>
      </c>
      <c r="E643" s="1831">
        <v>0</v>
      </c>
      <c r="F643" s="2786">
        <v>0</v>
      </c>
      <c r="G643" s="1831">
        <v>0</v>
      </c>
      <c r="H643" s="1881">
        <v>0</v>
      </c>
      <c r="I643" s="2974"/>
      <c r="J643" s="1845">
        <v>0</v>
      </c>
      <c r="K643" s="627"/>
      <c r="L643" s="19"/>
      <c r="M643" s="627"/>
      <c r="N643" s="653"/>
      <c r="O643" s="19"/>
      <c r="P643" s="16"/>
    </row>
    <row r="644" spans="1:16" s="33" customFormat="1" ht="12.75">
      <c r="A644" s="1849">
        <v>717</v>
      </c>
      <c r="B644" s="1732" t="s">
        <v>98</v>
      </c>
      <c r="C644" s="1732" t="s">
        <v>559</v>
      </c>
      <c r="D644" s="1802">
        <v>0</v>
      </c>
      <c r="E644" s="1800">
        <v>0</v>
      </c>
      <c r="F644" s="2718">
        <v>0</v>
      </c>
      <c r="G644" s="1800">
        <v>0</v>
      </c>
      <c r="H644" s="1662">
        <v>0</v>
      </c>
      <c r="I644" s="2974"/>
      <c r="J644" s="1845">
        <v>0</v>
      </c>
      <c r="K644" s="627"/>
      <c r="L644" s="19"/>
      <c r="M644" s="627"/>
      <c r="N644" s="653"/>
      <c r="O644" s="19"/>
      <c r="P644" s="16"/>
    </row>
    <row r="645" spans="1:16" s="33" customFormat="1" ht="12.75">
      <c r="A645" s="1849">
        <v>713</v>
      </c>
      <c r="B645" s="1732" t="s">
        <v>113</v>
      </c>
      <c r="C645" s="1732" t="s">
        <v>465</v>
      </c>
      <c r="D645" s="1802">
        <v>0</v>
      </c>
      <c r="E645" s="1800">
        <v>0</v>
      </c>
      <c r="F645" s="2718">
        <v>0</v>
      </c>
      <c r="G645" s="1800">
        <v>0</v>
      </c>
      <c r="H645" s="1662">
        <v>0</v>
      </c>
      <c r="I645" s="2974"/>
      <c r="J645" s="1845">
        <v>0</v>
      </c>
      <c r="K645" s="627"/>
      <c r="L645" s="19"/>
      <c r="M645" s="627"/>
      <c r="N645" s="653"/>
      <c r="O645" s="19"/>
      <c r="P645" s="16"/>
    </row>
    <row r="646" spans="1:16" s="33" customFormat="1" ht="12.75">
      <c r="A646" s="1849">
        <v>717</v>
      </c>
      <c r="B646" s="1732" t="s">
        <v>98</v>
      </c>
      <c r="C646" s="1732" t="s">
        <v>682</v>
      </c>
      <c r="D646" s="1802">
        <v>0</v>
      </c>
      <c r="E646" s="1800">
        <v>0</v>
      </c>
      <c r="F646" s="2718">
        <v>0</v>
      </c>
      <c r="G646" s="1800">
        <v>0</v>
      </c>
      <c r="H646" s="1662">
        <v>0</v>
      </c>
      <c r="I646" s="2974"/>
      <c r="J646" s="1845">
        <v>0</v>
      </c>
      <c r="K646" s="627"/>
      <c r="L646" s="19"/>
      <c r="M646" s="627"/>
      <c r="N646" s="653"/>
      <c r="O646" s="19"/>
      <c r="P646" s="16"/>
    </row>
    <row r="647" spans="1:16" s="33" customFormat="1" ht="12.75">
      <c r="A647" s="1849">
        <v>717</v>
      </c>
      <c r="B647" s="1732" t="s">
        <v>98</v>
      </c>
      <c r="C647" s="1732" t="s">
        <v>682</v>
      </c>
      <c r="D647" s="1802">
        <v>0</v>
      </c>
      <c r="E647" s="1800">
        <v>0</v>
      </c>
      <c r="F647" s="2718">
        <v>0</v>
      </c>
      <c r="G647" s="1800">
        <v>0</v>
      </c>
      <c r="H647" s="1662">
        <v>0</v>
      </c>
      <c r="I647" s="2974"/>
      <c r="J647" s="1845">
        <v>0</v>
      </c>
      <c r="K647" s="627"/>
      <c r="L647" s="19"/>
      <c r="M647" s="627"/>
      <c r="N647" s="653"/>
      <c r="O647" s="19"/>
      <c r="P647" s="16"/>
    </row>
    <row r="648" spans="1:16" s="33" customFormat="1" ht="12.75" hidden="1">
      <c r="A648" s="1849"/>
      <c r="B648" s="1732"/>
      <c r="C648" s="1732"/>
      <c r="D648" s="1807"/>
      <c r="E648" s="1832"/>
      <c r="F648" s="2787"/>
      <c r="G648" s="1832"/>
      <c r="H648" s="1882"/>
      <c r="I648" s="2974"/>
      <c r="J648" s="1854"/>
      <c r="K648" s="627"/>
      <c r="L648" s="19"/>
      <c r="M648" s="627"/>
      <c r="N648" s="653"/>
      <c r="O648" s="19"/>
      <c r="P648" s="16"/>
    </row>
    <row r="649" spans="1:16" s="33" customFormat="1" ht="12.75">
      <c r="A649" s="1841" t="s">
        <v>320</v>
      </c>
      <c r="B649" s="1816" t="s">
        <v>319</v>
      </c>
      <c r="C649" s="1816"/>
      <c r="D649" s="1805">
        <f>D650+D651</f>
        <v>1200</v>
      </c>
      <c r="E649" s="1828">
        <f>E650+E651</f>
        <v>3452466</v>
      </c>
      <c r="F649" s="1885">
        <f>F650+F651</f>
        <v>7150000</v>
      </c>
      <c r="G649" s="1828">
        <f>G650+G651+G653</f>
        <v>6327826</v>
      </c>
      <c r="H649" s="1879">
        <f>H650+H651</f>
        <v>2731214</v>
      </c>
      <c r="I649" s="2975">
        <f>I650+I651+I653</f>
        <v>0</v>
      </c>
      <c r="J649" s="1842">
        <f>J650+J651+J653</f>
        <v>0</v>
      </c>
      <c r="K649" s="627"/>
      <c r="L649" s="19"/>
      <c r="M649" s="627"/>
      <c r="N649" s="653"/>
      <c r="O649" s="19"/>
      <c r="P649" s="16"/>
    </row>
    <row r="650" spans="1:16" s="33" customFormat="1" ht="12.75">
      <c r="A650" s="1849">
        <v>717</v>
      </c>
      <c r="B650" s="1732" t="s">
        <v>98</v>
      </c>
      <c r="C650" s="1732" t="s">
        <v>630</v>
      </c>
      <c r="D650" s="1802">
        <v>1200</v>
      </c>
      <c r="E650" s="1800">
        <v>0</v>
      </c>
      <c r="F650" s="2782"/>
      <c r="G650" s="1800">
        <v>0</v>
      </c>
      <c r="H650" s="1838"/>
      <c r="I650" s="2974"/>
      <c r="J650" s="1845"/>
      <c r="K650" s="627"/>
      <c r="L650" s="19"/>
      <c r="M650" s="627"/>
      <c r="N650" s="653"/>
      <c r="O650" s="19"/>
      <c r="P650" s="16"/>
    </row>
    <row r="651" spans="1:16" s="33" customFormat="1" ht="12.75">
      <c r="A651" s="1849">
        <v>717</v>
      </c>
      <c r="B651" s="1732" t="s">
        <v>98</v>
      </c>
      <c r="C651" s="1732" t="s">
        <v>711</v>
      </c>
      <c r="D651" s="1802">
        <v>0</v>
      </c>
      <c r="E651" s="1800">
        <v>3452466</v>
      </c>
      <c r="F651" s="2782">
        <v>7150000</v>
      </c>
      <c r="G651" s="1800">
        <v>6325500</v>
      </c>
      <c r="H651" s="1838">
        <v>2731214</v>
      </c>
      <c r="I651" s="2974"/>
      <c r="J651" s="1845"/>
      <c r="K651" s="627"/>
      <c r="L651" s="19"/>
      <c r="M651" s="627"/>
      <c r="N651" s="653"/>
      <c r="O651" s="19"/>
      <c r="P651" s="16"/>
    </row>
    <row r="652" spans="1:16" s="33" customFormat="1" ht="12.75">
      <c r="A652" s="1849"/>
      <c r="B652" s="1732"/>
      <c r="C652" s="2290" t="s">
        <v>801</v>
      </c>
      <c r="D652" s="2388"/>
      <c r="E652" s="2392">
        <v>2393188.44</v>
      </c>
      <c r="F652" s="2788">
        <v>6800000</v>
      </c>
      <c r="G652" s="2392">
        <v>5615325</v>
      </c>
      <c r="H652" s="2428">
        <v>3875207</v>
      </c>
      <c r="I652" s="2977"/>
      <c r="J652" s="2662"/>
      <c r="K652" s="627"/>
      <c r="L652" s="19"/>
      <c r="M652" s="627"/>
      <c r="N652" s="653"/>
      <c r="O652" s="19"/>
      <c r="P652" s="16"/>
    </row>
    <row r="653" spans="1:16" s="33" customFormat="1" ht="12.75">
      <c r="A653" s="1849">
        <v>713</v>
      </c>
      <c r="B653" s="1732" t="s">
        <v>113</v>
      </c>
      <c r="C653" s="1732" t="s">
        <v>853</v>
      </c>
      <c r="D653" s="1802"/>
      <c r="E653" s="2403"/>
      <c r="F653" s="2789"/>
      <c r="G653" s="1829">
        <v>2326</v>
      </c>
      <c r="H653" s="2661"/>
      <c r="I653" s="2974"/>
      <c r="J653" s="1845"/>
      <c r="K653" s="627"/>
      <c r="L653" s="19"/>
      <c r="M653" s="627"/>
      <c r="N653" s="653"/>
      <c r="O653" s="19"/>
      <c r="P653" s="16"/>
    </row>
    <row r="654" spans="1:15" s="157" customFormat="1" ht="11.25">
      <c r="A654" s="1841" t="s">
        <v>631</v>
      </c>
      <c r="B654" s="1816"/>
      <c r="C654" s="1816"/>
      <c r="D654" s="1805">
        <f aca="true" t="shared" si="59" ref="D654:J654">SUM(D655,D656,D657,D658,D659,D661)+D660</f>
        <v>0</v>
      </c>
      <c r="E654" s="1828">
        <f t="shared" si="59"/>
        <v>2200</v>
      </c>
      <c r="F654" s="1885">
        <f t="shared" si="59"/>
        <v>0</v>
      </c>
      <c r="G654" s="1828">
        <f t="shared" si="59"/>
        <v>5620</v>
      </c>
      <c r="H654" s="1879">
        <f t="shared" si="59"/>
        <v>0</v>
      </c>
      <c r="I654" s="2975">
        <f t="shared" si="59"/>
        <v>0</v>
      </c>
      <c r="J654" s="1842">
        <f t="shared" si="59"/>
        <v>0</v>
      </c>
      <c r="K654" s="77"/>
      <c r="L654" s="645"/>
      <c r="M654" s="77"/>
      <c r="N654" s="77"/>
      <c r="O654" s="77"/>
    </row>
    <row r="655" spans="1:15" s="33" customFormat="1" ht="12.75">
      <c r="A655" s="1849">
        <v>717</v>
      </c>
      <c r="B655" s="1732" t="s">
        <v>98</v>
      </c>
      <c r="C655" s="1732" t="s">
        <v>85</v>
      </c>
      <c r="D655" s="1802">
        <v>0</v>
      </c>
      <c r="E655" s="1800">
        <v>0</v>
      </c>
      <c r="F655" s="2718">
        <v>0</v>
      </c>
      <c r="G655" s="1800">
        <v>0</v>
      </c>
      <c r="H655" s="1662">
        <v>0</v>
      </c>
      <c r="I655" s="2974">
        <v>0</v>
      </c>
      <c r="J655" s="1845">
        <v>0</v>
      </c>
      <c r="K655" s="76"/>
      <c r="L655" s="19"/>
      <c r="M655" s="67"/>
      <c r="N655" s="67"/>
      <c r="O655" s="67"/>
    </row>
    <row r="656" spans="1:15" ht="12.75">
      <c r="A656" s="1849">
        <v>716</v>
      </c>
      <c r="B656" s="1732"/>
      <c r="C656" s="1732" t="s">
        <v>846</v>
      </c>
      <c r="D656" s="1802">
        <v>0</v>
      </c>
      <c r="E656" s="1800">
        <v>2200</v>
      </c>
      <c r="F656" s="2718">
        <v>0</v>
      </c>
      <c r="G656" s="1800">
        <v>5620</v>
      </c>
      <c r="H656" s="1662">
        <v>0</v>
      </c>
      <c r="I656" s="2974"/>
      <c r="J656" s="1845"/>
      <c r="K656" s="76"/>
      <c r="L656" s="62"/>
      <c r="M656" s="76"/>
      <c r="N656" s="67"/>
      <c r="O656" s="67"/>
    </row>
    <row r="657" spans="1:15" ht="12.75">
      <c r="A657" s="1849">
        <v>717</v>
      </c>
      <c r="B657" s="1732" t="s">
        <v>98</v>
      </c>
      <c r="C657" s="1732" t="s">
        <v>597</v>
      </c>
      <c r="D657" s="1802">
        <v>0</v>
      </c>
      <c r="E657" s="1800">
        <v>0</v>
      </c>
      <c r="F657" s="2718">
        <v>0</v>
      </c>
      <c r="G657" s="1800">
        <v>0</v>
      </c>
      <c r="H657" s="1662">
        <v>0</v>
      </c>
      <c r="I657" s="2974">
        <v>0</v>
      </c>
      <c r="J657" s="1845">
        <v>0</v>
      </c>
      <c r="K657" s="76"/>
      <c r="L657" s="62"/>
      <c r="M657" s="67"/>
      <c r="N657" s="67"/>
      <c r="O657" s="67"/>
    </row>
    <row r="658" spans="1:16" s="33" customFormat="1" ht="12.75">
      <c r="A658" s="1849">
        <v>717</v>
      </c>
      <c r="B658" s="1732" t="s">
        <v>98</v>
      </c>
      <c r="C658" s="1732" t="s">
        <v>632</v>
      </c>
      <c r="D658" s="1802">
        <v>0</v>
      </c>
      <c r="E658" s="1800">
        <v>0</v>
      </c>
      <c r="F658" s="2718">
        <v>0</v>
      </c>
      <c r="G658" s="1800">
        <v>0</v>
      </c>
      <c r="H658" s="1662">
        <v>0</v>
      </c>
      <c r="I658" s="2974">
        <v>0</v>
      </c>
      <c r="J658" s="1845">
        <v>0</v>
      </c>
      <c r="K658" s="76"/>
      <c r="L658" s="62"/>
      <c r="M658" s="67"/>
      <c r="N658" s="76"/>
      <c r="O658" s="76"/>
      <c r="P658" s="16"/>
    </row>
    <row r="659" spans="1:16" s="33" customFormat="1" ht="12.75">
      <c r="A659" s="1849">
        <v>717</v>
      </c>
      <c r="B659" s="1732" t="s">
        <v>98</v>
      </c>
      <c r="C659" s="1732" t="s">
        <v>683</v>
      </c>
      <c r="D659" s="1802">
        <v>0</v>
      </c>
      <c r="E659" s="1800">
        <v>0</v>
      </c>
      <c r="F659" s="2718">
        <v>0</v>
      </c>
      <c r="G659" s="1800">
        <v>0</v>
      </c>
      <c r="H659" s="1662">
        <v>0</v>
      </c>
      <c r="I659" s="2974">
        <v>0</v>
      </c>
      <c r="J659" s="1845">
        <v>0</v>
      </c>
      <c r="K659" s="76"/>
      <c r="L659" s="67"/>
      <c r="M659" s="76"/>
      <c r="N659" s="67"/>
      <c r="O659" s="67"/>
      <c r="P659" s="16"/>
    </row>
    <row r="660" spans="1:16" s="33" customFormat="1" ht="12.75">
      <c r="A660" s="1855">
        <v>717</v>
      </c>
      <c r="B660" s="1820" t="s">
        <v>98</v>
      </c>
      <c r="C660" s="1820" t="s">
        <v>683</v>
      </c>
      <c r="D660" s="1814">
        <v>0</v>
      </c>
      <c r="E660" s="1833">
        <v>0</v>
      </c>
      <c r="F660" s="2790">
        <v>0</v>
      </c>
      <c r="G660" s="1833">
        <v>0</v>
      </c>
      <c r="H660" s="1883">
        <v>0</v>
      </c>
      <c r="I660" s="2974">
        <v>0</v>
      </c>
      <c r="J660" s="1856">
        <v>0</v>
      </c>
      <c r="K660" s="721"/>
      <c r="L660" s="718"/>
      <c r="M660" s="721"/>
      <c r="N660" s="718"/>
      <c r="O660" s="718"/>
      <c r="P660" s="16"/>
    </row>
    <row r="661" spans="1:16" s="33" customFormat="1" ht="12.75">
      <c r="A661" s="1849">
        <v>717</v>
      </c>
      <c r="B661" s="1732" t="s">
        <v>98</v>
      </c>
      <c r="C661" s="1732" t="s">
        <v>684</v>
      </c>
      <c r="D661" s="1802">
        <v>0</v>
      </c>
      <c r="E661" s="1800">
        <v>0</v>
      </c>
      <c r="F661" s="2718">
        <v>0</v>
      </c>
      <c r="G661" s="1800">
        <v>0</v>
      </c>
      <c r="H661" s="1662">
        <v>0</v>
      </c>
      <c r="I661" s="2974">
        <v>0</v>
      </c>
      <c r="J661" s="1845">
        <v>0</v>
      </c>
      <c r="K661" s="76"/>
      <c r="L661" s="67"/>
      <c r="M661" s="67"/>
      <c r="N661" s="67"/>
      <c r="O661" s="67"/>
      <c r="P661" s="16"/>
    </row>
    <row r="662" spans="1:16" s="55" customFormat="1" ht="12.75" hidden="1">
      <c r="A662" s="1857"/>
      <c r="B662" s="1821"/>
      <c r="C662" s="1822"/>
      <c r="D662" s="1815"/>
      <c r="E662" s="1834"/>
      <c r="F662" s="2791"/>
      <c r="G662" s="1834"/>
      <c r="H662" s="1884"/>
      <c r="I662" s="2978"/>
      <c r="J662" s="1858"/>
      <c r="K662" s="76"/>
      <c r="L662" s="67"/>
      <c r="M662" s="19"/>
      <c r="N662" s="67"/>
      <c r="O662" s="19"/>
      <c r="P662" s="16"/>
    </row>
    <row r="663" spans="1:16" s="55" customFormat="1" ht="12.75">
      <c r="A663" s="1846" t="s">
        <v>338</v>
      </c>
      <c r="B663" s="1816" t="s">
        <v>337</v>
      </c>
      <c r="C663" s="1816"/>
      <c r="D663" s="1805">
        <f>SUM(D664:D665)</f>
        <v>0</v>
      </c>
      <c r="E663" s="1828">
        <f aca="true" t="shared" si="60" ref="E663:J663">E664+E665</f>
        <v>1450</v>
      </c>
      <c r="F663" s="1885">
        <f t="shared" si="60"/>
        <v>10000</v>
      </c>
      <c r="G663" s="1828">
        <f t="shared" si="60"/>
        <v>0</v>
      </c>
      <c r="H663" s="1879">
        <f t="shared" si="60"/>
        <v>0</v>
      </c>
      <c r="I663" s="2975">
        <f t="shared" si="60"/>
        <v>0</v>
      </c>
      <c r="J663" s="1842">
        <f t="shared" si="60"/>
        <v>0</v>
      </c>
      <c r="K663" s="76"/>
      <c r="L663" s="67"/>
      <c r="M663" s="19"/>
      <c r="N663" s="67"/>
      <c r="O663" s="19"/>
      <c r="P663" s="16"/>
    </row>
    <row r="664" spans="1:16" s="55" customFormat="1" ht="12.75">
      <c r="A664" s="1864">
        <v>716</v>
      </c>
      <c r="B664" s="2384"/>
      <c r="C664" s="1953" t="s">
        <v>630</v>
      </c>
      <c r="D664" s="2389"/>
      <c r="E664" s="2390">
        <v>1450</v>
      </c>
      <c r="F664" s="2792"/>
      <c r="G664" s="2390"/>
      <c r="H664" s="2425"/>
      <c r="I664" s="2978"/>
      <c r="J664" s="2391"/>
      <c r="K664" s="76"/>
      <c r="L664" s="67"/>
      <c r="M664" s="19"/>
      <c r="N664" s="67"/>
      <c r="O664" s="19"/>
      <c r="P664" s="16"/>
    </row>
    <row r="665" spans="1:16" s="55" customFormat="1" ht="12.75">
      <c r="A665" s="1864">
        <v>717</v>
      </c>
      <c r="B665" s="2384"/>
      <c r="C665" s="1953" t="s">
        <v>819</v>
      </c>
      <c r="D665" s="2389"/>
      <c r="E665" s="2390"/>
      <c r="F665" s="2792">
        <v>10000</v>
      </c>
      <c r="G665" s="2390"/>
      <c r="H665" s="2425"/>
      <c r="I665" s="2978"/>
      <c r="J665" s="2391"/>
      <c r="K665" s="76"/>
      <c r="L665" s="67"/>
      <c r="M665" s="19"/>
      <c r="N665" s="67"/>
      <c r="O665" s="19"/>
      <c r="P665" s="16"/>
    </row>
    <row r="666" spans="1:16" s="55" customFormat="1" ht="12.75">
      <c r="A666" s="1841" t="s">
        <v>345</v>
      </c>
      <c r="B666" s="1816" t="s">
        <v>800</v>
      </c>
      <c r="C666" s="1816"/>
      <c r="D666" s="1805">
        <f>SUM(D667:D669)</f>
        <v>5000</v>
      </c>
      <c r="E666" s="1828">
        <f>E667+E668+E669</f>
        <v>18250</v>
      </c>
      <c r="F666" s="1885">
        <f>SUM(F667:F674)</f>
        <v>19224</v>
      </c>
      <c r="G666" s="1828">
        <f>G667+G668+G669+G670</f>
        <v>19224</v>
      </c>
      <c r="H666" s="1879">
        <f>SUM(H667:H674)</f>
        <v>400000</v>
      </c>
      <c r="I666" s="3032">
        <f>I667+I668+I669+I670</f>
        <v>360000</v>
      </c>
      <c r="J666" s="1842">
        <f>J667+J668+J669+J670</f>
        <v>0</v>
      </c>
      <c r="K666" s="76"/>
      <c r="L666" s="67"/>
      <c r="M666" s="19"/>
      <c r="N666" s="67"/>
      <c r="O666" s="19"/>
      <c r="P666" s="16"/>
    </row>
    <row r="667" spans="1:16" s="55" customFormat="1" ht="12.75">
      <c r="A667" s="1864">
        <v>716</v>
      </c>
      <c r="B667" s="2384"/>
      <c r="C667" s="1953" t="s">
        <v>630</v>
      </c>
      <c r="D667" s="2389">
        <v>5000</v>
      </c>
      <c r="E667" s="2390">
        <v>18250</v>
      </c>
      <c r="F667" s="2792">
        <v>19224</v>
      </c>
      <c r="G667" s="2390">
        <v>19224</v>
      </c>
      <c r="H667" s="1542"/>
      <c r="I667" s="2978"/>
      <c r="J667" s="2391"/>
      <c r="K667" s="76"/>
      <c r="L667" s="67"/>
      <c r="M667" s="19"/>
      <c r="N667" s="67"/>
      <c r="O667" s="19"/>
      <c r="P667" s="16"/>
    </row>
    <row r="668" spans="1:16" s="55" customFormat="1" ht="12.75">
      <c r="A668" s="1864"/>
      <c r="B668" s="2384"/>
      <c r="C668" s="1953" t="s">
        <v>317</v>
      </c>
      <c r="D668" s="2389"/>
      <c r="E668" s="2390"/>
      <c r="F668" s="2792">
        <v>0</v>
      </c>
      <c r="G668" s="2390"/>
      <c r="H668" s="2425">
        <v>0</v>
      </c>
      <c r="I668" s="2978">
        <v>0</v>
      </c>
      <c r="J668" s="2391">
        <v>0</v>
      </c>
      <c r="K668" s="76"/>
      <c r="L668" s="67"/>
      <c r="M668" s="19"/>
      <c r="N668" s="67"/>
      <c r="O668" s="19"/>
      <c r="P668" s="16"/>
    </row>
    <row r="669" spans="1:16" s="55" customFormat="1" ht="12.75">
      <c r="A669" s="1864"/>
      <c r="B669" s="2384"/>
      <c r="C669" s="1953" t="s">
        <v>820</v>
      </c>
      <c r="D669" s="2385"/>
      <c r="E669" s="2386"/>
      <c r="F669" s="2792">
        <v>0</v>
      </c>
      <c r="G669" s="2386"/>
      <c r="H669" s="2425">
        <v>0</v>
      </c>
      <c r="I669" s="2978">
        <v>0</v>
      </c>
      <c r="J669" s="2387">
        <v>0</v>
      </c>
      <c r="K669" s="76"/>
      <c r="L669" s="67"/>
      <c r="M669" s="19"/>
      <c r="N669" s="67"/>
      <c r="O669" s="19"/>
      <c r="P669" s="16"/>
    </row>
    <row r="670" spans="1:16" s="55" customFormat="1" ht="12.75">
      <c r="A670" s="1864">
        <v>717</v>
      </c>
      <c r="B670" s="2384"/>
      <c r="C670" s="1953" t="s">
        <v>821</v>
      </c>
      <c r="D670" s="2385"/>
      <c r="E670" s="2386"/>
      <c r="F670" s="2792">
        <v>0</v>
      </c>
      <c r="G670" s="2390"/>
      <c r="H670" s="2425">
        <v>400000</v>
      </c>
      <c r="I670" s="2979">
        <v>360000</v>
      </c>
      <c r="J670" s="2664">
        <v>0</v>
      </c>
      <c r="K670" s="76"/>
      <c r="L670" s="67"/>
      <c r="M670" s="19"/>
      <c r="N670" s="67"/>
      <c r="O670" s="19"/>
      <c r="P670" s="16"/>
    </row>
    <row r="671" spans="1:15" s="157" customFormat="1" ht="11.25">
      <c r="A671" s="1841" t="s">
        <v>581</v>
      </c>
      <c r="B671" s="1816"/>
      <c r="C671" s="1816"/>
      <c r="D671" s="1805">
        <f>D674</f>
        <v>5000</v>
      </c>
      <c r="E671" s="1828">
        <f>SUM(E674)</f>
        <v>350</v>
      </c>
      <c r="F671" s="1885">
        <v>0</v>
      </c>
      <c r="G671" s="1828">
        <f>SUM(G674)+G673</f>
        <v>6405</v>
      </c>
      <c r="H671" s="1879">
        <v>0</v>
      </c>
      <c r="I671" s="2975">
        <f>I672+I673+I674</f>
        <v>0</v>
      </c>
      <c r="J671" s="1842">
        <f>J672+J673+J674</f>
        <v>0</v>
      </c>
      <c r="K671" s="77"/>
      <c r="L671" s="645"/>
      <c r="M671" s="645"/>
      <c r="N671" s="645"/>
      <c r="O671" s="645"/>
    </row>
    <row r="672" spans="1:15" s="157" customFormat="1" ht="11.25">
      <c r="A672" s="1864">
        <v>717</v>
      </c>
      <c r="B672" s="1827" t="s">
        <v>98</v>
      </c>
      <c r="C672" s="1827" t="s">
        <v>722</v>
      </c>
      <c r="D672" s="1810"/>
      <c r="E672" s="1837"/>
      <c r="F672" s="2793"/>
      <c r="G672" s="1837"/>
      <c r="H672" s="2426"/>
      <c r="I672" s="2967"/>
      <c r="J672" s="1865"/>
      <c r="K672" s="77"/>
      <c r="L672" s="645"/>
      <c r="M672" s="645"/>
      <c r="N672" s="645"/>
      <c r="O672" s="645"/>
    </row>
    <row r="673" spans="1:15" s="157" customFormat="1" ht="11.25">
      <c r="A673" s="1864">
        <v>717</v>
      </c>
      <c r="B673" s="1827">
        <v>1</v>
      </c>
      <c r="C673" s="1827" t="s">
        <v>851</v>
      </c>
      <c r="D673" s="1810"/>
      <c r="E673" s="1837"/>
      <c r="F673" s="2793"/>
      <c r="G673" s="1837">
        <v>6405</v>
      </c>
      <c r="H673" s="2426"/>
      <c r="I673" s="2967"/>
      <c r="J673" s="1865"/>
      <c r="K673" s="77"/>
      <c r="L673" s="645"/>
      <c r="M673" s="645"/>
      <c r="N673" s="645"/>
      <c r="O673" s="645"/>
    </row>
    <row r="674" spans="1:14" ht="12.75">
      <c r="A674" s="1849">
        <v>716</v>
      </c>
      <c r="B674" s="1732"/>
      <c r="C674" s="1732" t="s">
        <v>630</v>
      </c>
      <c r="D674" s="1802">
        <v>5000</v>
      </c>
      <c r="E674" s="1800">
        <v>350</v>
      </c>
      <c r="F674" s="2718"/>
      <c r="G674" s="1800"/>
      <c r="H674" s="1662"/>
      <c r="I674" s="2974"/>
      <c r="J674" s="1845"/>
      <c r="K674" s="627"/>
      <c r="L674" s="62"/>
      <c r="M674" s="67"/>
      <c r="N674" s="67"/>
    </row>
    <row r="675" spans="1:14" ht="12.75" hidden="1">
      <c r="A675" s="1849"/>
      <c r="B675" s="1732"/>
      <c r="C675" s="1732"/>
      <c r="D675" s="1806"/>
      <c r="E675" s="1801"/>
      <c r="F675" s="2784"/>
      <c r="G675" s="1801"/>
      <c r="H675" s="1839"/>
      <c r="I675" s="2974"/>
      <c r="J675" s="1850"/>
      <c r="K675" s="627"/>
      <c r="L675" s="62"/>
      <c r="M675" s="67"/>
      <c r="N675" s="67"/>
    </row>
    <row r="676" spans="1:15" s="157" customFormat="1" ht="11.25">
      <c r="A676" s="1841" t="s">
        <v>596</v>
      </c>
      <c r="B676" s="1816"/>
      <c r="C676" s="1816"/>
      <c r="D676" s="1805">
        <f>D677+D679+D680</f>
        <v>20397</v>
      </c>
      <c r="E676" s="1828">
        <f>E677+E679+E680</f>
        <v>166000</v>
      </c>
      <c r="F676" s="1885">
        <f>F677+F680+F681</f>
        <v>172000</v>
      </c>
      <c r="G676" s="1828">
        <f>G677+G679+G680</f>
        <v>181795</v>
      </c>
      <c r="H676" s="1879">
        <f>H677+H680+H681</f>
        <v>368000</v>
      </c>
      <c r="I676" s="2975">
        <f>I677+I680+I681</f>
        <v>0</v>
      </c>
      <c r="J676" s="1842">
        <f>J677+J680+J681</f>
        <v>0</v>
      </c>
      <c r="K676" s="722"/>
      <c r="L676" s="722"/>
      <c r="M676" s="722"/>
      <c r="N676" s="722"/>
      <c r="O676" s="723"/>
    </row>
    <row r="677" spans="1:15" ht="12.75">
      <c r="A677" s="1849">
        <v>717</v>
      </c>
      <c r="B677" s="1732" t="s">
        <v>100</v>
      </c>
      <c r="C677" s="1732" t="s">
        <v>335</v>
      </c>
      <c r="D677" s="1802">
        <v>12600</v>
      </c>
      <c r="E677" s="1800">
        <v>0</v>
      </c>
      <c r="F677" s="2718">
        <v>0</v>
      </c>
      <c r="G677" s="1800">
        <v>0</v>
      </c>
      <c r="H677" s="1662">
        <v>0</v>
      </c>
      <c r="I677" s="2974">
        <v>0</v>
      </c>
      <c r="J677" s="1845">
        <v>0</v>
      </c>
      <c r="K677" s="627"/>
      <c r="L677" s="62"/>
      <c r="M677" s="67"/>
      <c r="N677" s="67"/>
      <c r="O677" s="67"/>
    </row>
    <row r="678" spans="1:14" ht="12.75" hidden="1">
      <c r="A678" s="1849"/>
      <c r="B678" s="1732"/>
      <c r="C678" s="1732"/>
      <c r="D678" s="1806"/>
      <c r="E678" s="1801"/>
      <c r="F678" s="2784"/>
      <c r="G678" s="1801"/>
      <c r="H678" s="1839"/>
      <c r="I678" s="2974"/>
      <c r="J678" s="1850"/>
      <c r="K678" s="627"/>
      <c r="L678" s="62"/>
      <c r="N678" s="67"/>
    </row>
    <row r="679" spans="1:14" ht="12.75">
      <c r="A679" s="1849">
        <v>717</v>
      </c>
      <c r="B679" s="1732" t="s">
        <v>98</v>
      </c>
      <c r="C679" s="1732" t="s">
        <v>730</v>
      </c>
      <c r="D679" s="1806">
        <v>7797</v>
      </c>
      <c r="E679" s="1800">
        <v>2000</v>
      </c>
      <c r="F679" s="2784"/>
      <c r="G679" s="1800"/>
      <c r="H679" s="2173"/>
      <c r="I679" s="2974"/>
      <c r="J679" s="1850"/>
      <c r="K679" s="627"/>
      <c r="L679" s="62"/>
      <c r="N679" s="67"/>
    </row>
    <row r="680" spans="1:14" ht="12.75">
      <c r="A680" s="1849">
        <v>717</v>
      </c>
      <c r="B680" s="1732" t="s">
        <v>98</v>
      </c>
      <c r="C680" s="1732" t="s">
        <v>634</v>
      </c>
      <c r="D680" s="1806"/>
      <c r="E680" s="1800">
        <v>164000</v>
      </c>
      <c r="F680" s="2782">
        <v>172000</v>
      </c>
      <c r="G680" s="1800">
        <v>181795</v>
      </c>
      <c r="H680" s="1838"/>
      <c r="I680" s="2974"/>
      <c r="J680" s="1845"/>
      <c r="K680" s="627"/>
      <c r="L680" s="62"/>
      <c r="N680" s="67"/>
    </row>
    <row r="681" spans="1:14" ht="12.75">
      <c r="A681" s="1849">
        <v>717</v>
      </c>
      <c r="B681" s="1732" t="s">
        <v>98</v>
      </c>
      <c r="C681" s="1732" t="s">
        <v>823</v>
      </c>
      <c r="D681" s="1806"/>
      <c r="E681" s="1801"/>
      <c r="F681" s="2782">
        <v>0</v>
      </c>
      <c r="G681" s="1801"/>
      <c r="H681" s="1838">
        <v>368000</v>
      </c>
      <c r="I681" s="2974"/>
      <c r="J681" s="1850"/>
      <c r="K681" s="627"/>
      <c r="L681" s="62"/>
      <c r="N681" s="67"/>
    </row>
    <row r="682" spans="1:16" s="720" customFormat="1" ht="11.25">
      <c r="A682" s="1859" t="s">
        <v>601</v>
      </c>
      <c r="B682" s="1823"/>
      <c r="C682" s="1823"/>
      <c r="D682" s="1808">
        <f aca="true" t="shared" si="61" ref="D682:J682">D684+D686</f>
        <v>0</v>
      </c>
      <c r="E682" s="1835">
        <f t="shared" si="61"/>
        <v>0</v>
      </c>
      <c r="F682" s="1885">
        <f t="shared" si="61"/>
        <v>15000</v>
      </c>
      <c r="G682" s="1835">
        <f t="shared" si="61"/>
        <v>16811</v>
      </c>
      <c r="H682" s="1885">
        <f t="shared" si="61"/>
        <v>11759</v>
      </c>
      <c r="I682" s="2976">
        <f t="shared" si="61"/>
        <v>0</v>
      </c>
      <c r="J682" s="1860">
        <f t="shared" si="61"/>
        <v>0</v>
      </c>
      <c r="K682" s="722"/>
      <c r="L682" s="722"/>
      <c r="M682" s="722"/>
      <c r="N682" s="722"/>
      <c r="O682" s="722"/>
      <c r="P682" s="157"/>
    </row>
    <row r="683" spans="1:16" s="55" customFormat="1" ht="12.75">
      <c r="A683" s="1849">
        <v>716</v>
      </c>
      <c r="B683" s="1824"/>
      <c r="C683" s="1732" t="s">
        <v>633</v>
      </c>
      <c r="D683" s="1802">
        <v>0</v>
      </c>
      <c r="E683" s="1800">
        <v>0</v>
      </c>
      <c r="F683" s="2718">
        <v>0</v>
      </c>
      <c r="G683" s="1800"/>
      <c r="H683" s="1662"/>
      <c r="I683" s="2974"/>
      <c r="J683" s="1845"/>
      <c r="K683" s="724"/>
      <c r="L683" s="19"/>
      <c r="M683" s="67"/>
      <c r="N683" s="67"/>
      <c r="O683" s="67"/>
      <c r="P683" s="16"/>
    </row>
    <row r="684" spans="1:15" ht="12.75">
      <c r="A684" s="1849">
        <v>717</v>
      </c>
      <c r="B684" s="1732" t="s">
        <v>98</v>
      </c>
      <c r="C684" s="1732" t="s">
        <v>725</v>
      </c>
      <c r="D684" s="1802">
        <v>0</v>
      </c>
      <c r="E684" s="1800">
        <v>0</v>
      </c>
      <c r="F684" s="2718">
        <v>15000</v>
      </c>
      <c r="G684" s="1800">
        <v>16811</v>
      </c>
      <c r="H684" s="3082">
        <v>11759</v>
      </c>
      <c r="I684" s="2974"/>
      <c r="J684" s="1845"/>
      <c r="K684" s="725"/>
      <c r="L684" s="62"/>
      <c r="M684" s="67"/>
      <c r="N684" s="67"/>
      <c r="O684" s="67"/>
    </row>
    <row r="685" spans="1:15" s="2660" customFormat="1" ht="12.75">
      <c r="A685" s="2653"/>
      <c r="B685" s="2643"/>
      <c r="C685" s="2643" t="s">
        <v>852</v>
      </c>
      <c r="D685" s="2654"/>
      <c r="E685" s="2655"/>
      <c r="F685" s="2794"/>
      <c r="G685" s="2655">
        <v>10000</v>
      </c>
      <c r="H685" s="3094">
        <v>8000</v>
      </c>
      <c r="I685" s="2974"/>
      <c r="J685" s="2656"/>
      <c r="K685" s="2657"/>
      <c r="L685" s="2658"/>
      <c r="M685" s="2659"/>
      <c r="N685" s="2659"/>
      <c r="O685" s="2659"/>
    </row>
    <row r="686" spans="1:15" ht="12.75">
      <c r="A686" s="1849">
        <v>717</v>
      </c>
      <c r="B686" s="1732" t="s">
        <v>100</v>
      </c>
      <c r="C686" s="1732" t="s">
        <v>635</v>
      </c>
      <c r="D686" s="1802">
        <v>0</v>
      </c>
      <c r="E686" s="1800">
        <v>0</v>
      </c>
      <c r="F686" s="2718"/>
      <c r="G686" s="1800"/>
      <c r="H686" s="1662"/>
      <c r="I686" s="2974"/>
      <c r="J686" s="1845"/>
      <c r="K686" s="725"/>
      <c r="L686" s="62"/>
      <c r="M686" s="67"/>
      <c r="N686" s="67"/>
      <c r="O686" s="67"/>
    </row>
    <row r="687" spans="1:15" ht="12.75" hidden="1">
      <c r="A687" s="1861"/>
      <c r="B687" s="1825"/>
      <c r="C687" s="1825"/>
      <c r="D687" s="1802"/>
      <c r="E687" s="1800"/>
      <c r="F687" s="2718"/>
      <c r="G687" s="1800"/>
      <c r="H687" s="1662"/>
      <c r="I687" s="2974"/>
      <c r="J687" s="1845"/>
      <c r="K687" s="725"/>
      <c r="L687" s="62"/>
      <c r="M687" s="67"/>
      <c r="N687" s="67"/>
      <c r="O687" s="67"/>
    </row>
    <row r="688" spans="1:15" ht="12.75" hidden="1">
      <c r="A688" s="1849"/>
      <c r="B688" s="1732"/>
      <c r="C688" s="1732"/>
      <c r="D688" s="1802"/>
      <c r="E688" s="1800"/>
      <c r="F688" s="2782"/>
      <c r="G688" s="1800"/>
      <c r="H688" s="1878"/>
      <c r="I688" s="2974"/>
      <c r="J688" s="1845"/>
      <c r="K688" s="725"/>
      <c r="L688" s="62"/>
      <c r="M688" s="67"/>
      <c r="N688" s="67"/>
      <c r="O688" s="67"/>
    </row>
    <row r="689" spans="1:16" s="720" customFormat="1" ht="11.25">
      <c r="A689" s="1859" t="s">
        <v>871</v>
      </c>
      <c r="B689" s="1823"/>
      <c r="C689" s="1823"/>
      <c r="D689" s="1808">
        <f>D691+D693</f>
        <v>2500</v>
      </c>
      <c r="E689" s="1835">
        <f>E691+E693</f>
        <v>0</v>
      </c>
      <c r="F689" s="1885">
        <f>F691+F693</f>
        <v>0</v>
      </c>
      <c r="G689" s="1835">
        <f>G690</f>
        <v>6322</v>
      </c>
      <c r="H689" s="1885">
        <f>H691+H693</f>
        <v>0</v>
      </c>
      <c r="I689" s="2976">
        <f>I690</f>
        <v>0</v>
      </c>
      <c r="J689" s="1860">
        <f>J690</f>
        <v>0</v>
      </c>
      <c r="K689" s="722"/>
      <c r="L689" s="722"/>
      <c r="M689" s="722"/>
      <c r="N689" s="722"/>
      <c r="O689" s="722"/>
      <c r="P689" s="157"/>
    </row>
    <row r="690" spans="1:16" s="55" customFormat="1" ht="12.75">
      <c r="A690" s="1849">
        <v>713</v>
      </c>
      <c r="B690" s="1824" t="s">
        <v>113</v>
      </c>
      <c r="C690" s="1732" t="s">
        <v>872</v>
      </c>
      <c r="D690" s="1802">
        <v>0</v>
      </c>
      <c r="E690" s="1800">
        <v>0</v>
      </c>
      <c r="F690" s="2718">
        <v>0</v>
      </c>
      <c r="G690" s="1800">
        <v>6322</v>
      </c>
      <c r="H690" s="1662">
        <v>0</v>
      </c>
      <c r="I690" s="2974"/>
      <c r="J690" s="1845"/>
      <c r="K690" s="724"/>
      <c r="L690" s="19"/>
      <c r="M690" s="67"/>
      <c r="N690" s="67"/>
      <c r="O690" s="67"/>
      <c r="P690" s="16"/>
    </row>
    <row r="691" spans="1:15" s="646" customFormat="1" ht="12.75">
      <c r="A691" s="1862" t="s">
        <v>636</v>
      </c>
      <c r="B691" s="1826"/>
      <c r="C691" s="1826"/>
      <c r="D691" s="1809">
        <f>SUM(D692:D696)</f>
        <v>2500</v>
      </c>
      <c r="E691" s="1836">
        <f>SUM(E692:E697)</f>
        <v>0</v>
      </c>
      <c r="F691" s="1886">
        <f>SUM(F692:F696)</f>
        <v>0</v>
      </c>
      <c r="G691" s="1836">
        <f>SUM(G692:G697)</f>
        <v>0</v>
      </c>
      <c r="H691" s="1886">
        <f>SUM(H692:H696)</f>
        <v>0</v>
      </c>
      <c r="I691" s="2980">
        <f>SUM(I692:I696)</f>
        <v>0</v>
      </c>
      <c r="J691" s="1863">
        <f>SUM(J692:J696)</f>
        <v>0</v>
      </c>
      <c r="K691" s="726"/>
      <c r="L691" s="727"/>
      <c r="M691" s="631"/>
      <c r="N691" s="631"/>
      <c r="O691" s="631"/>
    </row>
    <row r="692" spans="1:15" s="646" customFormat="1" ht="12.75">
      <c r="A692" s="1864">
        <v>717</v>
      </c>
      <c r="B692" s="1827" t="s">
        <v>100</v>
      </c>
      <c r="C692" s="1827" t="s">
        <v>426</v>
      </c>
      <c r="D692" s="1810">
        <v>2500</v>
      </c>
      <c r="E692" s="1837">
        <v>0</v>
      </c>
      <c r="F692" s="2793">
        <v>0</v>
      </c>
      <c r="G692" s="1837">
        <v>0</v>
      </c>
      <c r="H692" s="1840">
        <v>0</v>
      </c>
      <c r="I692" s="2967">
        <v>0</v>
      </c>
      <c r="J692" s="1865">
        <v>0</v>
      </c>
      <c r="K692" s="726"/>
      <c r="L692" s="727"/>
      <c r="M692" s="631"/>
      <c r="N692" s="631"/>
      <c r="O692" s="631"/>
    </row>
    <row r="693" spans="1:15" s="646" customFormat="1" ht="12.75">
      <c r="A693" s="1864">
        <v>717</v>
      </c>
      <c r="B693" s="1827" t="s">
        <v>100</v>
      </c>
      <c r="C693" s="1827" t="s">
        <v>426</v>
      </c>
      <c r="D693" s="1810">
        <v>0</v>
      </c>
      <c r="E693" s="1837">
        <v>0</v>
      </c>
      <c r="F693" s="2793">
        <v>0</v>
      </c>
      <c r="G693" s="1837">
        <v>0</v>
      </c>
      <c r="H693" s="1840">
        <v>0</v>
      </c>
      <c r="I693" s="2967">
        <v>0</v>
      </c>
      <c r="J693" s="1865">
        <v>0</v>
      </c>
      <c r="K693" s="726"/>
      <c r="L693" s="727"/>
      <c r="M693" s="631"/>
      <c r="N693" s="631"/>
      <c r="O693" s="631"/>
    </row>
    <row r="694" spans="1:15" s="646" customFormat="1" ht="12.75">
      <c r="A694" s="1864">
        <v>716</v>
      </c>
      <c r="B694" s="1827"/>
      <c r="C694" s="1827" t="s">
        <v>335</v>
      </c>
      <c r="D694" s="1810">
        <v>0</v>
      </c>
      <c r="E694" s="1837">
        <v>0</v>
      </c>
      <c r="F694" s="2793">
        <v>0</v>
      </c>
      <c r="G694" s="1837">
        <v>0</v>
      </c>
      <c r="H694" s="1840">
        <v>0</v>
      </c>
      <c r="I694" s="2967">
        <v>0</v>
      </c>
      <c r="J694" s="1865">
        <v>0</v>
      </c>
      <c r="K694" s="726"/>
      <c r="L694" s="727"/>
      <c r="M694" s="631"/>
      <c r="N694" s="631"/>
      <c r="O694" s="631"/>
    </row>
    <row r="695" spans="1:15" s="646" customFormat="1" ht="12.75">
      <c r="A695" s="1864">
        <v>713</v>
      </c>
      <c r="B695" s="1827" t="s">
        <v>113</v>
      </c>
      <c r="C695" s="1827" t="s">
        <v>465</v>
      </c>
      <c r="D695" s="1810">
        <v>0</v>
      </c>
      <c r="E695" s="1837">
        <v>0</v>
      </c>
      <c r="F695" s="2793">
        <v>0</v>
      </c>
      <c r="G695" s="1837">
        <v>0</v>
      </c>
      <c r="H695" s="1840">
        <v>0</v>
      </c>
      <c r="I695" s="2967">
        <v>0</v>
      </c>
      <c r="J695" s="1865">
        <v>0</v>
      </c>
      <c r="K695" s="726"/>
      <c r="L695" s="727"/>
      <c r="M695" s="631"/>
      <c r="N695" s="631"/>
      <c r="O695" s="631"/>
    </row>
    <row r="696" spans="1:15" ht="13.5" thickBot="1">
      <c r="A696" s="1866">
        <v>719</v>
      </c>
      <c r="B696" s="1867" t="s">
        <v>113</v>
      </c>
      <c r="C696" s="1867" t="s">
        <v>685</v>
      </c>
      <c r="D696" s="1868">
        <v>0</v>
      </c>
      <c r="E696" s="1870">
        <v>0</v>
      </c>
      <c r="F696" s="2795">
        <v>0</v>
      </c>
      <c r="G696" s="1870">
        <v>0</v>
      </c>
      <c r="H696" s="1887">
        <v>0</v>
      </c>
      <c r="I696" s="2981">
        <v>0</v>
      </c>
      <c r="J696" s="1871">
        <v>0</v>
      </c>
      <c r="K696" s="725"/>
      <c r="L696" s="62"/>
      <c r="M696" s="67"/>
      <c r="N696" s="67"/>
      <c r="O696" s="67"/>
    </row>
    <row r="697" spans="1:15" ht="13.5" hidden="1" thickBot="1">
      <c r="A697" s="1235"/>
      <c r="B697" s="792"/>
      <c r="C697" s="1236"/>
      <c r="D697" s="1746"/>
      <c r="E697" s="1747"/>
      <c r="F697" s="2796"/>
      <c r="G697" s="1747"/>
      <c r="H697" s="1748"/>
      <c r="I697" s="2982"/>
      <c r="J697" s="1749"/>
      <c r="K697" s="725"/>
      <c r="L697" s="62"/>
      <c r="M697" s="67"/>
      <c r="N697" s="67"/>
      <c r="O697" s="67"/>
    </row>
    <row r="698" spans="1:16" s="33" customFormat="1" ht="13.5" thickBot="1">
      <c r="A698" s="2829" t="s">
        <v>637</v>
      </c>
      <c r="B698" s="2830"/>
      <c r="C698" s="2834"/>
      <c r="D698" s="2835">
        <f>D620+D625+D635+D639+D642+D654+D671+D676+D682+D691+D649</f>
        <v>32741</v>
      </c>
      <c r="E698" s="2836">
        <f>E620+E625+E635+E639+E642+E654+E671+E676+E682+E691+E633+E649+E663+E666+E629</f>
        <v>3657374</v>
      </c>
      <c r="F698" s="2828">
        <f>F620+F625+F635+F639+F642+F654+F671+F676+F682+F691+F649+F666+F663+F629</f>
        <v>7366224</v>
      </c>
      <c r="G698" s="2836">
        <f>G620+G625+G635+G639+G642+G654+G671+G676+G682+G691+G633+G649+G663+G666+G629+G689</f>
        <v>6567266</v>
      </c>
      <c r="H698" s="2828">
        <f>H620+H625+H635+H639+H642+H654+H671+H676+H682+H691+H649+H666+H663+H629</f>
        <v>3595973</v>
      </c>
      <c r="I698" s="3033">
        <f>I620+I625+I635+I639+I642+I654+I671+I676+I682+I691+I649+I666+I663+I629</f>
        <v>360000</v>
      </c>
      <c r="J698" s="2832">
        <f>J620+J625+J635+J639+J642+J654+J671+J676+J682+J691+J649+J666+J663+J629</f>
        <v>0</v>
      </c>
      <c r="K698" s="728"/>
      <c r="L698" s="19"/>
      <c r="M698" s="576"/>
      <c r="N698" s="576"/>
      <c r="O698" s="576"/>
      <c r="P698" s="161"/>
    </row>
    <row r="699" spans="1:16" s="33" customFormat="1" ht="12.75">
      <c r="A699" s="149"/>
      <c r="B699" s="19"/>
      <c r="C699" s="149"/>
      <c r="D699" s="77"/>
      <c r="E699" s="93"/>
      <c r="F699" s="2753"/>
      <c r="G699" s="93"/>
      <c r="H699" s="93"/>
      <c r="I699" s="2947" t="s">
        <v>856</v>
      </c>
      <c r="J699" s="93"/>
      <c r="K699" s="728"/>
      <c r="L699" s="19"/>
      <c r="M699" s="576"/>
      <c r="N699" s="576"/>
      <c r="O699" s="576"/>
      <c r="P699" s="161"/>
    </row>
    <row r="700" spans="1:16" s="33" customFormat="1" ht="12.75">
      <c r="A700" s="149"/>
      <c r="B700" s="19"/>
      <c r="C700" s="149"/>
      <c r="D700" s="77"/>
      <c r="E700" s="93"/>
      <c r="F700" s="2753"/>
      <c r="G700" s="93"/>
      <c r="H700" s="93"/>
      <c r="I700" s="2947"/>
      <c r="J700" s="93"/>
      <c r="K700" s="728"/>
      <c r="L700" s="19"/>
      <c r="M700" s="576"/>
      <c r="N700" s="576"/>
      <c r="O700" s="576"/>
      <c r="P700" s="161"/>
    </row>
    <row r="701" spans="1:16" s="33" customFormat="1" ht="12.75">
      <c r="A701" s="16"/>
      <c r="B701" s="16"/>
      <c r="C701" s="16"/>
      <c r="D701" s="16"/>
      <c r="E701" s="562"/>
      <c r="F701" s="2085"/>
      <c r="G701" s="562"/>
      <c r="H701" s="562"/>
      <c r="I701" s="2936"/>
      <c r="J701" s="563"/>
      <c r="K701" s="67"/>
      <c r="L701" s="67"/>
      <c r="M701" s="19"/>
      <c r="N701" s="19"/>
      <c r="O701" s="19"/>
      <c r="P701" s="16"/>
    </row>
    <row r="702" spans="1:16" s="33" customFormat="1" ht="12.75" hidden="1">
      <c r="A702" s="16"/>
      <c r="B702" s="16"/>
      <c r="C702" s="16"/>
      <c r="D702" s="16"/>
      <c r="E702" s="562"/>
      <c r="F702" s="2085"/>
      <c r="G702" s="562"/>
      <c r="H702" s="562"/>
      <c r="I702" s="2936"/>
      <c r="J702" s="563"/>
      <c r="K702" s="67"/>
      <c r="L702" s="67"/>
      <c r="M702" s="19"/>
      <c r="N702" s="19"/>
      <c r="O702" s="19"/>
      <c r="P702" s="16"/>
    </row>
    <row r="703" spans="1:16" s="33" customFormat="1" ht="12.75" hidden="1">
      <c r="A703" s="16"/>
      <c r="B703" s="16"/>
      <c r="C703" s="16"/>
      <c r="D703" s="16"/>
      <c r="E703" s="562"/>
      <c r="F703" s="2085"/>
      <c r="G703" s="562"/>
      <c r="H703" s="562"/>
      <c r="I703" s="2936"/>
      <c r="J703" s="563"/>
      <c r="K703" s="67"/>
      <c r="L703" s="67"/>
      <c r="M703" s="19"/>
      <c r="N703" s="19"/>
      <c r="O703" s="19"/>
      <c r="P703" s="16"/>
    </row>
    <row r="704" spans="1:16" s="33" customFormat="1" ht="12.75" hidden="1">
      <c r="A704" s="16"/>
      <c r="B704" s="16"/>
      <c r="C704" s="16"/>
      <c r="D704" s="16"/>
      <c r="E704" s="562"/>
      <c r="F704" s="2085"/>
      <c r="G704" s="562"/>
      <c r="H704" s="562"/>
      <c r="I704" s="2936"/>
      <c r="J704" s="563"/>
      <c r="K704" s="67"/>
      <c r="L704" s="67"/>
      <c r="M704" s="19"/>
      <c r="N704" s="19"/>
      <c r="O704" s="19"/>
      <c r="P704" s="16"/>
    </row>
    <row r="705" spans="1:16" s="33" customFormat="1" ht="12.75" hidden="1">
      <c r="A705" s="16"/>
      <c r="B705" s="16"/>
      <c r="C705" s="16"/>
      <c r="D705" s="16"/>
      <c r="E705" s="562"/>
      <c r="F705" s="2085"/>
      <c r="G705" s="562"/>
      <c r="H705" s="562"/>
      <c r="I705" s="2936"/>
      <c r="J705" s="563"/>
      <c r="K705" s="67"/>
      <c r="L705" s="67"/>
      <c r="M705" s="19"/>
      <c r="N705" s="19"/>
      <c r="O705" s="19"/>
      <c r="P705" s="16"/>
    </row>
    <row r="706" spans="1:16" s="33" customFormat="1" ht="12.75" hidden="1">
      <c r="A706" s="16"/>
      <c r="B706" s="16"/>
      <c r="C706" s="16"/>
      <c r="D706" s="16"/>
      <c r="E706" s="562"/>
      <c r="F706" s="2085"/>
      <c r="G706" s="562"/>
      <c r="H706" s="562"/>
      <c r="I706" s="2936"/>
      <c r="J706" s="563"/>
      <c r="K706" s="67"/>
      <c r="L706" s="67"/>
      <c r="M706" s="19"/>
      <c r="N706" s="19"/>
      <c r="O706" s="19"/>
      <c r="P706" s="16"/>
    </row>
    <row r="707" spans="1:16" s="33" customFormat="1" ht="12.75" hidden="1">
      <c r="A707" s="16"/>
      <c r="B707" s="16"/>
      <c r="C707" s="16"/>
      <c r="D707" s="16"/>
      <c r="E707" s="562"/>
      <c r="F707" s="2085"/>
      <c r="G707" s="562"/>
      <c r="H707" s="562"/>
      <c r="I707" s="2936"/>
      <c r="J707" s="563"/>
      <c r="K707" s="67"/>
      <c r="L707" s="67"/>
      <c r="M707" s="19"/>
      <c r="N707" s="19"/>
      <c r="O707" s="19"/>
      <c r="P707" s="16"/>
    </row>
    <row r="708" spans="1:16" s="33" customFormat="1" ht="12.75" hidden="1">
      <c r="A708" s="16"/>
      <c r="B708" s="16"/>
      <c r="C708" s="16"/>
      <c r="D708" s="16"/>
      <c r="E708" s="562"/>
      <c r="F708" s="2085"/>
      <c r="G708" s="562"/>
      <c r="H708" s="562"/>
      <c r="I708" s="2936"/>
      <c r="J708" s="563"/>
      <c r="K708" s="67"/>
      <c r="L708" s="67"/>
      <c r="M708" s="19"/>
      <c r="N708" s="19"/>
      <c r="O708" s="19"/>
      <c r="P708" s="16"/>
    </row>
    <row r="709" spans="1:16" s="33" customFormat="1" ht="12.75" hidden="1">
      <c r="A709" s="16"/>
      <c r="B709" s="16"/>
      <c r="C709" s="16"/>
      <c r="D709" s="16"/>
      <c r="E709" s="562"/>
      <c r="F709" s="2085"/>
      <c r="G709" s="562"/>
      <c r="H709" s="562"/>
      <c r="I709" s="2936"/>
      <c r="J709" s="563"/>
      <c r="K709" s="67"/>
      <c r="L709" s="67"/>
      <c r="M709" s="19"/>
      <c r="N709" s="19"/>
      <c r="O709" s="19"/>
      <c r="P709" s="16"/>
    </row>
    <row r="710" spans="1:16" s="33" customFormat="1" ht="13.5" thickBot="1">
      <c r="A710" s="16"/>
      <c r="B710" s="16"/>
      <c r="C710" s="565" t="s">
        <v>638</v>
      </c>
      <c r="D710" s="565"/>
      <c r="E710" s="562"/>
      <c r="F710" s="2085"/>
      <c r="G710" s="562"/>
      <c r="H710" s="562"/>
      <c r="I710" s="2936"/>
      <c r="J710" s="563"/>
      <c r="K710" s="67"/>
      <c r="L710" s="67"/>
      <c r="M710" s="19"/>
      <c r="N710" s="19"/>
      <c r="O710" s="19"/>
      <c r="P710" s="16"/>
    </row>
    <row r="711" spans="1:16" s="33" customFormat="1" ht="13.5" hidden="1" thickBot="1">
      <c r="A711" s="16"/>
      <c r="B711" s="16"/>
      <c r="C711" s="16"/>
      <c r="D711" s="16"/>
      <c r="E711" s="562"/>
      <c r="F711" s="2085"/>
      <c r="G711" s="562"/>
      <c r="H711" s="562"/>
      <c r="I711" s="2936"/>
      <c r="J711" s="563"/>
      <c r="K711" s="67"/>
      <c r="L711" s="67"/>
      <c r="M711" s="19"/>
      <c r="N711" s="19"/>
      <c r="O711" s="19"/>
      <c r="P711" s="16"/>
    </row>
    <row r="712" spans="1:15" s="642" customFormat="1" ht="18.75" customHeight="1">
      <c r="A712" s="567" t="s">
        <v>447</v>
      </c>
      <c r="B712" s="568"/>
      <c r="C712" s="569"/>
      <c r="D712" s="569">
        <v>2017</v>
      </c>
      <c r="E712" s="2636">
        <v>2018</v>
      </c>
      <c r="F712" s="2801">
        <v>2019</v>
      </c>
      <c r="G712" s="2636" t="s">
        <v>881</v>
      </c>
      <c r="H712" s="2637">
        <v>2020</v>
      </c>
      <c r="I712" s="3041" t="s">
        <v>882</v>
      </c>
      <c r="J712" s="3042">
        <v>2022</v>
      </c>
      <c r="K712" s="639"/>
      <c r="L712" s="640"/>
      <c r="M712" s="641"/>
      <c r="N712" s="570"/>
      <c r="O712" s="571"/>
    </row>
    <row r="713" spans="1:16" s="55" customFormat="1" ht="12.75">
      <c r="A713" s="41">
        <v>819</v>
      </c>
      <c r="B713" s="42" t="s">
        <v>100</v>
      </c>
      <c r="C713" s="967" t="s">
        <v>889</v>
      </c>
      <c r="D713" s="1543">
        <v>20000</v>
      </c>
      <c r="E713" s="1543">
        <v>9200</v>
      </c>
      <c r="F713" s="2679">
        <v>6800</v>
      </c>
      <c r="G713" s="1543">
        <v>3200</v>
      </c>
      <c r="H713" s="1542">
        <v>34600</v>
      </c>
      <c r="I713" s="2940"/>
      <c r="J713" s="1545"/>
      <c r="K713" s="76"/>
      <c r="L713" s="19"/>
      <c r="M713" s="76"/>
      <c r="N713" s="67"/>
      <c r="O713" s="67"/>
      <c r="P713" s="16"/>
    </row>
    <row r="714" spans="1:16" s="55" customFormat="1" ht="11.25">
      <c r="A714" s="41">
        <v>819</v>
      </c>
      <c r="B714" s="42" t="s">
        <v>122</v>
      </c>
      <c r="C714" s="2626" t="s">
        <v>835</v>
      </c>
      <c r="D714" s="116"/>
      <c r="E714" s="143"/>
      <c r="F714" s="116"/>
      <c r="G714" s="143">
        <v>30</v>
      </c>
      <c r="H714" s="1542"/>
      <c r="I714" s="2983">
        <v>0</v>
      </c>
      <c r="J714" s="1544">
        <v>0</v>
      </c>
      <c r="K714" s="2064"/>
      <c r="L714" s="2064"/>
      <c r="M714" s="2931"/>
      <c r="N714" s="2932"/>
      <c r="O714" s="2933"/>
      <c r="P714" s="2931"/>
    </row>
    <row r="715" spans="1:16" s="55" customFormat="1" ht="12.75">
      <c r="A715" s="41">
        <v>814</v>
      </c>
      <c r="B715" s="42" t="s">
        <v>98</v>
      </c>
      <c r="C715" s="1301" t="s">
        <v>830</v>
      </c>
      <c r="D715" s="1543"/>
      <c r="E715" s="1543">
        <v>5000</v>
      </c>
      <c r="F715" s="2679"/>
      <c r="G715" s="1543">
        <v>0</v>
      </c>
      <c r="H715" s="1542"/>
      <c r="I715" s="2940"/>
      <c r="J715" s="1536"/>
      <c r="K715" s="2064"/>
      <c r="L715" s="2084"/>
      <c r="M715" s="2064"/>
      <c r="N715" s="2073"/>
      <c r="O715" s="2073"/>
      <c r="P715" s="2084"/>
    </row>
    <row r="716" spans="1:16" s="55" customFormat="1" ht="12.75">
      <c r="A716" s="41">
        <v>812</v>
      </c>
      <c r="B716" s="42"/>
      <c r="C716" s="1732" t="s">
        <v>804</v>
      </c>
      <c r="D716" s="1543">
        <v>3594</v>
      </c>
      <c r="E716" s="1543">
        <v>0</v>
      </c>
      <c r="F716" s="2679"/>
      <c r="G716" s="1543">
        <v>3150</v>
      </c>
      <c r="H716" s="1542"/>
      <c r="I716" s="2940"/>
      <c r="J716" s="1545"/>
      <c r="K716" s="76"/>
      <c r="L716" s="19"/>
      <c r="M716" s="76"/>
      <c r="N716" s="67"/>
      <c r="O716" s="67"/>
      <c r="P716" s="16"/>
    </row>
    <row r="717" spans="1:16" s="55" customFormat="1" ht="12.75">
      <c r="A717" s="41">
        <v>821</v>
      </c>
      <c r="B717" s="42"/>
      <c r="C717" s="1732" t="s">
        <v>858</v>
      </c>
      <c r="D717" s="1543">
        <v>0</v>
      </c>
      <c r="E717" s="1543">
        <v>2391000</v>
      </c>
      <c r="F717" s="2679">
        <v>6800000</v>
      </c>
      <c r="G717" s="1543">
        <v>5615325</v>
      </c>
      <c r="H717" s="2086">
        <v>3920809</v>
      </c>
      <c r="I717" s="2962" t="s">
        <v>890</v>
      </c>
      <c r="J717" s="3047">
        <v>78180</v>
      </c>
      <c r="K717" s="76"/>
      <c r="L717" s="19"/>
      <c r="M717" s="76"/>
      <c r="N717" s="67"/>
      <c r="O717" s="67"/>
      <c r="P717" s="16"/>
    </row>
    <row r="718" spans="1:16" s="55" customFormat="1" ht="13.5" thickBot="1">
      <c r="A718" s="41">
        <v>821</v>
      </c>
      <c r="B718" s="42"/>
      <c r="C718" s="1888" t="s">
        <v>857</v>
      </c>
      <c r="D718" s="1543">
        <v>20000</v>
      </c>
      <c r="E718" s="1543">
        <v>0</v>
      </c>
      <c r="F718" s="2684">
        <v>0</v>
      </c>
      <c r="G718" s="1543">
        <v>0</v>
      </c>
      <c r="H718" s="1614">
        <v>0</v>
      </c>
      <c r="I718" s="2962"/>
      <c r="J718" s="3047">
        <v>0</v>
      </c>
      <c r="K718" s="76"/>
      <c r="L718" s="2084"/>
      <c r="M718" s="76"/>
      <c r="N718" s="76"/>
      <c r="O718" s="76"/>
      <c r="P718" s="16"/>
    </row>
    <row r="719" spans="1:15" ht="13.5" thickBot="1">
      <c r="A719" s="2837" t="s">
        <v>639</v>
      </c>
      <c r="B719" s="2838"/>
      <c r="C719" s="2839"/>
      <c r="D719" s="2840">
        <f>SUM(D713,D718)+D716</f>
        <v>43594</v>
      </c>
      <c r="E719" s="2841">
        <f>E713+E718+E717+E715</f>
        <v>2405200</v>
      </c>
      <c r="F719" s="2827">
        <f>F713+F718+F717</f>
        <v>6806800</v>
      </c>
      <c r="G719" s="2841">
        <f>G713+G718+G717+G715+G714+G716</f>
        <v>5621705</v>
      </c>
      <c r="H719" s="2827">
        <f>H713+H718+H717</f>
        <v>3955409</v>
      </c>
      <c r="I719" s="3034">
        <f>I713+I718+I717</f>
        <v>78180</v>
      </c>
      <c r="J719" s="2827">
        <f>J713+J718+J717</f>
        <v>78180</v>
      </c>
      <c r="K719" s="77"/>
      <c r="L719" s="631"/>
      <c r="M719" s="576"/>
      <c r="N719" s="576"/>
      <c r="O719" s="576"/>
    </row>
    <row r="720" spans="1:15" ht="12.75">
      <c r="A720" s="149"/>
      <c r="B720" s="19"/>
      <c r="C720" s="149"/>
      <c r="D720" s="137"/>
      <c r="E720" s="137"/>
      <c r="F720" s="2727"/>
      <c r="G720" s="137"/>
      <c r="H720" s="137"/>
      <c r="I720" s="2947"/>
      <c r="J720" s="137"/>
      <c r="K720" s="77"/>
      <c r="L720" s="631"/>
      <c r="M720" s="576"/>
      <c r="N720" s="576"/>
      <c r="O720" s="576"/>
    </row>
    <row r="721" spans="1:15" ht="12.75">
      <c r="A721" s="149"/>
      <c r="B721" s="19"/>
      <c r="C721" s="149"/>
      <c r="D721" s="137"/>
      <c r="E721" s="137"/>
      <c r="F721" s="2727"/>
      <c r="G721" s="137"/>
      <c r="H721" s="137"/>
      <c r="I721" s="2947"/>
      <c r="J721" s="137"/>
      <c r="K721" s="77"/>
      <c r="L721" s="631"/>
      <c r="M721" s="576"/>
      <c r="N721" s="576"/>
      <c r="O721" s="576"/>
    </row>
    <row r="722" spans="1:15" ht="12.75">
      <c r="A722" s="149"/>
      <c r="B722" s="19"/>
      <c r="C722" s="149"/>
      <c r="D722" s="137"/>
      <c r="E722" s="137"/>
      <c r="F722" s="2727"/>
      <c r="G722" s="137"/>
      <c r="H722" s="137"/>
      <c r="I722" s="2947"/>
      <c r="J722" s="137"/>
      <c r="K722" s="77"/>
      <c r="L722" s="631"/>
      <c r="M722" s="576"/>
      <c r="N722" s="576"/>
      <c r="O722" s="576"/>
    </row>
    <row r="723" spans="1:15" ht="12.75">
      <c r="A723" s="149"/>
      <c r="B723" s="19"/>
      <c r="C723" s="149"/>
      <c r="D723" s="137"/>
      <c r="E723" s="137"/>
      <c r="F723" s="2727"/>
      <c r="G723" s="137"/>
      <c r="H723" s="137"/>
      <c r="I723" s="2947"/>
      <c r="J723" s="137"/>
      <c r="K723" s="77"/>
      <c r="L723" s="631"/>
      <c r="M723" s="576"/>
      <c r="N723" s="576"/>
      <c r="O723" s="576"/>
    </row>
    <row r="724" spans="1:15" ht="12.75">
      <c r="A724" s="149"/>
      <c r="B724" s="19"/>
      <c r="C724" s="149"/>
      <c r="D724" s="137"/>
      <c r="E724" s="137"/>
      <c r="F724" s="2727"/>
      <c r="G724" s="137"/>
      <c r="H724" s="137"/>
      <c r="I724" s="2947"/>
      <c r="J724" s="137"/>
      <c r="K724" s="77"/>
      <c r="L724" s="631"/>
      <c r="M724" s="576"/>
      <c r="N724" s="576"/>
      <c r="O724" s="576"/>
    </row>
    <row r="725" spans="1:15" ht="12.75">
      <c r="A725" s="149"/>
      <c r="B725" s="19"/>
      <c r="C725" s="149"/>
      <c r="D725" s="137"/>
      <c r="E725" s="137"/>
      <c r="F725" s="2727"/>
      <c r="G725" s="137"/>
      <c r="H725" s="137"/>
      <c r="I725" s="2947"/>
      <c r="J725" s="137"/>
      <c r="K725" s="77"/>
      <c r="L725" s="631"/>
      <c r="M725" s="576"/>
      <c r="N725" s="576"/>
      <c r="O725" s="576"/>
    </row>
    <row r="726" spans="1:15" ht="12.75">
      <c r="A726" s="149"/>
      <c r="B726" s="19"/>
      <c r="C726" s="149"/>
      <c r="D726" s="137"/>
      <c r="E726" s="137"/>
      <c r="F726" s="2727"/>
      <c r="G726" s="137"/>
      <c r="H726" s="137"/>
      <c r="I726" s="2947"/>
      <c r="J726" s="137"/>
      <c r="K726" s="77"/>
      <c r="L726" s="631"/>
      <c r="M726" s="576"/>
      <c r="N726" s="576"/>
      <c r="O726" s="576"/>
    </row>
    <row r="727" spans="1:15" ht="12.75">
      <c r="A727" s="149"/>
      <c r="B727" s="19"/>
      <c r="C727" s="149"/>
      <c r="D727" s="137"/>
      <c r="E727" s="137"/>
      <c r="F727" s="2727"/>
      <c r="G727" s="137"/>
      <c r="H727" s="137"/>
      <c r="I727" s="2947"/>
      <c r="J727" s="137"/>
      <c r="K727" s="77"/>
      <c r="L727" s="631"/>
      <c r="M727" s="576"/>
      <c r="N727" s="576"/>
      <c r="O727" s="576"/>
    </row>
    <row r="728" spans="1:15" ht="12.75">
      <c r="A728" s="149"/>
      <c r="B728" s="19"/>
      <c r="C728" s="149"/>
      <c r="D728" s="137"/>
      <c r="E728" s="137"/>
      <c r="F728" s="2727"/>
      <c r="G728" s="137"/>
      <c r="H728" s="137"/>
      <c r="I728" s="2947"/>
      <c r="J728" s="137"/>
      <c r="K728" s="77"/>
      <c r="L728" s="631"/>
      <c r="M728" s="576"/>
      <c r="N728" s="576"/>
      <c r="O728" s="576"/>
    </row>
    <row r="729" spans="1:15" ht="12.75">
      <c r="A729" s="149"/>
      <c r="B729" s="19"/>
      <c r="C729" s="149"/>
      <c r="D729" s="137"/>
      <c r="E729" s="137"/>
      <c r="F729" s="2727"/>
      <c r="G729" s="137"/>
      <c r="H729" s="137"/>
      <c r="I729" s="2947"/>
      <c r="J729" s="137"/>
      <c r="K729" s="77"/>
      <c r="L729" s="631"/>
      <c r="M729" s="576"/>
      <c r="N729" s="576"/>
      <c r="O729" s="576"/>
    </row>
    <row r="730" spans="1:15" ht="12.75">
      <c r="A730" s="149"/>
      <c r="B730" s="19"/>
      <c r="C730" s="149"/>
      <c r="D730" s="137"/>
      <c r="E730" s="137"/>
      <c r="F730" s="2727"/>
      <c r="G730" s="137"/>
      <c r="H730" s="137"/>
      <c r="I730" s="2947"/>
      <c r="J730" s="137"/>
      <c r="K730" s="77"/>
      <c r="L730" s="631"/>
      <c r="M730" s="576"/>
      <c r="N730" s="576"/>
      <c r="O730" s="576"/>
    </row>
    <row r="731" spans="1:15" ht="12.75">
      <c r="A731" s="149"/>
      <c r="B731" s="19"/>
      <c r="C731" s="149"/>
      <c r="D731" s="137"/>
      <c r="E731" s="137"/>
      <c r="F731" s="2727"/>
      <c r="G731" s="137"/>
      <c r="H731" s="137"/>
      <c r="I731" s="2947"/>
      <c r="J731" s="137"/>
      <c r="K731" s="77"/>
      <c r="L731" s="631"/>
      <c r="M731" s="576"/>
      <c r="N731" s="576"/>
      <c r="O731" s="576"/>
    </row>
    <row r="732" spans="1:15" ht="12.75">
      <c r="A732" s="149"/>
      <c r="B732" s="19"/>
      <c r="C732" s="149"/>
      <c r="D732" s="137"/>
      <c r="E732" s="137"/>
      <c r="F732" s="2727"/>
      <c r="G732" s="137"/>
      <c r="H732" s="137"/>
      <c r="I732" s="2947"/>
      <c r="J732" s="137"/>
      <c r="K732" s="77"/>
      <c r="L732" s="631"/>
      <c r="M732" s="576"/>
      <c r="N732" s="576"/>
      <c r="O732" s="576"/>
    </row>
    <row r="733" spans="1:15" ht="12.75">
      <c r="A733" s="149"/>
      <c r="B733" s="19"/>
      <c r="C733" s="149"/>
      <c r="D733" s="137"/>
      <c r="E733" s="137"/>
      <c r="F733" s="2727"/>
      <c r="G733" s="137"/>
      <c r="H733" s="137"/>
      <c r="I733" s="2947"/>
      <c r="J733" s="137"/>
      <c r="K733" s="77"/>
      <c r="L733" s="631"/>
      <c r="M733" s="576"/>
      <c r="N733" s="576"/>
      <c r="O733" s="576"/>
    </row>
    <row r="734" spans="1:15" ht="12.75" hidden="1">
      <c r="A734" s="149"/>
      <c r="B734" s="19"/>
      <c r="C734" s="149"/>
      <c r="D734" s="137"/>
      <c r="E734" s="137"/>
      <c r="F734" s="2727"/>
      <c r="G734" s="137"/>
      <c r="H734" s="137"/>
      <c r="I734" s="2947"/>
      <c r="J734" s="137"/>
      <c r="K734" s="77"/>
      <c r="L734" s="631"/>
      <c r="M734" s="576"/>
      <c r="N734" s="576"/>
      <c r="O734" s="576"/>
    </row>
    <row r="735" spans="1:15" ht="12.75" hidden="1">
      <c r="A735" s="149"/>
      <c r="B735" s="19"/>
      <c r="C735" s="149"/>
      <c r="D735" s="137"/>
      <c r="E735" s="137"/>
      <c r="F735" s="2727"/>
      <c r="G735" s="137"/>
      <c r="H735" s="137"/>
      <c r="I735" s="2947"/>
      <c r="J735" s="137"/>
      <c r="K735" s="77"/>
      <c r="L735" s="631"/>
      <c r="M735" s="576"/>
      <c r="N735" s="576"/>
      <c r="O735" s="576"/>
    </row>
    <row r="736" spans="1:15" ht="12.75" hidden="1">
      <c r="A736" s="149"/>
      <c r="B736" s="19"/>
      <c r="C736" s="149"/>
      <c r="D736" s="137"/>
      <c r="E736" s="137"/>
      <c r="F736" s="2727"/>
      <c r="G736" s="137"/>
      <c r="H736" s="137"/>
      <c r="I736" s="2947"/>
      <c r="J736" s="137"/>
      <c r="K736" s="77"/>
      <c r="L736" s="631"/>
      <c r="M736" s="576"/>
      <c r="N736" s="576"/>
      <c r="O736" s="576"/>
    </row>
    <row r="737" spans="1:15" ht="12.75" hidden="1">
      <c r="A737" s="149"/>
      <c r="B737" s="19"/>
      <c r="C737" s="149"/>
      <c r="D737" s="137"/>
      <c r="E737" s="137"/>
      <c r="F737" s="2727"/>
      <c r="G737" s="137"/>
      <c r="H737" s="137"/>
      <c r="I737" s="2947"/>
      <c r="J737" s="137"/>
      <c r="K737" s="77"/>
      <c r="L737" s="631"/>
      <c r="M737" s="576"/>
      <c r="N737" s="576"/>
      <c r="O737" s="576"/>
    </row>
    <row r="738" spans="1:15" ht="12.75" hidden="1">
      <c r="A738" s="149"/>
      <c r="B738" s="19"/>
      <c r="C738" s="149"/>
      <c r="D738" s="137"/>
      <c r="E738" s="137"/>
      <c r="F738" s="2727"/>
      <c r="G738" s="137"/>
      <c r="H738" s="137"/>
      <c r="I738" s="2947"/>
      <c r="J738" s="137"/>
      <c r="K738" s="77"/>
      <c r="L738" s="631"/>
      <c r="M738" s="576"/>
      <c r="N738" s="576"/>
      <c r="O738" s="576"/>
    </row>
    <row r="739" spans="1:15" ht="12.75" hidden="1">
      <c r="A739" s="149"/>
      <c r="B739" s="19"/>
      <c r="C739" s="149"/>
      <c r="D739" s="137"/>
      <c r="E739" s="137"/>
      <c r="F739" s="2727"/>
      <c r="G739" s="137"/>
      <c r="H739" s="137"/>
      <c r="I739" s="2947"/>
      <c r="J739" s="137"/>
      <c r="K739" s="77"/>
      <c r="L739" s="631"/>
      <c r="M739" s="576"/>
      <c r="N739" s="576"/>
      <c r="O739" s="576"/>
    </row>
    <row r="740" spans="1:15" ht="12.75" hidden="1">
      <c r="A740" s="149"/>
      <c r="B740" s="19"/>
      <c r="C740" s="149"/>
      <c r="D740" s="137"/>
      <c r="E740" s="137"/>
      <c r="F740" s="2727"/>
      <c r="G740" s="137"/>
      <c r="H740" s="137"/>
      <c r="I740" s="2947"/>
      <c r="J740" s="137"/>
      <c r="K740" s="77"/>
      <c r="L740" s="631"/>
      <c r="M740" s="576"/>
      <c r="N740" s="576"/>
      <c r="O740" s="576"/>
    </row>
    <row r="741" spans="1:15" ht="12.75" hidden="1">
      <c r="A741" s="149"/>
      <c r="B741" s="19"/>
      <c r="C741" s="149"/>
      <c r="D741" s="137"/>
      <c r="E741" s="137"/>
      <c r="F741" s="2727"/>
      <c r="G741" s="137"/>
      <c r="H741" s="137"/>
      <c r="I741" s="2947"/>
      <c r="J741" s="137"/>
      <c r="K741" s="77"/>
      <c r="L741" s="631"/>
      <c r="M741" s="576"/>
      <c r="N741" s="576"/>
      <c r="O741" s="576"/>
    </row>
    <row r="742" spans="1:10" ht="13.5" thickBot="1">
      <c r="A742" s="55"/>
      <c r="B742" s="55"/>
      <c r="C742" s="55"/>
      <c r="D742" s="55"/>
      <c r="E742" s="702"/>
      <c r="F742" s="2797"/>
      <c r="G742" s="702"/>
      <c r="H742" s="702"/>
      <c r="J742" s="59"/>
    </row>
    <row r="743" spans="1:10" ht="13.5" hidden="1" thickBot="1">
      <c r="A743" s="55"/>
      <c r="B743" s="55"/>
      <c r="C743" s="55"/>
      <c r="D743" s="55"/>
      <c r="E743" s="702"/>
      <c r="F743" s="2797"/>
      <c r="G743" s="702"/>
      <c r="H743" s="702"/>
      <c r="J743" s="59"/>
    </row>
    <row r="744" spans="1:10" ht="13.5" hidden="1" thickBot="1">
      <c r="A744" s="55"/>
      <c r="B744" s="55"/>
      <c r="C744" s="55"/>
      <c r="D744" s="55"/>
      <c r="E744" s="702"/>
      <c r="F744" s="2797"/>
      <c r="G744" s="702"/>
      <c r="H744" s="702"/>
      <c r="J744" s="59"/>
    </row>
    <row r="745" spans="1:15" s="642" customFormat="1" ht="12">
      <c r="A745" s="729" t="s">
        <v>453</v>
      </c>
      <c r="B745" s="730"/>
      <c r="C745" s="731"/>
      <c r="D745" s="964">
        <v>2017</v>
      </c>
      <c r="E745" s="2638">
        <v>2018</v>
      </c>
      <c r="F745" s="2639">
        <v>2019</v>
      </c>
      <c r="G745" s="2638" t="s">
        <v>881</v>
      </c>
      <c r="H745" s="2639">
        <v>2020</v>
      </c>
      <c r="I745" s="3043" t="s">
        <v>882</v>
      </c>
      <c r="J745" s="2640">
        <v>2022</v>
      </c>
      <c r="K745" s="640"/>
      <c r="L745" s="640"/>
      <c r="M745" s="732"/>
      <c r="N745" s="733"/>
      <c r="O745" s="571"/>
    </row>
    <row r="746" spans="1:16" ht="12.75">
      <c r="A746" s="1228" t="s">
        <v>640</v>
      </c>
      <c r="B746" s="1229"/>
      <c r="C746" s="1229"/>
      <c r="D746" s="1556">
        <f>SUM(D597)</f>
        <v>1853549.99</v>
      </c>
      <c r="E746" s="1734">
        <f>SUM(E597)</f>
        <v>1985548</v>
      </c>
      <c r="F746" s="2685">
        <v>1107460</v>
      </c>
      <c r="G746" s="1734">
        <f>G100+G113+G158+G220+G263+G281+G363+G537+G551+G596+G296</f>
        <v>1165812</v>
      </c>
      <c r="H746" s="942">
        <f>H100+H113+H158+H220+H263+H281+H363+H537+H551+H596+H296</f>
        <v>1210361</v>
      </c>
      <c r="I746" s="2939">
        <f>I100+I113+I158+I220+I263+I281+I363+I537+I551+I596+I296</f>
        <v>1159780</v>
      </c>
      <c r="J746" s="1530">
        <f>J100+J113+J158+J220+J263+J281+J363+J537+J551+J596+J296</f>
        <v>1162780</v>
      </c>
      <c r="K746" s="76"/>
      <c r="L746" s="734"/>
      <c r="M746" s="76"/>
      <c r="N746" s="76"/>
      <c r="O746" s="76"/>
      <c r="P746" s="735"/>
    </row>
    <row r="747" spans="1:16" ht="12.75">
      <c r="A747" s="1228" t="s">
        <v>641</v>
      </c>
      <c r="B747" s="1229"/>
      <c r="C747" s="1229"/>
      <c r="D747" s="1735">
        <f>SUM(D698)</f>
        <v>32741</v>
      </c>
      <c r="E747" s="1640">
        <f>SUM(E698)</f>
        <v>3657374</v>
      </c>
      <c r="F747" s="2798">
        <f>F698</f>
        <v>7366224</v>
      </c>
      <c r="G747" s="1640">
        <f>SUM(G698)</f>
        <v>6567266</v>
      </c>
      <c r="H747" s="1736">
        <f>H698</f>
        <v>3595973</v>
      </c>
      <c r="I747" s="2965">
        <f>I698</f>
        <v>360000</v>
      </c>
      <c r="J747" s="1534">
        <f>J698</f>
        <v>0</v>
      </c>
      <c r="K747" s="76"/>
      <c r="L747" s="734"/>
      <c r="M747" s="67"/>
      <c r="N747" s="67"/>
      <c r="O747" s="67"/>
      <c r="P747" s="161"/>
    </row>
    <row r="748" spans="1:16" ht="12.75">
      <c r="A748" s="1228" t="s">
        <v>447</v>
      </c>
      <c r="B748" s="1229"/>
      <c r="C748" s="1229"/>
      <c r="D748" s="1737">
        <f aca="true" t="shared" si="62" ref="D748:J748">D719</f>
        <v>43594</v>
      </c>
      <c r="E748" s="1738">
        <f t="shared" si="62"/>
        <v>2405200</v>
      </c>
      <c r="F748" s="2685">
        <f t="shared" si="62"/>
        <v>6806800</v>
      </c>
      <c r="G748" s="1738">
        <f t="shared" si="62"/>
        <v>5621705</v>
      </c>
      <c r="H748" s="942">
        <f t="shared" si="62"/>
        <v>3955409</v>
      </c>
      <c r="I748" s="2940">
        <f t="shared" si="62"/>
        <v>78180</v>
      </c>
      <c r="J748" s="1523">
        <f t="shared" si="62"/>
        <v>78180</v>
      </c>
      <c r="K748" s="76"/>
      <c r="L748" s="734"/>
      <c r="M748" s="76"/>
      <c r="N748" s="76"/>
      <c r="O748" s="76"/>
      <c r="P748" s="736"/>
    </row>
    <row r="749" spans="1:16" ht="12.75">
      <c r="A749" s="3232" t="s">
        <v>832</v>
      </c>
      <c r="B749" s="3233"/>
      <c r="C749" s="3234"/>
      <c r="D749" s="2511"/>
      <c r="E749" s="2512"/>
      <c r="F749" s="2799">
        <v>1028360</v>
      </c>
      <c r="G749" s="2512">
        <f>G483+G422+G370</f>
        <v>1089004</v>
      </c>
      <c r="H749" s="1527">
        <f>H483+H422+H370</f>
        <v>1172773</v>
      </c>
      <c r="I749" s="2958">
        <f>I483+I422+I370</f>
        <v>1210936</v>
      </c>
      <c r="J749" s="1525">
        <f>J483+J422+J370</f>
        <v>1222761</v>
      </c>
      <c r="K749" s="76"/>
      <c r="L749" s="734"/>
      <c r="M749" s="76"/>
      <c r="N749" s="76"/>
      <c r="O749" s="76"/>
      <c r="P749" s="736"/>
    </row>
    <row r="750" spans="1:15" ht="13.5" thickBot="1">
      <c r="A750" s="163" t="s">
        <v>642</v>
      </c>
      <c r="B750" s="164"/>
      <c r="C750" s="164"/>
      <c r="D750" s="3035">
        <f>SUM(D746,D747,D748)</f>
        <v>1929884.99</v>
      </c>
      <c r="E750" s="3036">
        <f>SUM(E746,E747,E748)</f>
        <v>8048122</v>
      </c>
      <c r="F750" s="2826">
        <f>F746+F747+F748+F749</f>
        <v>16308844</v>
      </c>
      <c r="G750" s="3036">
        <f>SUM(G746,G747,G748)+G749</f>
        <v>14443787</v>
      </c>
      <c r="H750" s="2174">
        <f>H746+H747+H748+H749</f>
        <v>9934516</v>
      </c>
      <c r="I750" s="2999">
        <f>I746+I747+I748+I749</f>
        <v>2808896</v>
      </c>
      <c r="J750" s="3037">
        <f>J746+J747+J748+J749</f>
        <v>2463721</v>
      </c>
      <c r="K750" s="76"/>
      <c r="L750" s="734"/>
      <c r="M750" s="76"/>
      <c r="N750" s="76"/>
      <c r="O750" s="76"/>
    </row>
    <row r="751" spans="1:12" ht="15" thickBot="1">
      <c r="A751" s="737"/>
      <c r="B751" s="738"/>
      <c r="C751" s="738"/>
      <c r="D751" s="702"/>
      <c r="F751" s="2696"/>
      <c r="H751" s="133"/>
      <c r="J751" s="59"/>
      <c r="L751" s="739"/>
    </row>
    <row r="752" spans="1:16" ht="12.75">
      <c r="A752" s="1237" t="s">
        <v>1</v>
      </c>
      <c r="B752" s="1238"/>
      <c r="C752" s="1238"/>
      <c r="D752" s="1739">
        <f>príjmy!J241</f>
        <v>1886130.5600000003</v>
      </c>
      <c r="E752" s="1740">
        <f>príjmy!K241</f>
        <v>1379071.67</v>
      </c>
      <c r="F752" s="2800">
        <f>príjmy!L241</f>
        <v>1432156</v>
      </c>
      <c r="G752" s="1740">
        <f>príjmy!M241</f>
        <v>1525462</v>
      </c>
      <c r="H752" s="1741">
        <f>príjmy!N241</f>
        <v>1593136</v>
      </c>
      <c r="I752" s="2984">
        <f>príjmy!O241</f>
        <v>1551732</v>
      </c>
      <c r="J752" s="1742">
        <f>príjmy!P241</f>
        <v>1639486</v>
      </c>
      <c r="K752" s="92"/>
      <c r="L752" s="69"/>
      <c r="M752" s="76"/>
      <c r="N752" s="76"/>
      <c r="O752" s="76"/>
      <c r="P752" s="160"/>
    </row>
    <row r="753" spans="1:16" ht="12.75">
      <c r="A753" s="1228" t="s">
        <v>80</v>
      </c>
      <c r="B753" s="1229"/>
      <c r="C753" s="1229"/>
      <c r="D753" s="1556">
        <f>SUM(príjmy!J242)</f>
        <v>6310</v>
      </c>
      <c r="E753" s="1734">
        <f>príjmy!K242</f>
        <v>2604287.57</v>
      </c>
      <c r="F753" s="2685">
        <f>príjmy!L242</f>
        <v>6968351</v>
      </c>
      <c r="G753" s="1734">
        <f>príjmy!M242</f>
        <v>5822640</v>
      </c>
      <c r="H753" s="942">
        <f>príjmy!N242</f>
        <v>4626207</v>
      </c>
      <c r="I753" s="2940">
        <f>príjmy!O242</f>
        <v>354040</v>
      </c>
      <c r="J753" s="1523">
        <f>príjmy!P242</f>
        <v>0</v>
      </c>
      <c r="K753" s="92"/>
      <c r="L753" s="69"/>
      <c r="M753" s="76"/>
      <c r="N753" s="76"/>
      <c r="O753" s="76"/>
      <c r="P753" s="562"/>
    </row>
    <row r="754" spans="1:16" ht="12.75">
      <c r="A754" s="1228" t="s">
        <v>90</v>
      </c>
      <c r="B754" s="1229"/>
      <c r="C754" s="1229"/>
      <c r="D754" s="1735">
        <f>SUM(príjmy!J243)</f>
        <v>2672</v>
      </c>
      <c r="E754" s="1640">
        <f>príjmy!K243</f>
        <v>3473630.42</v>
      </c>
      <c r="F754" s="2685">
        <f>príjmy!L243</f>
        <v>7157150</v>
      </c>
      <c r="G754" s="1640">
        <f>príjmy!M243</f>
        <v>6407122</v>
      </c>
      <c r="H754" s="942">
        <f>príjmy!N243</f>
        <v>2856191</v>
      </c>
      <c r="I754" s="2940">
        <f>príjmy!O243</f>
        <v>11500</v>
      </c>
      <c r="J754" s="1523">
        <f>príjmy!P243</f>
        <v>1500</v>
      </c>
      <c r="K754" s="92"/>
      <c r="L754" s="69"/>
      <c r="M754" s="76"/>
      <c r="N754" s="76"/>
      <c r="O754" s="76"/>
      <c r="P754" s="161"/>
    </row>
    <row r="755" spans="1:16" ht="12.75">
      <c r="A755" s="1228" t="s">
        <v>165</v>
      </c>
      <c r="B755" s="1229"/>
      <c r="C755" s="1229"/>
      <c r="D755" s="1737">
        <f>príjmy!H244</f>
        <v>0</v>
      </c>
      <c r="E755" s="1738">
        <f>príjmy!K244</f>
        <v>696008.2999999999</v>
      </c>
      <c r="F755" s="2685">
        <f>príjmy!L244</f>
        <v>757979</v>
      </c>
      <c r="G755" s="1738">
        <f>príjmy!M244</f>
        <v>779256</v>
      </c>
      <c r="H755" s="942">
        <f>príjmy!N244</f>
        <v>862226</v>
      </c>
      <c r="I755" s="2940">
        <f>príjmy!O229</f>
        <v>895258</v>
      </c>
      <c r="J755" s="1523">
        <f>príjmy!P244</f>
        <v>906257</v>
      </c>
      <c r="K755" s="92"/>
      <c r="L755" s="69"/>
      <c r="M755" s="76"/>
      <c r="N755" s="76"/>
      <c r="O755" s="76"/>
      <c r="P755" s="18"/>
    </row>
    <row r="756" spans="1:15" ht="13.5" thickBot="1">
      <c r="A756" s="163" t="s">
        <v>170</v>
      </c>
      <c r="B756" s="164"/>
      <c r="C756" s="164"/>
      <c r="D756" s="3038">
        <f>SUM(D752,D753,D754,D755)</f>
        <v>1895112.5600000003</v>
      </c>
      <c r="E756" s="3039">
        <f>SUM(E752,E753,E754,E755)</f>
        <v>8152997.96</v>
      </c>
      <c r="F756" s="2826">
        <f>F752+F753+F754+F755</f>
        <v>16315636</v>
      </c>
      <c r="G756" s="3039">
        <f>SUM(G752,G753,G754,G755)</f>
        <v>14534480</v>
      </c>
      <c r="H756" s="2174">
        <f>H752+H753+H754+H755</f>
        <v>9937760</v>
      </c>
      <c r="I756" s="3040">
        <f>I752+I753+I754+I755</f>
        <v>2812530</v>
      </c>
      <c r="J756" s="3037">
        <f>J752+J753+J754+J755</f>
        <v>2547243</v>
      </c>
      <c r="K756" s="92"/>
      <c r="L756" s="2091"/>
      <c r="M756" s="76"/>
      <c r="N756" s="76"/>
      <c r="O756" s="76"/>
    </row>
    <row r="757" ht="12.75">
      <c r="L757" s="107"/>
    </row>
    <row r="758" spans="1:15" ht="12.75">
      <c r="A758" s="2051"/>
      <c r="B758" s="2051"/>
      <c r="C758" s="2051"/>
      <c r="D758" s="2052"/>
      <c r="E758" s="2053"/>
      <c r="F758" s="2053"/>
      <c r="G758" s="2053"/>
      <c r="H758" s="2053"/>
      <c r="I758" s="2985"/>
      <c r="J758" s="2053"/>
      <c r="L758" s="2090"/>
      <c r="O758" s="107"/>
    </row>
    <row r="759" spans="1:10" ht="12.75">
      <c r="A759" s="2054"/>
      <c r="B759" s="2054"/>
      <c r="C759" s="2054"/>
      <c r="D759" s="2055"/>
      <c r="E759" s="2056"/>
      <c r="F759" s="2056"/>
      <c r="G759" s="2056">
        <f>G756-G750</f>
        <v>90693</v>
      </c>
      <c r="H759" s="2056">
        <f>H756-H750</f>
        <v>3244</v>
      </c>
      <c r="I759" s="2986">
        <f>I756-I750</f>
        <v>3634</v>
      </c>
      <c r="J759" s="2056">
        <f>J756-J750</f>
        <v>83522</v>
      </c>
    </row>
    <row r="760" spans="1:12" ht="12.75">
      <c r="A760" s="3269"/>
      <c r="B760" s="3269"/>
      <c r="C760" s="2057"/>
      <c r="D760" s="2058"/>
      <c r="E760" s="2059"/>
      <c r="F760" s="2060"/>
      <c r="G760" s="2059"/>
      <c r="H760" s="2060"/>
      <c r="I760" s="2987"/>
      <c r="J760" s="2061"/>
      <c r="L760" s="107"/>
    </row>
    <row r="761" spans="1:12" ht="12.75">
      <c r="A761" s="3270"/>
      <c r="B761" s="2062"/>
      <c r="C761" s="2063"/>
      <c r="D761" s="2064"/>
      <c r="E761" s="2064"/>
      <c r="F761" s="2065"/>
      <c r="G761" s="2064"/>
      <c r="H761" s="2065"/>
      <c r="I761" s="2987"/>
      <c r="J761" s="1720"/>
      <c r="L761" s="107"/>
    </row>
    <row r="762" spans="1:12" ht="12.75">
      <c r="A762" s="3270"/>
      <c r="B762" s="2062"/>
      <c r="C762" s="2066"/>
      <c r="D762" s="2067"/>
      <c r="E762" s="2067"/>
      <c r="F762" s="2065"/>
      <c r="G762" s="2067"/>
      <c r="H762" s="2065"/>
      <c r="I762" s="2987"/>
      <c r="J762" s="1720"/>
      <c r="L762" s="107"/>
    </row>
    <row r="763" spans="1:10" ht="12.75">
      <c r="A763" s="3270"/>
      <c r="B763" s="2062"/>
      <c r="C763" s="2063"/>
      <c r="D763" s="2067"/>
      <c r="E763" s="2067"/>
      <c r="F763" s="2065"/>
      <c r="G763" s="2067"/>
      <c r="H763" s="2065"/>
      <c r="I763" s="2987"/>
      <c r="J763" s="1720"/>
    </row>
    <row r="764" spans="1:12" ht="12.75">
      <c r="A764" s="3270"/>
      <c r="B764" s="2062"/>
      <c r="C764" s="2066"/>
      <c r="D764" s="2067"/>
      <c r="E764" s="2067"/>
      <c r="F764" s="2065"/>
      <c r="G764" s="2067"/>
      <c r="H764" s="2065"/>
      <c r="I764" s="2987"/>
      <c r="J764" s="1720"/>
      <c r="L764" s="107"/>
    </row>
    <row r="765" spans="1:12" ht="12.75">
      <c r="A765" s="3270"/>
      <c r="B765" s="2062"/>
      <c r="C765" s="2063"/>
      <c r="D765" s="2064"/>
      <c r="E765" s="2064"/>
      <c r="F765" s="2065"/>
      <c r="G765" s="2064"/>
      <c r="H765" s="2065"/>
      <c r="I765" s="2987"/>
      <c r="J765" s="1720"/>
      <c r="L765" s="107"/>
    </row>
    <row r="766" spans="1:12" ht="12.75">
      <c r="A766" s="3270"/>
      <c r="B766" s="2062"/>
      <c r="C766" s="2066"/>
      <c r="D766" s="2067"/>
      <c r="E766" s="2067"/>
      <c r="F766" s="2065"/>
      <c r="G766" s="2067"/>
      <c r="H766" s="2065"/>
      <c r="I766" s="2987"/>
      <c r="J766" s="1720"/>
      <c r="L766" s="107"/>
    </row>
    <row r="767" spans="1:10" ht="12.75">
      <c r="A767" s="3270"/>
      <c r="B767" s="2062"/>
      <c r="C767" s="2063"/>
      <c r="D767" s="2067"/>
      <c r="E767" s="2067"/>
      <c r="F767" s="2065"/>
      <c r="G767" s="2067"/>
      <c r="H767" s="2065"/>
      <c r="I767" s="2987"/>
      <c r="J767" s="1720"/>
    </row>
    <row r="768" spans="1:10" ht="12.75">
      <c r="A768" s="3270"/>
      <c r="B768" s="2062"/>
      <c r="C768" s="2066"/>
      <c r="D768" s="2067"/>
      <c r="E768" s="2067"/>
      <c r="F768" s="2065"/>
      <c r="G768" s="2067"/>
      <c r="H768" s="2065"/>
      <c r="I768" s="2987"/>
      <c r="J768" s="1720"/>
    </row>
    <row r="769" spans="1:10" ht="12.75">
      <c r="A769" s="2068"/>
      <c r="B769" s="2068"/>
      <c r="C769" s="2069"/>
      <c r="D769" s="2061"/>
      <c r="E769" s="2061"/>
      <c r="F769" s="2070"/>
      <c r="G769" s="2061"/>
      <c r="H769" s="2070"/>
      <c r="I769" s="2987"/>
      <c r="J769" s="2046"/>
    </row>
    <row r="770" spans="1:12" ht="12.75">
      <c r="A770" s="3271"/>
      <c r="B770" s="3271"/>
      <c r="C770" s="2071"/>
      <c r="D770" s="2067"/>
      <c r="E770" s="2067"/>
      <c r="F770" s="2070"/>
      <c r="G770" s="2067"/>
      <c r="H770" s="2070"/>
      <c r="I770" s="2987"/>
      <c r="J770" s="2046"/>
      <c r="L770" s="107"/>
    </row>
    <row r="771" spans="1:12" ht="12.75">
      <c r="A771" s="3272"/>
      <c r="B771" s="3272"/>
      <c r="C771" s="2072"/>
      <c r="D771" s="2067"/>
      <c r="E771" s="2067"/>
      <c r="F771" s="2070"/>
      <c r="G771" s="2067"/>
      <c r="H771" s="2070"/>
      <c r="I771" s="2987"/>
      <c r="J771" s="2046"/>
      <c r="L771" s="107"/>
    </row>
    <row r="772" spans="1:12" ht="12.75">
      <c r="A772" s="2073"/>
      <c r="B772" s="2073"/>
      <c r="C772" s="2073"/>
      <c r="D772" s="2067"/>
      <c r="E772" s="2067"/>
      <c r="F772" s="2065"/>
      <c r="G772" s="2067"/>
      <c r="H772" s="2065"/>
      <c r="I772" s="2987"/>
      <c r="J772" s="1720"/>
      <c r="L772" s="107"/>
    </row>
    <row r="773" spans="1:10" ht="12.75">
      <c r="A773" s="2073"/>
      <c r="B773" s="2074"/>
      <c r="C773" s="2073"/>
      <c r="D773" s="2067"/>
      <c r="E773" s="2067"/>
      <c r="F773" s="2065"/>
      <c r="G773" s="2067"/>
      <c r="H773" s="2065"/>
      <c r="I773" s="2987"/>
      <c r="J773" s="1720"/>
    </row>
    <row r="774" spans="1:10" ht="12.75">
      <c r="A774" s="2073"/>
      <c r="B774" s="2074"/>
      <c r="C774" s="2073"/>
      <c r="D774" s="2067"/>
      <c r="E774" s="2067"/>
      <c r="F774" s="2065"/>
      <c r="G774" s="2067"/>
      <c r="H774" s="2065"/>
      <c r="I774" s="2987"/>
      <c r="J774" s="1720"/>
    </row>
    <row r="775" spans="1:10" ht="12.75">
      <c r="A775" s="2073"/>
      <c r="B775" s="2073"/>
      <c r="C775" s="2073"/>
      <c r="D775" s="2067"/>
      <c r="E775" s="2067"/>
      <c r="F775" s="2065"/>
      <c r="G775" s="2067"/>
      <c r="H775" s="2065"/>
      <c r="I775" s="2987"/>
      <c r="J775" s="1720"/>
    </row>
    <row r="776" spans="1:10" ht="12.75">
      <c r="A776" s="2075"/>
      <c r="B776" s="2062"/>
      <c r="C776" s="2066"/>
      <c r="D776" s="2067"/>
      <c r="E776" s="2067"/>
      <c r="F776" s="2065"/>
      <c r="G776" s="2067"/>
      <c r="H776" s="2065"/>
      <c r="I776" s="2987"/>
      <c r="J776" s="1720"/>
    </row>
    <row r="777" spans="1:10" ht="12.75">
      <c r="A777" s="2073"/>
      <c r="B777" s="2073"/>
      <c r="C777" s="2073"/>
      <c r="D777" s="2067"/>
      <c r="E777" s="2067"/>
      <c r="F777" s="2065"/>
      <c r="G777" s="2067"/>
      <c r="H777" s="2065"/>
      <c r="I777" s="2987"/>
      <c r="J777" s="1720"/>
    </row>
    <row r="778" spans="1:10" ht="12.75">
      <c r="A778" s="2073"/>
      <c r="B778" s="2073"/>
      <c r="C778" s="2073"/>
      <c r="D778" s="2067"/>
      <c r="E778" s="2067"/>
      <c r="F778" s="2065"/>
      <c r="G778" s="2067"/>
      <c r="H778" s="2065"/>
      <c r="I778" s="2987"/>
      <c r="J778" s="1720"/>
    </row>
    <row r="779" spans="1:10" ht="12.75">
      <c r="A779" s="2073"/>
      <c r="B779" s="2073"/>
      <c r="C779" s="2073"/>
      <c r="D779" s="2067"/>
      <c r="E779" s="2067"/>
      <c r="F779" s="2065"/>
      <c r="G779" s="2067"/>
      <c r="H779" s="2065"/>
      <c r="I779" s="2987"/>
      <c r="J779" s="1720"/>
    </row>
    <row r="780" spans="1:10" ht="12.75">
      <c r="A780" s="2073"/>
      <c r="B780" s="2073"/>
      <c r="C780" s="2073"/>
      <c r="D780" s="2067"/>
      <c r="E780" s="2067"/>
      <c r="F780" s="2065"/>
      <c r="G780" s="2067"/>
      <c r="H780" s="2065"/>
      <c r="I780" s="2987"/>
      <c r="J780" s="1720"/>
    </row>
    <row r="781" spans="1:10" ht="12.75">
      <c r="A781" s="3272"/>
      <c r="B781" s="3272"/>
      <c r="C781" s="2072"/>
      <c r="D781" s="2067"/>
      <c r="E781" s="2067"/>
      <c r="F781" s="2076"/>
      <c r="G781" s="2067"/>
      <c r="H781" s="2076"/>
      <c r="I781" s="2987"/>
      <c r="J781" s="2047"/>
    </row>
    <row r="782" spans="1:10" ht="12.75">
      <c r="A782" s="2073"/>
      <c r="B782" s="2073"/>
      <c r="C782" s="2073"/>
      <c r="D782" s="2067"/>
      <c r="E782" s="2067"/>
      <c r="F782" s="2065"/>
      <c r="G782" s="2067"/>
      <c r="H782" s="2065"/>
      <c r="I782" s="2987"/>
      <c r="J782" s="1720"/>
    </row>
    <row r="783" spans="1:10" ht="12.75">
      <c r="A783" s="3272"/>
      <c r="B783" s="3272"/>
      <c r="C783" s="2072"/>
      <c r="D783" s="2067"/>
      <c r="E783" s="2067"/>
      <c r="F783" s="2070"/>
      <c r="G783" s="2067"/>
      <c r="H783" s="2070"/>
      <c r="I783" s="2987"/>
      <c r="J783" s="2046"/>
    </row>
    <row r="784" spans="1:10" ht="12.75">
      <c r="A784" s="2073"/>
      <c r="B784" s="2073"/>
      <c r="C784" s="2073"/>
      <c r="D784" s="2067"/>
      <c r="E784" s="2067"/>
      <c r="F784" s="2065"/>
      <c r="G784" s="2067"/>
      <c r="H784" s="2065"/>
      <c r="I784" s="2987"/>
      <c r="J784" s="1720"/>
    </row>
    <row r="785" spans="1:10" ht="12.75">
      <c r="A785" s="2073"/>
      <c r="B785" s="2073"/>
      <c r="C785" s="2073"/>
      <c r="D785" s="2067"/>
      <c r="E785" s="2067"/>
      <c r="F785" s="2065"/>
      <c r="G785" s="2067"/>
      <c r="H785" s="2065"/>
      <c r="I785" s="2987"/>
      <c r="J785" s="1720"/>
    </row>
    <row r="786" spans="1:10" ht="12.75">
      <c r="A786" s="2073"/>
      <c r="B786" s="2073"/>
      <c r="C786" s="2073"/>
      <c r="D786" s="2067"/>
      <c r="E786" s="2067"/>
      <c r="F786" s="2065"/>
      <c r="G786" s="2067"/>
      <c r="H786" s="2065"/>
      <c r="I786" s="2987"/>
      <c r="J786" s="1720"/>
    </row>
    <row r="787" spans="1:10" ht="12.75">
      <c r="A787" s="3272"/>
      <c r="B787" s="3272"/>
      <c r="C787" s="2072"/>
      <c r="D787" s="2067"/>
      <c r="E787" s="2067"/>
      <c r="F787" s="2070"/>
      <c r="G787" s="2067"/>
      <c r="H787" s="2070"/>
      <c r="I787" s="2987"/>
      <c r="J787" s="2046"/>
    </row>
    <row r="788" spans="1:10" ht="12.75">
      <c r="A788" s="2073"/>
      <c r="B788" s="2073"/>
      <c r="C788" s="2073"/>
      <c r="D788" s="2067"/>
      <c r="E788" s="2067"/>
      <c r="F788" s="2065"/>
      <c r="G788" s="2067"/>
      <c r="H788" s="2065"/>
      <c r="I788" s="2987"/>
      <c r="J788" s="1720"/>
    </row>
    <row r="789" spans="1:10" ht="12.75">
      <c r="A789" s="2073"/>
      <c r="B789" s="2073"/>
      <c r="C789" s="2073"/>
      <c r="D789" s="2067"/>
      <c r="E789" s="2067"/>
      <c r="F789" s="2065"/>
      <c r="G789" s="2067"/>
      <c r="H789" s="2065"/>
      <c r="I789" s="2987"/>
      <c r="J789" s="1720"/>
    </row>
    <row r="790" spans="1:10" ht="12.75">
      <c r="A790" s="2073"/>
      <c r="B790" s="2073"/>
      <c r="C790" s="2073"/>
      <c r="D790" s="2067"/>
      <c r="E790" s="2067"/>
      <c r="F790" s="2065"/>
      <c r="G790" s="2067"/>
      <c r="H790" s="2065"/>
      <c r="I790" s="2987"/>
      <c r="J790" s="1720"/>
    </row>
    <row r="791" spans="1:10" ht="12.75">
      <c r="A791" s="2073"/>
      <c r="B791" s="2073"/>
      <c r="C791" s="2073"/>
      <c r="D791" s="2067"/>
      <c r="E791" s="2067"/>
      <c r="F791" s="2065"/>
      <c r="G791" s="2067"/>
      <c r="H791" s="2065"/>
      <c r="I791" s="2987"/>
      <c r="J791" s="1720"/>
    </row>
    <row r="792" spans="1:10" ht="12.75">
      <c r="A792" s="2073"/>
      <c r="B792" s="2073"/>
      <c r="C792" s="2073"/>
      <c r="D792" s="2067"/>
      <c r="E792" s="2067"/>
      <c r="F792" s="2065"/>
      <c r="G792" s="2067"/>
      <c r="H792" s="2065"/>
      <c r="I792" s="2987"/>
      <c r="J792" s="1720"/>
    </row>
    <row r="793" spans="1:10" ht="12.75">
      <c r="A793" s="2073"/>
      <c r="B793" s="2073"/>
      <c r="C793" s="2073"/>
      <c r="D793" s="2067"/>
      <c r="E793" s="2067"/>
      <c r="F793" s="2065"/>
      <c r="G793" s="2067"/>
      <c r="H793" s="2065"/>
      <c r="I793" s="2987"/>
      <c r="J793" s="1720"/>
    </row>
    <row r="794" spans="1:10" ht="12.75">
      <c r="A794" s="2073"/>
      <c r="B794" s="2073"/>
      <c r="C794" s="2073"/>
      <c r="D794" s="2067"/>
      <c r="E794" s="2067"/>
      <c r="F794" s="2065"/>
      <c r="G794" s="2067"/>
      <c r="H794" s="2065"/>
      <c r="I794" s="2987"/>
      <c r="J794" s="1720"/>
    </row>
    <row r="795" spans="1:10" ht="12.75">
      <c r="A795" s="2073"/>
      <c r="B795" s="2073"/>
      <c r="C795" s="2073"/>
      <c r="D795" s="2067"/>
      <c r="E795" s="2067"/>
      <c r="F795" s="2065"/>
      <c r="G795" s="2067"/>
      <c r="H795" s="2065"/>
      <c r="I795" s="2987"/>
      <c r="J795" s="1720"/>
    </row>
    <row r="796" spans="1:10" ht="12.75">
      <c r="A796" s="3272"/>
      <c r="B796" s="3272"/>
      <c r="C796" s="2072"/>
      <c r="D796" s="2067"/>
      <c r="E796" s="2067"/>
      <c r="F796" s="2076"/>
      <c r="G796" s="2067"/>
      <c r="H796" s="2076"/>
      <c r="I796" s="2987"/>
      <c r="J796" s="2047"/>
    </row>
    <row r="797" spans="1:10" ht="12.75">
      <c r="A797" s="2077"/>
      <c r="B797" s="2072"/>
      <c r="C797" s="2066"/>
      <c r="D797" s="2067"/>
      <c r="E797" s="2067"/>
      <c r="F797" s="2078"/>
      <c r="G797" s="2067"/>
      <c r="H797" s="2078"/>
      <c r="I797" s="2987"/>
      <c r="J797" s="2022"/>
    </row>
    <row r="798" spans="1:10" ht="12.75">
      <c r="A798" s="2077"/>
      <c r="B798" s="2072"/>
      <c r="C798" s="2066"/>
      <c r="D798" s="2067"/>
      <c r="E798" s="2067"/>
      <c r="F798" s="2078"/>
      <c r="G798" s="2067"/>
      <c r="H798" s="2078"/>
      <c r="I798" s="2987"/>
      <c r="J798" s="2022"/>
    </row>
    <row r="799" spans="1:10" ht="12.75">
      <c r="A799" s="2077"/>
      <c r="B799" s="2072"/>
      <c r="C799" s="2066"/>
      <c r="D799" s="2067"/>
      <c r="E799" s="2067"/>
      <c r="F799" s="2078"/>
      <c r="G799" s="2067"/>
      <c r="H799" s="2078"/>
      <c r="I799" s="2987"/>
      <c r="J799" s="2022"/>
    </row>
    <row r="800" spans="1:10" ht="12.75">
      <c r="A800" s="2077"/>
      <c r="B800" s="2072"/>
      <c r="C800" s="2066"/>
      <c r="D800" s="2067"/>
      <c r="E800" s="2067"/>
      <c r="F800" s="2079"/>
      <c r="G800" s="2067"/>
      <c r="H800" s="2079"/>
      <c r="I800" s="2987"/>
      <c r="J800" s="2048"/>
    </row>
    <row r="801" spans="1:10" ht="12.75">
      <c r="A801" s="2077"/>
      <c r="B801" s="2072"/>
      <c r="C801" s="2066"/>
      <c r="D801" s="2067"/>
      <c r="E801" s="2067"/>
      <c r="F801" s="2079"/>
      <c r="G801" s="2067"/>
      <c r="H801" s="2079"/>
      <c r="I801" s="2987"/>
      <c r="J801" s="2048"/>
    </row>
    <row r="802" spans="1:10" ht="12.75">
      <c r="A802" s="2077"/>
      <c r="B802" s="2072"/>
      <c r="C802" s="2066"/>
      <c r="D802" s="2067"/>
      <c r="E802" s="2067"/>
      <c r="F802" s="2079"/>
      <c r="G802" s="2067"/>
      <c r="H802" s="2079"/>
      <c r="I802" s="2987"/>
      <c r="J802" s="2048"/>
    </row>
    <row r="803" spans="1:10" ht="12.75">
      <c r="A803" s="2077"/>
      <c r="B803" s="2072"/>
      <c r="C803" s="2066"/>
      <c r="D803" s="2067"/>
      <c r="E803" s="2067"/>
      <c r="F803" s="2078"/>
      <c r="G803" s="2067"/>
      <c r="H803" s="2078"/>
      <c r="I803" s="2987"/>
      <c r="J803" s="2022"/>
    </row>
    <row r="804" spans="1:10" ht="12.75">
      <c r="A804" s="2077"/>
      <c r="B804" s="2072"/>
      <c r="C804" s="2066"/>
      <c r="D804" s="2067"/>
      <c r="E804" s="2067"/>
      <c r="F804" s="2079"/>
      <c r="G804" s="2067"/>
      <c r="H804" s="2079"/>
      <c r="I804" s="2987"/>
      <c r="J804" s="2048"/>
    </row>
    <row r="805" spans="1:10" ht="12.75">
      <c r="A805" s="2077"/>
      <c r="B805" s="2072"/>
      <c r="C805" s="2066"/>
      <c r="D805" s="2067"/>
      <c r="E805" s="2067"/>
      <c r="F805" s="2079"/>
      <c r="G805" s="2067"/>
      <c r="H805" s="2079"/>
      <c r="I805" s="2987"/>
      <c r="J805" s="2048"/>
    </row>
    <row r="806" spans="1:10" ht="12.75">
      <c r="A806" s="2077"/>
      <c r="B806" s="2072"/>
      <c r="C806" s="2066"/>
      <c r="D806" s="2067"/>
      <c r="E806" s="2067"/>
      <c r="F806" s="2079"/>
      <c r="G806" s="2067"/>
      <c r="H806" s="2079"/>
      <c r="I806" s="2987"/>
      <c r="J806" s="2048"/>
    </row>
    <row r="807" spans="1:10" ht="12.75">
      <c r="A807" s="2077"/>
      <c r="B807" s="2072"/>
      <c r="C807" s="2066"/>
      <c r="D807" s="2067"/>
      <c r="E807" s="2067"/>
      <c r="F807" s="2079"/>
      <c r="G807" s="2067"/>
      <c r="H807" s="2079"/>
      <c r="I807" s="2987"/>
      <c r="J807" s="2048"/>
    </row>
    <row r="808" spans="1:10" ht="12.75">
      <c r="A808" s="2077"/>
      <c r="B808" s="2072"/>
      <c r="C808" s="2066"/>
      <c r="D808" s="2067"/>
      <c r="E808" s="2067"/>
      <c r="F808" s="2078"/>
      <c r="G808" s="2067"/>
      <c r="H808" s="2078"/>
      <c r="I808" s="2987"/>
      <c r="J808" s="2022"/>
    </row>
    <row r="809" spans="1:10" ht="12.75">
      <c r="A809" s="2077"/>
      <c r="B809" s="2072"/>
      <c r="C809" s="2066"/>
      <c r="D809" s="2067"/>
      <c r="E809" s="2067"/>
      <c r="F809" s="2078"/>
      <c r="G809" s="2067"/>
      <c r="H809" s="2078"/>
      <c r="I809" s="2987"/>
      <c r="J809" s="2022"/>
    </row>
    <row r="810" spans="1:10" ht="12.75">
      <c r="A810" s="2077"/>
      <c r="B810" s="2072"/>
      <c r="C810" s="2066"/>
      <c r="D810" s="2067"/>
      <c r="E810" s="2067"/>
      <c r="F810" s="2079"/>
      <c r="G810" s="2067"/>
      <c r="H810" s="2079"/>
      <c r="I810" s="2987"/>
      <c r="J810" s="2048"/>
    </row>
    <row r="811" spans="1:10" ht="12.75">
      <c r="A811" s="2077"/>
      <c r="B811" s="2072"/>
      <c r="C811" s="2066"/>
      <c r="D811" s="2067"/>
      <c r="E811" s="2067"/>
      <c r="F811" s="2079"/>
      <c r="G811" s="2067"/>
      <c r="H811" s="2079"/>
      <c r="I811" s="2987"/>
      <c r="J811" s="2048"/>
    </row>
    <row r="812" spans="1:10" ht="12.75">
      <c r="A812" s="2077"/>
      <c r="B812" s="2072"/>
      <c r="C812" s="2066"/>
      <c r="D812" s="2067"/>
      <c r="E812" s="2067"/>
      <c r="F812" s="2079"/>
      <c r="G812" s="2067"/>
      <c r="H812" s="2079"/>
      <c r="I812" s="2987"/>
      <c r="J812" s="2048"/>
    </row>
    <row r="813" spans="1:10" ht="12.75">
      <c r="A813" s="2054"/>
      <c r="B813" s="2054"/>
      <c r="C813" s="2054"/>
      <c r="D813" s="2056"/>
      <c r="E813" s="2056"/>
      <c r="F813" s="2056"/>
      <c r="G813" s="2056"/>
      <c r="H813" s="2056"/>
      <c r="I813" s="2986"/>
      <c r="J813" s="2045"/>
    </row>
    <row r="814" spans="1:10" ht="12.75">
      <c r="A814" s="3269"/>
      <c r="B814" s="3269"/>
      <c r="C814" s="2069"/>
      <c r="D814" s="2080"/>
      <c r="E814" s="2080"/>
      <c r="F814" s="2076"/>
      <c r="G814" s="2080"/>
      <c r="H814" s="2076"/>
      <c r="I814" s="2987"/>
      <c r="J814" s="2047"/>
    </row>
    <row r="815" spans="1:10" ht="12.75">
      <c r="A815" s="3270"/>
      <c r="B815" s="2062"/>
      <c r="C815" s="2063"/>
      <c r="D815" s="2080"/>
      <c r="E815" s="2080"/>
      <c r="F815" s="2065"/>
      <c r="G815" s="2080"/>
      <c r="H815" s="2065"/>
      <c r="I815" s="2987"/>
      <c r="J815" s="1720"/>
    </row>
    <row r="816" spans="1:10" ht="12.75">
      <c r="A816" s="3270"/>
      <c r="B816" s="2062"/>
      <c r="C816" s="2066"/>
      <c r="D816" s="2064"/>
      <c r="E816" s="2064"/>
      <c r="F816" s="2065"/>
      <c r="G816" s="2064"/>
      <c r="H816" s="2065"/>
      <c r="I816" s="2987"/>
      <c r="J816" s="1720"/>
    </row>
    <row r="817" spans="1:10" ht="12.75">
      <c r="A817" s="3270"/>
      <c r="B817" s="2062"/>
      <c r="C817" s="2063"/>
      <c r="D817" s="2067"/>
      <c r="E817" s="2067"/>
      <c r="F817" s="2065"/>
      <c r="G817" s="2067"/>
      <c r="H817" s="2065"/>
      <c r="I817" s="2987"/>
      <c r="J817" s="1720"/>
    </row>
    <row r="818" spans="1:10" ht="12.75">
      <c r="A818" s="3270"/>
      <c r="B818" s="2062"/>
      <c r="C818" s="2066"/>
      <c r="D818" s="2067"/>
      <c r="E818" s="2067"/>
      <c r="F818" s="2065"/>
      <c r="G818" s="2067"/>
      <c r="H818" s="2065"/>
      <c r="I818" s="2987"/>
      <c r="J818" s="1720"/>
    </row>
    <row r="819" spans="1:10" ht="12.75">
      <c r="A819" s="3270"/>
      <c r="B819" s="2062"/>
      <c r="C819" s="2063"/>
      <c r="D819" s="2042"/>
      <c r="E819" s="2042"/>
      <c r="F819" s="2065"/>
      <c r="G819" s="2042"/>
      <c r="H819" s="2065"/>
      <c r="I819" s="2987"/>
      <c r="J819" s="627"/>
    </row>
    <row r="820" spans="1:10" ht="12.75">
      <c r="A820" s="3270"/>
      <c r="B820" s="2062"/>
      <c r="C820" s="2066"/>
      <c r="D820" s="2042"/>
      <c r="E820" s="2042"/>
      <c r="F820" s="2065"/>
      <c r="G820" s="2042"/>
      <c r="H820" s="2065"/>
      <c r="I820" s="2987"/>
      <c r="J820" s="627"/>
    </row>
    <row r="821" spans="1:10" ht="12.75">
      <c r="A821" s="3270"/>
      <c r="B821" s="2062"/>
      <c r="C821" s="2063"/>
      <c r="D821" s="2042"/>
      <c r="E821" s="2042"/>
      <c r="F821" s="2065"/>
      <c r="G821" s="2042"/>
      <c r="H821" s="2065"/>
      <c r="I821" s="2987"/>
      <c r="J821" s="627"/>
    </row>
    <row r="822" spans="1:10" ht="12.75">
      <c r="A822" s="3270"/>
      <c r="B822" s="2062"/>
      <c r="C822" s="2066"/>
      <c r="D822" s="2042"/>
      <c r="E822" s="2081"/>
      <c r="F822" s="2082"/>
      <c r="G822" s="2081"/>
      <c r="H822" s="2082"/>
      <c r="I822" s="2987"/>
      <c r="J822" s="2049"/>
    </row>
    <row r="823" spans="1:10" ht="12.75">
      <c r="A823" s="2068"/>
      <c r="B823" s="2068"/>
      <c r="C823" s="2069"/>
      <c r="D823" s="2042"/>
      <c r="E823" s="2042"/>
      <c r="F823" s="2076"/>
      <c r="G823" s="2042"/>
      <c r="H823" s="2076"/>
      <c r="I823" s="2987"/>
      <c r="J823" s="2050"/>
    </row>
    <row r="824" spans="1:10" ht="12.75">
      <c r="A824" s="3269"/>
      <c r="B824" s="3269"/>
      <c r="C824" s="2069"/>
      <c r="D824" s="2042"/>
      <c r="E824" s="2042"/>
      <c r="F824" s="2076"/>
      <c r="G824" s="2042"/>
      <c r="H824" s="2076"/>
      <c r="I824" s="2987"/>
      <c r="J824" s="2050"/>
    </row>
    <row r="825" spans="1:10" ht="12.75">
      <c r="A825" s="3273"/>
      <c r="B825" s="3273"/>
      <c r="C825" s="2057"/>
      <c r="D825" s="2042"/>
      <c r="E825" s="2042"/>
      <c r="F825" s="2076"/>
      <c r="G825" s="2042"/>
      <c r="H825" s="2076"/>
      <c r="I825" s="2987"/>
      <c r="J825" s="2050"/>
    </row>
    <row r="826" spans="1:10" ht="12.75">
      <c r="A826" s="2073"/>
      <c r="B826" s="2073"/>
      <c r="C826" s="2073"/>
      <c r="D826" s="2042"/>
      <c r="E826" s="2042"/>
      <c r="F826" s="2083"/>
      <c r="G826" s="2042"/>
      <c r="H826" s="2083"/>
      <c r="I826" s="2987"/>
      <c r="J826" s="2038"/>
    </row>
    <row r="827" spans="1:10" ht="12.75">
      <c r="A827" s="2073"/>
      <c r="B827" s="2074"/>
      <c r="C827" s="2073"/>
      <c r="D827" s="2042"/>
      <c r="E827" s="2042"/>
      <c r="F827" s="2083"/>
      <c r="G827" s="2042"/>
      <c r="H827" s="2083"/>
      <c r="I827" s="2987"/>
      <c r="J827" s="2038"/>
    </row>
    <row r="828" spans="1:10" ht="12.75">
      <c r="A828" s="2073"/>
      <c r="B828" s="2074"/>
      <c r="C828" s="2073"/>
      <c r="D828" s="2042"/>
      <c r="E828" s="2042"/>
      <c r="F828" s="2083"/>
      <c r="G828" s="2042"/>
      <c r="H828" s="2083"/>
      <c r="I828" s="2987"/>
      <c r="J828" s="2038"/>
    </row>
    <row r="829" spans="1:10" ht="12.75">
      <c r="A829" s="2073"/>
      <c r="B829" s="2073"/>
      <c r="C829" s="2073"/>
      <c r="D829" s="2042"/>
      <c r="E829" s="2042"/>
      <c r="F829" s="2082"/>
      <c r="G829" s="2042"/>
      <c r="H829" s="2082"/>
      <c r="I829" s="2987"/>
      <c r="J829" s="2049"/>
    </row>
    <row r="830" spans="1:10" ht="12.75">
      <c r="A830" s="2073"/>
      <c r="B830" s="2073"/>
      <c r="C830" s="2073"/>
      <c r="D830" s="2042"/>
      <c r="E830" s="2042"/>
      <c r="F830" s="2082"/>
      <c r="G830" s="2042"/>
      <c r="H830" s="2082"/>
      <c r="I830" s="2987"/>
      <c r="J830" s="2049"/>
    </row>
    <row r="831" spans="1:10" ht="12.75">
      <c r="A831" s="2073"/>
      <c r="B831" s="2073"/>
      <c r="C831" s="2073"/>
      <c r="D831" s="2042"/>
      <c r="E831" s="2042"/>
      <c r="F831" s="2082"/>
      <c r="G831" s="2042"/>
      <c r="H831" s="2082"/>
      <c r="I831" s="2987"/>
      <c r="J831" s="2049"/>
    </row>
    <row r="832" spans="1:10" ht="12.75">
      <c r="A832" s="2073"/>
      <c r="B832" s="2073"/>
      <c r="C832" s="2073"/>
      <c r="D832" s="2042"/>
      <c r="E832" s="2042"/>
      <c r="F832" s="2082"/>
      <c r="G832" s="2042"/>
      <c r="H832" s="2082"/>
      <c r="I832" s="2987"/>
      <c r="J832" s="2049"/>
    </row>
    <row r="833" spans="1:10" ht="12.75">
      <c r="A833" s="2073"/>
      <c r="B833" s="2073"/>
      <c r="C833" s="2073"/>
      <c r="D833" s="2042"/>
      <c r="E833" s="2042"/>
      <c r="F833" s="2082"/>
      <c r="G833" s="2042"/>
      <c r="H833" s="2082"/>
      <c r="I833" s="2987"/>
      <c r="J833" s="2049"/>
    </row>
    <row r="834" spans="1:10" ht="12.75">
      <c r="A834" s="2073"/>
      <c r="B834" s="2073"/>
      <c r="C834" s="2073"/>
      <c r="D834" s="2042"/>
      <c r="E834" s="2042"/>
      <c r="F834" s="2082"/>
      <c r="G834" s="2042"/>
      <c r="H834" s="2082"/>
      <c r="I834" s="2987"/>
      <c r="J834" s="2049"/>
    </row>
    <row r="835" spans="1:10" ht="12.75">
      <c r="A835" s="3272"/>
      <c r="B835" s="3272"/>
      <c r="C835" s="2072"/>
      <c r="D835" s="2042"/>
      <c r="E835" s="2042"/>
      <c r="F835" s="2076"/>
      <c r="G835" s="2042"/>
      <c r="H835" s="2076"/>
      <c r="I835" s="2987"/>
      <c r="J835" s="2050"/>
    </row>
    <row r="836" spans="1:10" ht="12.75">
      <c r="A836" s="2073"/>
      <c r="B836" s="2073"/>
      <c r="C836" s="2073"/>
      <c r="D836" s="2042"/>
      <c r="E836" s="2042"/>
      <c r="F836" s="2082"/>
      <c r="G836" s="2042"/>
      <c r="H836" s="2082"/>
      <c r="I836" s="2987"/>
      <c r="J836" s="2049"/>
    </row>
    <row r="837" spans="1:10" ht="12.75">
      <c r="A837" s="3272"/>
      <c r="B837" s="3272"/>
      <c r="C837" s="2072"/>
      <c r="D837" s="2042"/>
      <c r="E837" s="2042"/>
      <c r="F837" s="2076"/>
      <c r="G837" s="2042"/>
      <c r="H837" s="2076"/>
      <c r="I837" s="2987"/>
      <c r="J837" s="2050"/>
    </row>
    <row r="838" spans="1:10" ht="12.75">
      <c r="A838" s="2073"/>
      <c r="B838" s="2073"/>
      <c r="C838" s="2073"/>
      <c r="D838" s="2042"/>
      <c r="E838" s="2042"/>
      <c r="F838" s="2082"/>
      <c r="G838" s="2042"/>
      <c r="H838" s="2082"/>
      <c r="I838" s="2987"/>
      <c r="J838" s="2049"/>
    </row>
    <row r="839" spans="1:10" ht="12.75">
      <c r="A839" s="2073"/>
      <c r="B839" s="2073"/>
      <c r="C839" s="2073"/>
      <c r="D839" s="2042"/>
      <c r="E839" s="2042"/>
      <c r="F839" s="2082"/>
      <c r="G839" s="2042"/>
      <c r="H839" s="2082"/>
      <c r="I839" s="2987"/>
      <c r="J839" s="2049"/>
    </row>
    <row r="840" spans="1:10" ht="12.75">
      <c r="A840" s="2073"/>
      <c r="B840" s="2073"/>
      <c r="C840" s="2073"/>
      <c r="D840" s="2042"/>
      <c r="E840" s="2042"/>
      <c r="F840" s="2082"/>
      <c r="G840" s="2042"/>
      <c r="H840" s="2082"/>
      <c r="I840" s="2987"/>
      <c r="J840" s="2049"/>
    </row>
    <row r="841" spans="1:10" ht="12.75">
      <c r="A841" s="3272"/>
      <c r="B841" s="3272"/>
      <c r="C841" s="2072"/>
      <c r="D841" s="2042"/>
      <c r="E841" s="2042"/>
      <c r="F841" s="2076"/>
      <c r="G841" s="2042"/>
      <c r="H841" s="2076"/>
      <c r="I841" s="2987"/>
      <c r="J841" s="2050"/>
    </row>
    <row r="842" spans="1:10" ht="12.75">
      <c r="A842" s="2073"/>
      <c r="B842" s="2073"/>
      <c r="C842" s="2073"/>
      <c r="D842" s="2042"/>
      <c r="E842" s="2042"/>
      <c r="F842" s="2082"/>
      <c r="G842" s="2042"/>
      <c r="H842" s="2082"/>
      <c r="I842" s="2987"/>
      <c r="J842" s="2049"/>
    </row>
    <row r="843" spans="1:10" ht="12.75">
      <c r="A843" s="2073"/>
      <c r="B843" s="2073"/>
      <c r="C843" s="2073"/>
      <c r="D843" s="2042"/>
      <c r="E843" s="2042"/>
      <c r="F843" s="2082"/>
      <c r="G843" s="2042"/>
      <c r="H843" s="2082"/>
      <c r="I843" s="2987"/>
      <c r="J843" s="2049"/>
    </row>
    <row r="844" spans="1:10" ht="12.75">
      <c r="A844" s="2073"/>
      <c r="B844" s="2073"/>
      <c r="C844" s="2073"/>
      <c r="D844" s="2042"/>
      <c r="E844" s="2042"/>
      <c r="F844" s="2082"/>
      <c r="G844" s="2042"/>
      <c r="H844" s="2082"/>
      <c r="I844" s="2987"/>
      <c r="J844" s="2049"/>
    </row>
    <row r="845" spans="1:10" ht="12.75">
      <c r="A845" s="2073"/>
      <c r="B845" s="2073"/>
      <c r="C845" s="2073"/>
      <c r="D845" s="2042"/>
      <c r="E845" s="2042"/>
      <c r="F845" s="2083"/>
      <c r="G845" s="2042"/>
      <c r="H845" s="2083"/>
      <c r="I845" s="2987"/>
      <c r="J845" s="2038"/>
    </row>
    <row r="846" spans="1:10" ht="12.75">
      <c r="A846" s="2073"/>
      <c r="B846" s="2073"/>
      <c r="C846" s="2073"/>
      <c r="D846" s="2042"/>
      <c r="E846" s="2042"/>
      <c r="F846" s="2082"/>
      <c r="G846" s="2042"/>
      <c r="H846" s="2082"/>
      <c r="I846" s="2987"/>
      <c r="J846" s="2049"/>
    </row>
    <row r="847" spans="1:10" ht="12.75">
      <c r="A847" s="2073"/>
      <c r="B847" s="2073"/>
      <c r="C847" s="2073"/>
      <c r="D847" s="2042"/>
      <c r="E847" s="2042"/>
      <c r="F847" s="2082"/>
      <c r="G847" s="2042"/>
      <c r="H847" s="2082"/>
      <c r="I847" s="2987"/>
      <c r="J847" s="2049"/>
    </row>
    <row r="848" spans="1:10" ht="12.75">
      <c r="A848" s="2073"/>
      <c r="B848" s="2073"/>
      <c r="C848" s="2073"/>
      <c r="D848" s="2042"/>
      <c r="E848" s="2042"/>
      <c r="F848" s="2083"/>
      <c r="G848" s="2042"/>
      <c r="H848" s="2083"/>
      <c r="I848" s="2987"/>
      <c r="J848" s="2038"/>
    </row>
    <row r="849" spans="1:10" ht="12.75">
      <c r="A849" s="2073"/>
      <c r="B849" s="2073"/>
      <c r="C849" s="2073"/>
      <c r="D849" s="2042"/>
      <c r="E849" s="2042"/>
      <c r="F849" s="2083"/>
      <c r="G849" s="2042"/>
      <c r="H849" s="2083"/>
      <c r="I849" s="2987"/>
      <c r="J849" s="2038"/>
    </row>
    <row r="850" spans="1:10" ht="12.75">
      <c r="A850" s="3272"/>
      <c r="B850" s="3272"/>
      <c r="C850" s="2072"/>
      <c r="D850" s="2042"/>
      <c r="E850" s="2042"/>
      <c r="F850" s="2076"/>
      <c r="G850" s="2042"/>
      <c r="H850" s="2076"/>
      <c r="I850" s="2987"/>
      <c r="J850" s="2050"/>
    </row>
    <row r="851" spans="1:10" ht="12.75">
      <c r="A851" s="2077"/>
      <c r="B851" s="2072"/>
      <c r="C851" s="2066"/>
      <c r="D851" s="2042"/>
      <c r="E851" s="2042"/>
      <c r="F851" s="2043"/>
      <c r="G851" s="2042"/>
      <c r="H851" s="2043"/>
      <c r="I851" s="2987"/>
      <c r="J851" s="2039"/>
    </row>
    <row r="852" spans="1:10" ht="12.75">
      <c r="A852" s="2077"/>
      <c r="B852" s="2072"/>
      <c r="C852" s="2066"/>
      <c r="D852" s="2042"/>
      <c r="E852" s="2042"/>
      <c r="F852" s="2043"/>
      <c r="G852" s="2042"/>
      <c r="H852" s="2043"/>
      <c r="I852" s="2987"/>
      <c r="J852" s="2039"/>
    </row>
    <row r="853" spans="1:10" ht="12.75">
      <c r="A853" s="2077"/>
      <c r="B853" s="2072"/>
      <c r="C853" s="2066"/>
      <c r="D853" s="2042"/>
      <c r="E853" s="2042"/>
      <c r="F853" s="2043"/>
      <c r="G853" s="2042"/>
      <c r="H853" s="2043"/>
      <c r="I853" s="2987"/>
      <c r="J853" s="2039"/>
    </row>
    <row r="854" spans="1:10" ht="12.75">
      <c r="A854" s="2077"/>
      <c r="B854" s="2072"/>
      <c r="C854" s="2066"/>
      <c r="D854" s="2042"/>
      <c r="E854" s="2042"/>
      <c r="F854" s="2083"/>
      <c r="G854" s="2042"/>
      <c r="H854" s="2083"/>
      <c r="I854" s="2987"/>
      <c r="J854" s="2038"/>
    </row>
    <row r="855" spans="1:10" ht="12.75">
      <c r="A855" s="2077"/>
      <c r="B855" s="2072"/>
      <c r="C855" s="2066"/>
      <c r="D855" s="2042"/>
      <c r="E855" s="2042"/>
      <c r="F855" s="2043"/>
      <c r="G855" s="2042"/>
      <c r="H855" s="2043"/>
      <c r="I855" s="2987"/>
      <c r="J855" s="2039"/>
    </row>
    <row r="856" spans="1:10" ht="12.75">
      <c r="A856" s="2077"/>
      <c r="B856" s="2072"/>
      <c r="C856" s="2066"/>
      <c r="D856" s="2042"/>
      <c r="E856" s="2042"/>
      <c r="F856" s="2083"/>
      <c r="G856" s="2042"/>
      <c r="H856" s="2083"/>
      <c r="I856" s="2987"/>
      <c r="J856" s="2038"/>
    </row>
    <row r="857" spans="1:10" ht="12.75">
      <c r="A857" s="2077"/>
      <c r="B857" s="2072"/>
      <c r="C857" s="2066"/>
      <c r="D857" s="2042"/>
      <c r="E857" s="2042"/>
      <c r="F857" s="2083"/>
      <c r="G857" s="2042"/>
      <c r="H857" s="2083"/>
      <c r="I857" s="2987"/>
      <c r="J857" s="2038"/>
    </row>
    <row r="858" spans="1:10" ht="12.75">
      <c r="A858" s="2077"/>
      <c r="B858" s="2072"/>
      <c r="C858" s="2066"/>
      <c r="D858" s="2042"/>
      <c r="E858" s="2042"/>
      <c r="F858" s="2083"/>
      <c r="G858" s="2042"/>
      <c r="H858" s="2083"/>
      <c r="I858" s="2987"/>
      <c r="J858" s="2038"/>
    </row>
    <row r="859" spans="1:10" ht="12.75">
      <c r="A859" s="2077"/>
      <c r="B859" s="2072"/>
      <c r="C859" s="2066"/>
      <c r="D859" s="2042"/>
      <c r="E859" s="2042"/>
      <c r="F859" s="2083"/>
      <c r="G859" s="2042"/>
      <c r="H859" s="2083"/>
      <c r="I859" s="2987"/>
      <c r="J859" s="2038"/>
    </row>
    <row r="860" spans="1:10" ht="12.75">
      <c r="A860" s="3272"/>
      <c r="B860" s="3272"/>
      <c r="C860" s="2066"/>
      <c r="D860" s="2042"/>
      <c r="E860" s="2042"/>
      <c r="F860" s="2043"/>
      <c r="G860" s="2042"/>
      <c r="H860" s="2043"/>
      <c r="I860" s="2987"/>
      <c r="J860" s="2039"/>
    </row>
    <row r="861" spans="1:10" ht="12.75">
      <c r="A861" s="3272"/>
      <c r="B861" s="3272"/>
      <c r="C861" s="2066"/>
      <c r="D861" s="2042"/>
      <c r="E861" s="2042"/>
      <c r="F861" s="2043"/>
      <c r="G861" s="2042"/>
      <c r="H861" s="2043"/>
      <c r="I861" s="2987"/>
      <c r="J861" s="2039"/>
    </row>
    <row r="862" spans="1:10" ht="12.75">
      <c r="A862" s="3272"/>
      <c r="B862" s="3272"/>
      <c r="C862" s="2066"/>
      <c r="D862" s="2042"/>
      <c r="E862" s="2042"/>
      <c r="F862" s="2083"/>
      <c r="G862" s="2042"/>
      <c r="H862" s="2083"/>
      <c r="I862" s="2987"/>
      <c r="J862" s="2038"/>
    </row>
    <row r="863" spans="1:9" ht="12.75">
      <c r="A863" s="2084"/>
      <c r="B863" s="2084"/>
      <c r="C863" s="2084"/>
      <c r="D863" s="2084"/>
      <c r="E863" s="2085"/>
      <c r="G863" s="2085"/>
      <c r="H863" s="2085"/>
      <c r="I863" s="2987"/>
    </row>
    <row r="864" spans="1:9" ht="12.75">
      <c r="A864" s="2084"/>
      <c r="B864" s="2084"/>
      <c r="C864" s="2084"/>
      <c r="D864" s="2084"/>
      <c r="E864" s="2085"/>
      <c r="G864" s="2085"/>
      <c r="H864" s="2085"/>
      <c r="I864" s="2987"/>
    </row>
  </sheetData>
  <sheetProtection/>
  <mergeCells count="88">
    <mergeCell ref="A434:A435"/>
    <mergeCell ref="A850:B850"/>
    <mergeCell ref="A860:B860"/>
    <mergeCell ref="A861:B861"/>
    <mergeCell ref="A862:B862"/>
    <mergeCell ref="A821:A822"/>
    <mergeCell ref="A824:B824"/>
    <mergeCell ref="A825:B825"/>
    <mergeCell ref="A835:B835"/>
    <mergeCell ref="A837:B837"/>
    <mergeCell ref="A841:B841"/>
    <mergeCell ref="A787:B787"/>
    <mergeCell ref="A796:B796"/>
    <mergeCell ref="A814:B814"/>
    <mergeCell ref="A815:A816"/>
    <mergeCell ref="A817:A818"/>
    <mergeCell ref="A819:A820"/>
    <mergeCell ref="A765:A766"/>
    <mergeCell ref="A767:A768"/>
    <mergeCell ref="A770:B770"/>
    <mergeCell ref="A771:B771"/>
    <mergeCell ref="A781:B781"/>
    <mergeCell ref="A783:B783"/>
    <mergeCell ref="A531:B531"/>
    <mergeCell ref="A532:B532"/>
    <mergeCell ref="A533:B533"/>
    <mergeCell ref="A760:B760"/>
    <mergeCell ref="A761:A762"/>
    <mergeCell ref="A763:A764"/>
    <mergeCell ref="A586:B586"/>
    <mergeCell ref="A589:B589"/>
    <mergeCell ref="A588:B588"/>
    <mergeCell ref="A587:B587"/>
    <mergeCell ref="A451:B451"/>
    <mergeCell ref="A521:B521"/>
    <mergeCell ref="A491:A492"/>
    <mergeCell ref="A494:B494"/>
    <mergeCell ref="A495:B495"/>
    <mergeCell ref="A506:B506"/>
    <mergeCell ref="A508:B508"/>
    <mergeCell ref="A512:B512"/>
    <mergeCell ref="A489:A490"/>
    <mergeCell ref="A402:C402"/>
    <mergeCell ref="A424:A425"/>
    <mergeCell ref="A426:A427"/>
    <mergeCell ref="A428:A429"/>
    <mergeCell ref="A432:A433"/>
    <mergeCell ref="A466:B466"/>
    <mergeCell ref="A423:B423"/>
    <mergeCell ref="A430:A431"/>
    <mergeCell ref="A440:B440"/>
    <mergeCell ref="A441:B441"/>
    <mergeCell ref="A578:B578"/>
    <mergeCell ref="A577:B577"/>
    <mergeCell ref="A576:B576"/>
    <mergeCell ref="A575:B575"/>
    <mergeCell ref="A574:B574"/>
    <mergeCell ref="A453:B453"/>
    <mergeCell ref="A457:B457"/>
    <mergeCell ref="A484:B484"/>
    <mergeCell ref="A485:A486"/>
    <mergeCell ref="A487:A488"/>
    <mergeCell ref="A584:B584"/>
    <mergeCell ref="A583:B583"/>
    <mergeCell ref="A582:B582"/>
    <mergeCell ref="A581:B581"/>
    <mergeCell ref="A580:B580"/>
    <mergeCell ref="A579:B579"/>
    <mergeCell ref="A371:C371"/>
    <mergeCell ref="A635:C635"/>
    <mergeCell ref="I284:J284"/>
    <mergeCell ref="G302:J302"/>
    <mergeCell ref="H368:J368"/>
    <mergeCell ref="H559:J559"/>
    <mergeCell ref="A570:B570"/>
    <mergeCell ref="A572:B572"/>
    <mergeCell ref="A571:B571"/>
    <mergeCell ref="A585:B585"/>
    <mergeCell ref="A749:C749"/>
    <mergeCell ref="A552:B552"/>
    <mergeCell ref="A1:J1"/>
    <mergeCell ref="H4:J4"/>
    <mergeCell ref="A5:G5"/>
    <mergeCell ref="I106:J106"/>
    <mergeCell ref="I116:J116"/>
    <mergeCell ref="G174:J174"/>
    <mergeCell ref="H224:J224"/>
    <mergeCell ref="H267:J267"/>
  </mergeCells>
  <printOptions horizontalCentered="1"/>
  <pageMargins left="0.4330708661417323" right="0.03937007874015748" top="0.7480314960629921" bottom="0.7480314960629921" header="0.31496062992125984" footer="0.31496062992125984"/>
  <pageSetup fitToHeight="0" fitToWidth="0" horizontalDpi="600" verticalDpi="600" orientation="landscape" paperSize="9" scale="80" r:id="rId1"/>
  <headerFooter alignWithMargins="0"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1">
      <selection activeCell="R54" sqref="R54:R55"/>
    </sheetView>
  </sheetViews>
  <sheetFormatPr defaultColWidth="9.140625" defaultRowHeight="12.75"/>
  <cols>
    <col min="1" max="1" width="14.8515625" style="0" customWidth="1"/>
    <col min="2" max="2" width="18.7109375" style="2666" customWidth="1"/>
    <col min="3" max="3" width="13.57421875" style="2665" customWidth="1"/>
    <col min="4" max="4" width="18.00390625" style="2666" customWidth="1"/>
    <col min="5" max="5" width="16.421875" style="1" customWidth="1"/>
  </cols>
  <sheetData>
    <row r="2" spans="1:5" ht="12.75">
      <c r="A2" s="2667"/>
      <c r="B2" s="2668"/>
      <c r="C2" s="2669"/>
      <c r="D2" s="2668"/>
      <c r="E2" s="2670"/>
    </row>
    <row r="3" spans="1:5" ht="12.75">
      <c r="A3" s="2667"/>
      <c r="B3" s="2671">
        <v>2019</v>
      </c>
      <c r="C3" s="2669" t="s">
        <v>868</v>
      </c>
      <c r="D3" s="2668" t="s">
        <v>865</v>
      </c>
      <c r="E3" s="2670"/>
    </row>
    <row r="4" spans="1:5" ht="12.75">
      <c r="A4" s="3274"/>
      <c r="B4" s="3274"/>
      <c r="C4" s="2669"/>
      <c r="D4" s="2668"/>
      <c r="E4" s="2672"/>
    </row>
    <row r="5" spans="1:5" ht="12.75">
      <c r="A5" s="2667" t="s">
        <v>866</v>
      </c>
      <c r="B5" s="2668">
        <v>1432156</v>
      </c>
      <c r="C5" s="2669" t="s">
        <v>878</v>
      </c>
      <c r="D5" s="2668">
        <v>1583504</v>
      </c>
      <c r="E5" s="2670"/>
    </row>
    <row r="6" spans="1:5" ht="12.75">
      <c r="A6" s="2667" t="s">
        <v>867</v>
      </c>
      <c r="B6" s="2668">
        <v>757979</v>
      </c>
      <c r="C6" s="2669" t="s">
        <v>842</v>
      </c>
      <c r="D6" s="2668">
        <v>757979</v>
      </c>
      <c r="E6" s="2670"/>
    </row>
    <row r="7" spans="1:5" ht="12.75">
      <c r="A7" s="2667" t="s">
        <v>859</v>
      </c>
      <c r="B7" s="2668">
        <v>1107460</v>
      </c>
      <c r="C7" s="2669" t="s">
        <v>874</v>
      </c>
      <c r="D7" s="2668">
        <v>1185748</v>
      </c>
      <c r="E7" s="2670"/>
    </row>
    <row r="8" spans="1:5" ht="12.75">
      <c r="A8" s="2667" t="s">
        <v>860</v>
      </c>
      <c r="B8" s="2668">
        <v>1028360</v>
      </c>
      <c r="C8" s="2669" t="s">
        <v>854</v>
      </c>
      <c r="D8" s="2668">
        <v>1039480</v>
      </c>
      <c r="E8" s="2670"/>
    </row>
    <row r="9" spans="1:5" ht="12.75">
      <c r="A9" s="2667" t="s">
        <v>446</v>
      </c>
      <c r="B9" s="2668">
        <f>B5+B6+-B7-B8</f>
        <v>54315</v>
      </c>
      <c r="C9" s="2669"/>
      <c r="D9" s="2668">
        <f>D5+D6+-D7-D8</f>
        <v>116255</v>
      </c>
      <c r="E9" s="2670"/>
    </row>
    <row r="10" spans="1:5" ht="12.75">
      <c r="A10" s="2667"/>
      <c r="B10" s="2668"/>
      <c r="C10" s="2669"/>
      <c r="D10" s="2668"/>
      <c r="E10" s="2670"/>
    </row>
    <row r="11" spans="1:5" ht="12.75">
      <c r="A11" s="2667" t="s">
        <v>861</v>
      </c>
      <c r="B11" s="2668">
        <v>6968351</v>
      </c>
      <c r="C11" s="2669"/>
      <c r="D11" s="2668">
        <v>6968351</v>
      </c>
      <c r="E11" s="2670"/>
    </row>
    <row r="12" spans="1:5" ht="12.75">
      <c r="A12" s="2667" t="s">
        <v>862</v>
      </c>
      <c r="B12" s="2668">
        <v>7366224</v>
      </c>
      <c r="C12" s="2669" t="s">
        <v>873</v>
      </c>
      <c r="D12" s="2668">
        <v>7444804</v>
      </c>
      <c r="E12" s="2670"/>
    </row>
    <row r="13" spans="1:5" ht="12.75">
      <c r="A13" s="2667" t="s">
        <v>446</v>
      </c>
      <c r="B13" s="2668">
        <f>B11-B12</f>
        <v>-397873</v>
      </c>
      <c r="C13" s="2669"/>
      <c r="D13" s="2668">
        <f>D11-D12</f>
        <v>-476453</v>
      </c>
      <c r="E13" s="2670"/>
    </row>
    <row r="14" spans="1:5" ht="12.75">
      <c r="A14" s="2667"/>
      <c r="B14" s="2668"/>
      <c r="C14" s="2669"/>
      <c r="D14" s="2668"/>
      <c r="E14" s="2670"/>
    </row>
    <row r="15" spans="1:5" ht="12.75">
      <c r="A15" s="2667" t="s">
        <v>863</v>
      </c>
      <c r="B15" s="2668">
        <v>7157150</v>
      </c>
      <c r="C15" s="2669" t="s">
        <v>869</v>
      </c>
      <c r="D15" s="2668">
        <v>7204561</v>
      </c>
      <c r="E15" s="2670"/>
    </row>
    <row r="16" spans="1:5" ht="12.75">
      <c r="A16" s="2667" t="s">
        <v>864</v>
      </c>
      <c r="B16" s="2668">
        <v>6806800</v>
      </c>
      <c r="C16" s="2669" t="s">
        <v>840</v>
      </c>
      <c r="D16" s="2668">
        <v>6822800</v>
      </c>
      <c r="E16" s="2670"/>
    </row>
    <row r="17" spans="1:5" ht="12.75">
      <c r="A17" s="2667" t="s">
        <v>446</v>
      </c>
      <c r="B17" s="2668">
        <f>B15-B16</f>
        <v>350350</v>
      </c>
      <c r="C17" s="2669"/>
      <c r="D17" s="2668">
        <f>D15-D16</f>
        <v>381761</v>
      </c>
      <c r="E17" s="2670"/>
    </row>
    <row r="18" spans="1:5" ht="12.75">
      <c r="A18" s="2667"/>
      <c r="B18" s="2668"/>
      <c r="C18" s="2669"/>
      <c r="D18" s="2668"/>
      <c r="E18" s="2670"/>
    </row>
    <row r="19" spans="1:5" ht="12.75">
      <c r="A19" s="2667"/>
      <c r="B19" s="2668"/>
      <c r="C19" s="2669"/>
      <c r="D19" s="2668"/>
      <c r="E19" s="2670"/>
    </row>
    <row r="20" spans="1:5" ht="12.75">
      <c r="A20" s="2667" t="s">
        <v>877</v>
      </c>
      <c r="B20" s="2668"/>
      <c r="C20" s="2669"/>
      <c r="D20" s="2668"/>
      <c r="E20" s="2670"/>
    </row>
    <row r="21" spans="1:5" ht="12.75">
      <c r="A21" s="2667" t="s">
        <v>875</v>
      </c>
      <c r="B21" s="2668">
        <f>B5+B6+B11+B15</f>
        <v>16315636</v>
      </c>
      <c r="C21" s="2669" t="s">
        <v>870</v>
      </c>
      <c r="D21" s="2668">
        <f>D5+D6+D11+D15</f>
        <v>16514395</v>
      </c>
      <c r="E21" s="2670"/>
    </row>
    <row r="22" spans="1:5" ht="12.75">
      <c r="A22" s="2667" t="s">
        <v>876</v>
      </c>
      <c r="B22" s="2668">
        <f>B7+B8+B12+B16</f>
        <v>16308844</v>
      </c>
      <c r="C22" s="2669" t="s">
        <v>879</v>
      </c>
      <c r="D22" s="2668">
        <f>D7+D8+D12+D16</f>
        <v>16492832</v>
      </c>
      <c r="E22" s="2670"/>
    </row>
    <row r="23" spans="1:5" ht="12.75">
      <c r="A23" s="2667"/>
      <c r="B23" s="2668">
        <f>B21-B22</f>
        <v>6792</v>
      </c>
      <c r="C23" s="2669" t="s">
        <v>880</v>
      </c>
      <c r="D23" s="2668">
        <f>D21-D22</f>
        <v>21563</v>
      </c>
      <c r="E23" s="2670"/>
    </row>
    <row r="24" spans="1:5" ht="12.75">
      <c r="A24" s="2667"/>
      <c r="B24" s="2668"/>
      <c r="C24" s="2669"/>
      <c r="D24" s="2668"/>
      <c r="E24" s="2670"/>
    </row>
    <row r="25" spans="1:5" ht="12.75">
      <c r="A25" s="2667"/>
      <c r="B25" s="2668"/>
      <c r="C25" s="2669"/>
      <c r="D25" s="2668"/>
      <c r="E25" s="2670"/>
    </row>
    <row r="26" spans="1:5" ht="12.75">
      <c r="A26" s="2667"/>
      <c r="B26" s="2668"/>
      <c r="C26" s="2669"/>
      <c r="D26" s="2668"/>
      <c r="E26" s="2670"/>
    </row>
    <row r="27" spans="1:5" ht="12.75">
      <c r="A27" s="2667"/>
      <c r="B27" s="2668"/>
      <c r="C27" s="2669"/>
      <c r="D27" s="2668"/>
      <c r="E27" s="2670"/>
    </row>
    <row r="28" spans="1:5" ht="12.75">
      <c r="A28" s="2667"/>
      <c r="B28" s="2668"/>
      <c r="C28" s="2669"/>
      <c r="D28" s="2668"/>
      <c r="E28" s="2670"/>
    </row>
  </sheetData>
  <sheetProtection/>
  <mergeCells count="1"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246"/>
  <sheetViews>
    <sheetView workbookViewId="0" topLeftCell="A142">
      <selection activeCell="N170" sqref="N170"/>
    </sheetView>
  </sheetViews>
  <sheetFormatPr defaultColWidth="6.28125" defaultRowHeight="12.75"/>
  <cols>
    <col min="1" max="2" width="5.00390625" style="16" customWidth="1"/>
    <col min="3" max="3" width="32.421875" style="16" customWidth="1"/>
    <col min="4" max="6" width="0" style="16" hidden="1" customWidth="1"/>
    <col min="7" max="7" width="0" style="17" hidden="1" customWidth="1"/>
    <col min="8" max="9" width="0" style="16" hidden="1" customWidth="1"/>
    <col min="10" max="10" width="10.421875" style="16" bestFit="1" customWidth="1"/>
    <col min="11" max="12" width="12.00390625" style="16" customWidth="1"/>
    <col min="13" max="13" width="15.28125" style="2513" customWidth="1"/>
    <col min="14" max="14" width="14.140625" style="16" customWidth="1"/>
    <col min="15" max="15" width="17.421875" style="2844" customWidth="1"/>
    <col min="16" max="16" width="14.8515625" style="18" customWidth="1"/>
    <col min="17" max="17" width="11.00390625" style="19" customWidth="1"/>
    <col min="18" max="18" width="10.00390625" style="19" customWidth="1"/>
    <col min="19" max="19" width="17.421875" style="19" customWidth="1"/>
    <col min="20" max="20" width="9.7109375" style="20" customWidth="1"/>
    <col min="21" max="21" width="18.140625" style="16" customWidth="1"/>
    <col min="22" max="16384" width="6.28125" style="16" customWidth="1"/>
  </cols>
  <sheetData>
    <row r="2" spans="1:20" ht="15.75">
      <c r="A2" s="3179" t="s">
        <v>900</v>
      </c>
      <c r="B2" s="3179"/>
      <c r="C2" s="3179"/>
      <c r="D2" s="3179"/>
      <c r="E2" s="3179"/>
      <c r="F2" s="3179"/>
      <c r="G2" s="3179"/>
      <c r="H2" s="3179"/>
      <c r="I2" s="3179"/>
      <c r="J2" s="3179"/>
      <c r="K2" s="3179"/>
      <c r="L2" s="3179"/>
      <c r="M2" s="3179"/>
      <c r="N2" s="3179"/>
      <c r="O2" s="3179"/>
      <c r="P2" s="3179"/>
      <c r="Q2" s="21"/>
      <c r="R2" s="21"/>
      <c r="S2" s="21"/>
      <c r="T2" s="21"/>
    </row>
    <row r="4" ht="12.75">
      <c r="C4" s="565" t="s">
        <v>1</v>
      </c>
    </row>
    <row r="5" spans="1:20" ht="16.5" thickBot="1">
      <c r="A5" s="3180"/>
      <c r="B5" s="3180"/>
      <c r="C5" s="3180"/>
      <c r="D5" s="3180"/>
      <c r="E5" s="3180"/>
      <c r="F5" s="23"/>
      <c r="G5" s="23"/>
      <c r="H5" s="17"/>
      <c r="I5" s="17"/>
      <c r="J5" s="17"/>
      <c r="K5" s="17" t="s">
        <v>94</v>
      </c>
      <c r="L5" s="17"/>
      <c r="M5" s="3181"/>
      <c r="N5" s="3181"/>
      <c r="O5" s="3181"/>
      <c r="P5" s="3181"/>
      <c r="Q5" s="24"/>
      <c r="R5" s="24"/>
      <c r="S5" s="24"/>
      <c r="T5" s="24"/>
    </row>
    <row r="6" spans="1:20" ht="16.5" hidden="1" thickBot="1">
      <c r="A6" s="22"/>
      <c r="B6" s="22"/>
      <c r="C6" s="22"/>
      <c r="D6" s="22"/>
      <c r="E6" s="22"/>
      <c r="F6" s="23"/>
      <c r="G6" s="23"/>
      <c r="H6" s="17"/>
      <c r="I6" s="17"/>
      <c r="J6" s="17"/>
      <c r="K6" s="17"/>
      <c r="L6" s="17"/>
      <c r="M6" s="2514"/>
      <c r="N6" s="25"/>
      <c r="O6" s="2845"/>
      <c r="P6" s="26"/>
      <c r="Q6" s="25"/>
      <c r="R6" s="25"/>
      <c r="S6" s="25"/>
      <c r="T6" s="27"/>
    </row>
    <row r="7" ht="13.5" hidden="1" thickBot="1"/>
    <row r="8" spans="1:20" s="19" customFormat="1" ht="22.5" customHeight="1" thickBot="1">
      <c r="A8" s="1784" t="s">
        <v>1</v>
      </c>
      <c r="B8" s="1785"/>
      <c r="C8" s="1913"/>
      <c r="D8" s="1787"/>
      <c r="E8" s="1788"/>
      <c r="F8" s="1787"/>
      <c r="G8" s="1788"/>
      <c r="H8" s="1787"/>
      <c r="I8" s="1788"/>
      <c r="J8" s="1788">
        <v>2017</v>
      </c>
      <c r="K8" s="1916">
        <v>2018</v>
      </c>
      <c r="L8" s="1917">
        <v>2019</v>
      </c>
      <c r="M8" s="2515" t="s">
        <v>881</v>
      </c>
      <c r="N8" s="2178">
        <v>2020</v>
      </c>
      <c r="O8" s="2873" t="s">
        <v>882</v>
      </c>
      <c r="P8" s="2843">
        <v>2022</v>
      </c>
      <c r="Q8" s="29"/>
      <c r="R8" s="29"/>
      <c r="S8" s="29"/>
      <c r="T8" s="30"/>
    </row>
    <row r="9" spans="1:20" s="33" customFormat="1" ht="13.5" thickBot="1">
      <c r="A9" s="2179" t="s">
        <v>95</v>
      </c>
      <c r="B9" s="1219"/>
      <c r="C9" s="1220"/>
      <c r="D9" s="1221"/>
      <c r="E9" s="1222"/>
      <c r="F9" s="1221"/>
      <c r="G9" s="1222"/>
      <c r="H9" s="1221"/>
      <c r="I9" s="1222"/>
      <c r="J9" s="1221">
        <f>SUM(J10,J15)</f>
        <v>892982</v>
      </c>
      <c r="K9" s="1514">
        <f>K10+K15</f>
        <v>1015163.92</v>
      </c>
      <c r="L9" s="2175">
        <f>SUM(L10,L15)</f>
        <v>1047790</v>
      </c>
      <c r="M9" s="2625">
        <f>SUM(M10,M15)</f>
        <v>1124684</v>
      </c>
      <c r="N9" s="3029">
        <f>SUM(N10,N15)</f>
        <v>1174363</v>
      </c>
      <c r="O9" s="3030">
        <f>SUM(O10,O15)</f>
        <v>1217941</v>
      </c>
      <c r="P9" s="3031">
        <f>SUM(P10,P15)</f>
        <v>1280695</v>
      </c>
      <c r="Q9" s="31"/>
      <c r="R9" s="31"/>
      <c r="S9" s="31"/>
      <c r="T9" s="32"/>
    </row>
    <row r="10" spans="1:21" s="19" customFormat="1" ht="12.75">
      <c r="A10" s="790">
        <v>111</v>
      </c>
      <c r="B10" s="35" t="s">
        <v>96</v>
      </c>
      <c r="C10" s="965" t="s">
        <v>97</v>
      </c>
      <c r="D10" s="36"/>
      <c r="E10" s="37"/>
      <c r="F10" s="36"/>
      <c r="G10" s="36"/>
      <c r="H10" s="36"/>
      <c r="I10" s="36"/>
      <c r="J10" s="1511">
        <v>769907</v>
      </c>
      <c r="K10" s="1511">
        <v>852522.05</v>
      </c>
      <c r="L10" s="2176">
        <v>884520</v>
      </c>
      <c r="M10" s="3048">
        <v>963000</v>
      </c>
      <c r="N10" s="3087">
        <v>950963</v>
      </c>
      <c r="O10" s="3100">
        <v>994541</v>
      </c>
      <c r="P10" s="3101">
        <v>1057295</v>
      </c>
      <c r="Q10" s="38"/>
      <c r="R10" s="38"/>
      <c r="S10" s="38"/>
      <c r="T10" s="39"/>
      <c r="U10" s="40"/>
    </row>
    <row r="11" spans="1:21" s="19" customFormat="1" ht="12.75">
      <c r="A11" s="790"/>
      <c r="B11" s="35"/>
      <c r="C11" s="965" t="s">
        <v>772</v>
      </c>
      <c r="D11" s="36"/>
      <c r="E11" s="37"/>
      <c r="F11" s="36"/>
      <c r="G11" s="36"/>
      <c r="H11" s="36"/>
      <c r="I11" s="36"/>
      <c r="J11" s="1511"/>
      <c r="K11" s="1511">
        <v>130964</v>
      </c>
      <c r="L11" s="2225">
        <v>166500</v>
      </c>
      <c r="M11" s="2878">
        <v>166500</v>
      </c>
      <c r="N11" s="2879">
        <v>166500</v>
      </c>
      <c r="O11" s="2880">
        <v>166500</v>
      </c>
      <c r="P11" s="2881">
        <v>166500</v>
      </c>
      <c r="Q11" s="2094"/>
      <c r="R11" s="2094"/>
      <c r="S11" s="2094"/>
      <c r="T11" s="39"/>
      <c r="U11" s="40"/>
    </row>
    <row r="12" spans="1:21" s="19" customFormat="1" ht="12.75">
      <c r="A12" s="790"/>
      <c r="B12" s="35"/>
      <c r="C12" s="965" t="s">
        <v>769</v>
      </c>
      <c r="D12" s="36"/>
      <c r="E12" s="37"/>
      <c r="F12" s="36"/>
      <c r="G12" s="36"/>
      <c r="H12" s="36"/>
      <c r="I12" s="36"/>
      <c r="J12" s="1511"/>
      <c r="K12" s="1511">
        <v>7572</v>
      </c>
      <c r="L12" s="2225">
        <v>26261</v>
      </c>
      <c r="M12" s="2878">
        <v>26261</v>
      </c>
      <c r="N12" s="2879">
        <v>28880</v>
      </c>
      <c r="O12" s="2880">
        <v>29500</v>
      </c>
      <c r="P12" s="2882">
        <v>29500</v>
      </c>
      <c r="Q12" s="38"/>
      <c r="R12" s="38"/>
      <c r="S12" s="38"/>
      <c r="T12" s="39"/>
      <c r="U12" s="40"/>
    </row>
    <row r="13" spans="1:21" s="19" customFormat="1" ht="12.75">
      <c r="A13" s="790"/>
      <c r="B13" s="35"/>
      <c r="C13" s="965" t="s">
        <v>770</v>
      </c>
      <c r="D13" s="36"/>
      <c r="E13" s="37"/>
      <c r="F13" s="36"/>
      <c r="G13" s="36"/>
      <c r="H13" s="36"/>
      <c r="I13" s="36"/>
      <c r="J13" s="1511"/>
      <c r="K13" s="1511">
        <v>4511</v>
      </c>
      <c r="L13" s="2225">
        <v>11111</v>
      </c>
      <c r="M13" s="2878">
        <v>11111</v>
      </c>
      <c r="N13" s="2879">
        <v>11300</v>
      </c>
      <c r="O13" s="2880">
        <v>11500</v>
      </c>
      <c r="P13" s="2882">
        <v>11500</v>
      </c>
      <c r="Q13" s="38"/>
      <c r="R13" s="38"/>
      <c r="S13" s="38"/>
      <c r="T13" s="39"/>
      <c r="U13" s="40"/>
    </row>
    <row r="14" spans="1:21" s="19" customFormat="1" ht="12.75">
      <c r="A14" s="790"/>
      <c r="B14" s="35"/>
      <c r="C14" s="965" t="s">
        <v>780</v>
      </c>
      <c r="D14" s="36"/>
      <c r="E14" s="37"/>
      <c r="F14" s="36"/>
      <c r="G14" s="36"/>
      <c r="H14" s="36"/>
      <c r="I14" s="36"/>
      <c r="J14" s="1511"/>
      <c r="K14" s="1511"/>
      <c r="L14" s="2225">
        <v>26200</v>
      </c>
      <c r="M14" s="2883">
        <v>26200</v>
      </c>
      <c r="N14" s="2879">
        <v>26200</v>
      </c>
      <c r="O14" s="2880">
        <v>26200</v>
      </c>
      <c r="P14" s="2882">
        <v>26200</v>
      </c>
      <c r="Q14" s="38"/>
      <c r="R14" s="38"/>
      <c r="S14" s="38"/>
      <c r="T14" s="39"/>
      <c r="U14" s="40"/>
    </row>
    <row r="15" spans="1:20" s="19" customFormat="1" ht="12.75">
      <c r="A15" s="790">
        <v>121</v>
      </c>
      <c r="B15" s="35"/>
      <c r="C15" s="965" t="s">
        <v>7</v>
      </c>
      <c r="D15" s="36"/>
      <c r="E15" s="37"/>
      <c r="F15" s="36"/>
      <c r="G15" s="36"/>
      <c r="H15" s="36"/>
      <c r="I15" s="36"/>
      <c r="J15" s="97">
        <f>J16+J18+J20</f>
        <v>123075</v>
      </c>
      <c r="K15" s="1511">
        <f>K16+K18+K20</f>
        <v>162641.87</v>
      </c>
      <c r="L15" s="2177">
        <f>L16+L18+L20</f>
        <v>163270</v>
      </c>
      <c r="M15" s="3049">
        <f>M16+M18+M20+M19+M17</f>
        <v>161684</v>
      </c>
      <c r="N15" s="3050">
        <f>N16+N18+N20+N17+N19</f>
        <v>223400</v>
      </c>
      <c r="O15" s="3051">
        <f>O16+O18+O20+O17+O19</f>
        <v>223400</v>
      </c>
      <c r="P15" s="3052">
        <f>P16+P18+P20+P17+P19</f>
        <v>223400</v>
      </c>
      <c r="Q15" s="38"/>
      <c r="R15" s="38"/>
      <c r="S15" s="38"/>
      <c r="T15" s="39"/>
    </row>
    <row r="16" spans="1:20" s="19" customFormat="1" ht="12.75">
      <c r="A16" s="782">
        <v>121</v>
      </c>
      <c r="B16" s="42" t="s">
        <v>98</v>
      </c>
      <c r="C16" s="1231" t="s">
        <v>99</v>
      </c>
      <c r="D16" s="43"/>
      <c r="E16" s="43"/>
      <c r="F16" s="43"/>
      <c r="G16" s="44"/>
      <c r="H16" s="43"/>
      <c r="I16" s="43"/>
      <c r="J16" s="1515">
        <v>98845</v>
      </c>
      <c r="K16" s="1519">
        <v>137761.43</v>
      </c>
      <c r="L16" s="1782">
        <v>136000</v>
      </c>
      <c r="M16" s="2885">
        <v>122400</v>
      </c>
      <c r="N16" s="2886">
        <v>168000</v>
      </c>
      <c r="O16" s="2887">
        <v>168000</v>
      </c>
      <c r="P16" s="2888">
        <v>168000</v>
      </c>
      <c r="Q16" s="45"/>
      <c r="R16" s="45"/>
      <c r="S16" s="45"/>
      <c r="T16" s="46"/>
    </row>
    <row r="17" spans="1:20" ht="12.75">
      <c r="A17" s="782">
        <v>121</v>
      </c>
      <c r="B17" s="42" t="s">
        <v>98</v>
      </c>
      <c r="C17" s="1231" t="s">
        <v>883</v>
      </c>
      <c r="D17" s="43"/>
      <c r="E17" s="43"/>
      <c r="F17" s="43"/>
      <c r="G17" s="44"/>
      <c r="H17" s="43"/>
      <c r="I17" s="43"/>
      <c r="J17" s="1516">
        <v>517</v>
      </c>
      <c r="K17" s="1520">
        <v>22251.78</v>
      </c>
      <c r="L17" s="2153">
        <v>10000</v>
      </c>
      <c r="M17" s="2889">
        <v>11200</v>
      </c>
      <c r="N17" s="2890">
        <v>10000</v>
      </c>
      <c r="O17" s="2891">
        <v>10000</v>
      </c>
      <c r="P17" s="2892">
        <v>10000</v>
      </c>
      <c r="Q17" s="47"/>
      <c r="R17" s="47"/>
      <c r="S17" s="47"/>
      <c r="T17" s="47"/>
    </row>
    <row r="18" spans="1:20" ht="12.75">
      <c r="A18" s="782">
        <v>121</v>
      </c>
      <c r="B18" s="42" t="s">
        <v>100</v>
      </c>
      <c r="C18" s="1231" t="s">
        <v>101</v>
      </c>
      <c r="D18" s="48"/>
      <c r="E18" s="49"/>
      <c r="F18" s="48"/>
      <c r="G18" s="50"/>
      <c r="H18" s="49"/>
      <c r="I18" s="49"/>
      <c r="J18" s="1517">
        <v>23940</v>
      </c>
      <c r="K18" s="1521">
        <v>24594.13</v>
      </c>
      <c r="L18" s="1730">
        <v>27000</v>
      </c>
      <c r="M18" s="2884">
        <v>25500</v>
      </c>
      <c r="N18" s="2893">
        <v>43500</v>
      </c>
      <c r="O18" s="2894">
        <v>43500</v>
      </c>
      <c r="P18" s="2895">
        <v>43500</v>
      </c>
      <c r="Q18" s="45"/>
      <c r="R18" s="45"/>
      <c r="S18" s="45"/>
      <c r="T18" s="46"/>
    </row>
    <row r="19" spans="1:20" ht="12.75">
      <c r="A19" s="782">
        <v>121</v>
      </c>
      <c r="B19" s="42" t="s">
        <v>100</v>
      </c>
      <c r="C19" s="1231" t="s">
        <v>884</v>
      </c>
      <c r="D19" s="48"/>
      <c r="E19" s="49"/>
      <c r="F19" s="48"/>
      <c r="G19" s="50"/>
      <c r="H19" s="49"/>
      <c r="I19" s="49"/>
      <c r="J19" s="1518">
        <v>676</v>
      </c>
      <c r="K19" s="1522">
        <v>1248.58</v>
      </c>
      <c r="L19" s="2134">
        <v>1500</v>
      </c>
      <c r="M19" s="2896">
        <v>2300</v>
      </c>
      <c r="N19" s="2897">
        <v>1500</v>
      </c>
      <c r="O19" s="2894">
        <v>1500</v>
      </c>
      <c r="P19" s="2898">
        <v>1500</v>
      </c>
      <c r="Q19" s="47"/>
      <c r="R19" s="47"/>
      <c r="S19" s="47"/>
      <c r="T19" s="47"/>
    </row>
    <row r="20" spans="1:21" ht="13.5" thickBot="1">
      <c r="A20" s="800">
        <v>121</v>
      </c>
      <c r="B20" s="801" t="s">
        <v>96</v>
      </c>
      <c r="C20" s="1239" t="s">
        <v>102</v>
      </c>
      <c r="D20" s="2141"/>
      <c r="E20" s="2181"/>
      <c r="F20" s="2141"/>
      <c r="G20" s="2182"/>
      <c r="H20" s="2181"/>
      <c r="I20" s="2181"/>
      <c r="J20" s="2183">
        <v>290</v>
      </c>
      <c r="K20" s="1892">
        <v>286.31</v>
      </c>
      <c r="L20" s="1798">
        <v>270</v>
      </c>
      <c r="M20" s="2899">
        <v>284</v>
      </c>
      <c r="N20" s="2900">
        <v>400</v>
      </c>
      <c r="O20" s="2901">
        <v>400</v>
      </c>
      <c r="P20" s="2902">
        <v>400</v>
      </c>
      <c r="Q20" s="45"/>
      <c r="R20" s="45"/>
      <c r="S20" s="45"/>
      <c r="T20" s="46"/>
      <c r="U20" s="54"/>
    </row>
    <row r="21" spans="1:20" ht="13.5" thickBot="1">
      <c r="A21" s="55"/>
      <c r="B21" s="55"/>
      <c r="C21" s="55"/>
      <c r="D21" s="56"/>
      <c r="E21" s="57"/>
      <c r="F21" s="56"/>
      <c r="G21" s="58"/>
      <c r="H21" s="57"/>
      <c r="I21" s="57"/>
      <c r="J21" s="57"/>
      <c r="K21" s="57"/>
      <c r="L21" s="57"/>
      <c r="M21" s="2526"/>
      <c r="N21" s="2526"/>
      <c r="P21" s="2527"/>
      <c r="Q21" s="46"/>
      <c r="R21" s="46"/>
      <c r="S21" s="46"/>
      <c r="T21" s="46"/>
    </row>
    <row r="22" spans="1:20" s="62" customFormat="1" ht="13.5" thickBot="1">
      <c r="A22" s="2184" t="s">
        <v>103</v>
      </c>
      <c r="B22" s="2185"/>
      <c r="C22" s="2186"/>
      <c r="D22" s="2187"/>
      <c r="E22" s="2188"/>
      <c r="F22" s="2187"/>
      <c r="G22" s="2188"/>
      <c r="H22" s="2187"/>
      <c r="I22" s="2188"/>
      <c r="J22" s="2187">
        <f>SUM(J23,J25,J26,J27,J29)</f>
        <v>67319</v>
      </c>
      <c r="K22" s="2189">
        <f>K23+K25+K26+K27+K29+K30</f>
        <v>63346.16</v>
      </c>
      <c r="L22" s="2190">
        <f>SUM(L23,L25,L26,L27,L29)+L311</f>
        <v>70261</v>
      </c>
      <c r="M22" s="3027">
        <f>SUM(M23,M25,M26,M27,M29)+M311+M30+M28+M24</f>
        <v>66893</v>
      </c>
      <c r="N22" s="3028">
        <f>SUM(N23,N25,N26,N27,N29)+N311+N30+N28+N24</f>
        <v>103961</v>
      </c>
      <c r="O22" s="2919">
        <f>SUM(O23,O25,O26,O27,O29)+O311+O30+O28+O24</f>
        <v>105961</v>
      </c>
      <c r="P22" s="2920">
        <f>SUM(P23,P25,P26,P27,P29)+P311+P30+P28+P24</f>
        <v>105961</v>
      </c>
      <c r="Q22" s="61"/>
      <c r="R22" s="61"/>
      <c r="S22" s="61"/>
      <c r="T22" s="61"/>
    </row>
    <row r="23" spans="1:20" ht="12.75">
      <c r="A23" s="790">
        <v>133</v>
      </c>
      <c r="B23" s="35" t="s">
        <v>98</v>
      </c>
      <c r="C23" s="965" t="s">
        <v>13</v>
      </c>
      <c r="D23" s="49"/>
      <c r="E23" s="49"/>
      <c r="F23" s="49"/>
      <c r="G23" s="63"/>
      <c r="H23" s="49"/>
      <c r="I23" s="49"/>
      <c r="J23" s="951">
        <v>2806</v>
      </c>
      <c r="K23" s="1521">
        <v>2617.3</v>
      </c>
      <c r="L23" s="1781">
        <v>2500</v>
      </c>
      <c r="M23" s="2528">
        <v>2850</v>
      </c>
      <c r="N23" s="2529">
        <v>2850</v>
      </c>
      <c r="O23" s="2849">
        <v>2850</v>
      </c>
      <c r="P23" s="2522">
        <v>2850</v>
      </c>
      <c r="Q23" s="45"/>
      <c r="R23" s="45"/>
      <c r="S23" s="45"/>
      <c r="T23" s="46"/>
    </row>
    <row r="24" spans="1:20" ht="12.75">
      <c r="A24" s="790">
        <v>133</v>
      </c>
      <c r="B24" s="35" t="s">
        <v>98</v>
      </c>
      <c r="C24" s="965" t="s">
        <v>901</v>
      </c>
      <c r="D24" s="49"/>
      <c r="E24" s="49"/>
      <c r="F24" s="49"/>
      <c r="G24" s="63"/>
      <c r="H24" s="49"/>
      <c r="I24" s="49"/>
      <c r="J24" s="1512">
        <v>311</v>
      </c>
      <c r="K24" s="1522">
        <v>125.79</v>
      </c>
      <c r="L24" s="2134">
        <v>250</v>
      </c>
      <c r="M24" s="2530">
        <v>250</v>
      </c>
      <c r="N24" s="2531">
        <v>250</v>
      </c>
      <c r="O24" s="2849">
        <v>250</v>
      </c>
      <c r="P24" s="2523">
        <v>250</v>
      </c>
      <c r="Q24" s="47"/>
      <c r="R24" s="47"/>
      <c r="S24" s="47"/>
      <c r="T24" s="47"/>
    </row>
    <row r="25" spans="1:20" ht="12.75">
      <c r="A25" s="782">
        <v>133</v>
      </c>
      <c r="B25" s="35" t="s">
        <v>96</v>
      </c>
      <c r="C25" s="965" t="s">
        <v>16</v>
      </c>
      <c r="D25" s="49"/>
      <c r="E25" s="49"/>
      <c r="F25" s="49"/>
      <c r="G25" s="63"/>
      <c r="H25" s="49"/>
      <c r="I25" s="49"/>
      <c r="J25" s="951">
        <v>0</v>
      </c>
      <c r="K25" s="1521">
        <v>0</v>
      </c>
      <c r="L25" s="1730">
        <v>0</v>
      </c>
      <c r="M25" s="2528">
        <v>0</v>
      </c>
      <c r="N25" s="2532">
        <v>0</v>
      </c>
      <c r="O25" s="2849">
        <v>0</v>
      </c>
      <c r="P25" s="2522">
        <v>0</v>
      </c>
      <c r="Q25" s="45"/>
      <c r="R25" s="45"/>
      <c r="S25" s="45"/>
      <c r="T25" s="46"/>
    </row>
    <row r="26" spans="1:20" ht="12.75">
      <c r="A26" s="782">
        <v>133</v>
      </c>
      <c r="B26" s="35" t="s">
        <v>104</v>
      </c>
      <c r="C26" s="965" t="s">
        <v>10</v>
      </c>
      <c r="D26" s="49"/>
      <c r="E26" s="49"/>
      <c r="F26" s="49"/>
      <c r="G26" s="63"/>
      <c r="H26" s="49"/>
      <c r="I26" s="49"/>
      <c r="J26" s="951">
        <v>1473</v>
      </c>
      <c r="K26" s="1521">
        <v>1608.29</v>
      </c>
      <c r="L26" s="1730">
        <v>1400</v>
      </c>
      <c r="M26" s="2528">
        <v>1400</v>
      </c>
      <c r="N26" s="2532">
        <v>1400</v>
      </c>
      <c r="O26" s="2849">
        <v>1400</v>
      </c>
      <c r="P26" s="2522">
        <v>1400</v>
      </c>
      <c r="Q26" s="45"/>
      <c r="R26" s="45"/>
      <c r="S26" s="45"/>
      <c r="T26" s="46"/>
    </row>
    <row r="27" spans="1:21" ht="12.75">
      <c r="A27" s="782">
        <v>133</v>
      </c>
      <c r="B27" s="35" t="s">
        <v>105</v>
      </c>
      <c r="C27" s="965" t="s">
        <v>106</v>
      </c>
      <c r="D27" s="49"/>
      <c r="E27" s="49"/>
      <c r="F27" s="49"/>
      <c r="G27" s="63"/>
      <c r="H27" s="49"/>
      <c r="I27" s="49"/>
      <c r="J27" s="951">
        <v>36679</v>
      </c>
      <c r="K27" s="1521">
        <v>32695.76</v>
      </c>
      <c r="L27" s="1730">
        <v>40000</v>
      </c>
      <c r="M27" s="2528">
        <v>31000</v>
      </c>
      <c r="N27" s="2532">
        <v>68000</v>
      </c>
      <c r="O27" s="2849">
        <v>70000</v>
      </c>
      <c r="P27" s="2522">
        <v>70000</v>
      </c>
      <c r="Q27" s="45"/>
      <c r="R27" s="45"/>
      <c r="S27" s="45"/>
      <c r="T27" s="46"/>
      <c r="U27" s="64"/>
    </row>
    <row r="28" spans="1:20" ht="12.75">
      <c r="A28" s="782">
        <v>133</v>
      </c>
      <c r="B28" s="35" t="s">
        <v>105</v>
      </c>
      <c r="C28" s="965" t="s">
        <v>902</v>
      </c>
      <c r="D28" s="49"/>
      <c r="E28" s="49"/>
      <c r="F28" s="49"/>
      <c r="G28" s="63"/>
      <c r="H28" s="49"/>
      <c r="I28" s="49"/>
      <c r="J28" s="1512">
        <v>6102</v>
      </c>
      <c r="K28" s="1522">
        <v>6287.86</v>
      </c>
      <c r="L28" s="2134">
        <v>5000</v>
      </c>
      <c r="M28" s="2874">
        <v>5000</v>
      </c>
      <c r="N28" s="2877">
        <v>5000</v>
      </c>
      <c r="O28" s="2875">
        <v>5000</v>
      </c>
      <c r="P28" s="2876">
        <v>5000</v>
      </c>
      <c r="Q28" s="47"/>
      <c r="R28" s="47"/>
      <c r="S28" s="47"/>
      <c r="T28" s="46"/>
    </row>
    <row r="29" spans="1:21" ht="13.5" thickBot="1">
      <c r="A29" s="783">
        <v>133</v>
      </c>
      <c r="B29" s="66" t="s">
        <v>107</v>
      </c>
      <c r="C29" s="965" t="s">
        <v>108</v>
      </c>
      <c r="D29" s="43"/>
      <c r="E29" s="43"/>
      <c r="F29" s="43"/>
      <c r="G29" s="44"/>
      <c r="H29" s="43"/>
      <c r="I29" s="43"/>
      <c r="J29" s="951">
        <v>26361</v>
      </c>
      <c r="K29" s="1521">
        <v>26361.31</v>
      </c>
      <c r="L29" s="1783">
        <v>26361</v>
      </c>
      <c r="M29" s="2528">
        <v>26361</v>
      </c>
      <c r="N29" s="2533">
        <v>26361</v>
      </c>
      <c r="O29" s="2848">
        <v>26361</v>
      </c>
      <c r="P29" s="2534">
        <v>26361</v>
      </c>
      <c r="Q29" s="45"/>
      <c r="R29" s="45"/>
      <c r="S29" s="45"/>
      <c r="T29" s="46"/>
      <c r="U29" s="54"/>
    </row>
    <row r="30" spans="1:21" ht="13.5" thickBot="1">
      <c r="A30" s="783">
        <v>160</v>
      </c>
      <c r="B30" s="66"/>
      <c r="C30" s="2622" t="s">
        <v>833</v>
      </c>
      <c r="D30" s="43"/>
      <c r="E30" s="43"/>
      <c r="F30" s="43"/>
      <c r="G30" s="44"/>
      <c r="H30" s="43"/>
      <c r="I30" s="43"/>
      <c r="J30" s="950"/>
      <c r="K30" s="1891">
        <v>63.5</v>
      </c>
      <c r="L30" s="1938">
        <v>0</v>
      </c>
      <c r="M30" s="2623">
        <v>32</v>
      </c>
      <c r="N30" s="2624">
        <v>100</v>
      </c>
      <c r="O30" s="2848">
        <v>100</v>
      </c>
      <c r="P30" s="2534">
        <v>100</v>
      </c>
      <c r="Q30" s="45"/>
      <c r="R30" s="45"/>
      <c r="S30" s="45"/>
      <c r="T30" s="46"/>
      <c r="U30" s="54"/>
    </row>
    <row r="31" spans="1:20" ht="13.5" thickBot="1">
      <c r="A31" s="3182" t="s">
        <v>109</v>
      </c>
      <c r="B31" s="3183"/>
      <c r="C31" s="3183"/>
      <c r="D31" s="2191"/>
      <c r="E31" s="2192"/>
      <c r="F31" s="2191"/>
      <c r="G31" s="2192"/>
      <c r="H31" s="2191"/>
      <c r="I31" s="2192"/>
      <c r="J31" s="2191">
        <f>SUM(J9,J22)</f>
        <v>960301</v>
      </c>
      <c r="K31" s="2193">
        <f>K9+K22</f>
        <v>1078510.08</v>
      </c>
      <c r="L31" s="2194">
        <f>SUM(L9,L22)</f>
        <v>1118051</v>
      </c>
      <c r="M31" s="3044">
        <f>SUM(M9,M22)</f>
        <v>1191577</v>
      </c>
      <c r="N31" s="2914">
        <f>SUM(N9,N22)</f>
        <v>1278324</v>
      </c>
      <c r="O31" s="2915">
        <f>SUM(O9,O22)</f>
        <v>1323902</v>
      </c>
      <c r="P31" s="2916">
        <f>SUM(P9,P22)</f>
        <v>1386656</v>
      </c>
      <c r="Q31" s="61"/>
      <c r="R31" s="61"/>
      <c r="S31" s="61"/>
      <c r="T31" s="61"/>
    </row>
    <row r="32" spans="1:20" ht="12.75">
      <c r="A32" s="55"/>
      <c r="B32" s="67"/>
      <c r="C32" s="67"/>
      <c r="D32" s="68"/>
      <c r="E32" s="60"/>
      <c r="F32" s="68"/>
      <c r="G32" s="68"/>
      <c r="H32" s="60"/>
      <c r="I32" s="60"/>
      <c r="J32" s="60"/>
      <c r="K32" s="60"/>
      <c r="L32" s="60"/>
      <c r="M32" s="2526"/>
      <c r="N32" s="2526"/>
      <c r="P32" s="2526"/>
      <c r="Q32" s="69"/>
      <c r="R32" s="69"/>
      <c r="S32" s="69"/>
      <c r="T32" s="46"/>
    </row>
    <row r="33" spans="1:20" ht="12.75" hidden="1">
      <c r="A33" s="55"/>
      <c r="B33" s="67"/>
      <c r="C33" s="67"/>
      <c r="D33" s="68"/>
      <c r="E33" s="60"/>
      <c r="F33" s="68"/>
      <c r="G33" s="68"/>
      <c r="H33" s="60"/>
      <c r="I33" s="60"/>
      <c r="J33" s="60"/>
      <c r="K33" s="60"/>
      <c r="L33" s="60"/>
      <c r="M33" s="2526"/>
      <c r="N33" s="2526"/>
      <c r="P33" s="2526"/>
      <c r="Q33" s="69"/>
      <c r="R33" s="69"/>
      <c r="S33" s="69"/>
      <c r="T33" s="46"/>
    </row>
    <row r="34" spans="1:20" ht="16.5" thickBot="1">
      <c r="A34" s="55"/>
      <c r="B34" s="67"/>
      <c r="C34" s="67"/>
      <c r="D34" s="68"/>
      <c r="E34" s="60"/>
      <c r="F34" s="68"/>
      <c r="G34" s="68"/>
      <c r="H34" s="60"/>
      <c r="I34" s="60"/>
      <c r="J34" s="60"/>
      <c r="K34" s="2903" t="s">
        <v>110</v>
      </c>
      <c r="L34" s="60"/>
      <c r="M34" s="3184"/>
      <c r="N34" s="3184"/>
      <c r="O34" s="3184"/>
      <c r="P34" s="3184"/>
      <c r="Q34" s="24"/>
      <c r="R34" s="24"/>
      <c r="S34" s="24"/>
      <c r="T34" s="24"/>
    </row>
    <row r="35" spans="1:20" ht="16.5" hidden="1" thickBot="1">
      <c r="A35" s="55"/>
      <c r="B35" s="67"/>
      <c r="C35" s="67"/>
      <c r="D35" s="68"/>
      <c r="E35" s="60"/>
      <c r="F35" s="68"/>
      <c r="G35" s="68"/>
      <c r="H35" s="60"/>
      <c r="I35" s="60"/>
      <c r="J35" s="60"/>
      <c r="K35" s="60"/>
      <c r="L35" s="60"/>
      <c r="M35" s="2535"/>
      <c r="N35" s="2535"/>
      <c r="O35" s="2845"/>
      <c r="P35" s="2535"/>
      <c r="Q35" s="25"/>
      <c r="R35" s="25"/>
      <c r="S35" s="25"/>
      <c r="T35" s="27"/>
    </row>
    <row r="36" spans="1:20" s="19" customFormat="1" ht="24.75" customHeight="1" thickBot="1">
      <c r="A36" s="1784" t="s">
        <v>1</v>
      </c>
      <c r="B36" s="1785"/>
      <c r="C36" s="1786"/>
      <c r="D36" s="1787"/>
      <c r="E36" s="1788"/>
      <c r="F36" s="1787"/>
      <c r="G36" s="1788"/>
      <c r="H36" s="1787"/>
      <c r="I36" s="1788"/>
      <c r="J36" s="1788">
        <v>2017</v>
      </c>
      <c r="K36" s="1916">
        <v>2018</v>
      </c>
      <c r="L36" s="1917">
        <v>2019</v>
      </c>
      <c r="M36" s="2515" t="s">
        <v>881</v>
      </c>
      <c r="N36" s="2178">
        <v>2020</v>
      </c>
      <c r="O36" s="2912" t="s">
        <v>882</v>
      </c>
      <c r="P36" s="2843">
        <v>2022</v>
      </c>
      <c r="Q36" s="70"/>
      <c r="R36" s="70"/>
      <c r="S36" s="70"/>
      <c r="T36" s="71"/>
    </row>
    <row r="37" spans="1:20" s="33" customFormat="1" ht="13.5" thickBot="1">
      <c r="A37" s="1789" t="s">
        <v>111</v>
      </c>
      <c r="B37" s="1223"/>
      <c r="C37" s="1224"/>
      <c r="D37" s="72"/>
      <c r="E37" s="73"/>
      <c r="F37" s="72"/>
      <c r="G37" s="73"/>
      <c r="H37" s="72"/>
      <c r="I37" s="73"/>
      <c r="J37" s="72">
        <f>SUM(J38,J39,J40,J41,J42)</f>
        <v>50330.7</v>
      </c>
      <c r="K37" s="72">
        <f aca="true" t="shared" si="0" ref="K37:P37">K38+K39+K40+K41+K42</f>
        <v>127462.42</v>
      </c>
      <c r="L37" s="1599">
        <f t="shared" si="0"/>
        <v>203000</v>
      </c>
      <c r="M37" s="2908">
        <f t="shared" si="0"/>
        <v>177000</v>
      </c>
      <c r="N37" s="2909">
        <f>N38+N39+N40+N41+N42</f>
        <v>118000</v>
      </c>
      <c r="O37" s="2910">
        <f t="shared" si="0"/>
        <v>35000</v>
      </c>
      <c r="P37" s="2911">
        <f t="shared" si="0"/>
        <v>58000</v>
      </c>
      <c r="Q37" s="74"/>
      <c r="R37" s="74"/>
      <c r="S37" s="74"/>
      <c r="T37" s="74"/>
    </row>
    <row r="38" spans="1:20" ht="12.75">
      <c r="A38" s="782">
        <v>211</v>
      </c>
      <c r="B38" s="35" t="s">
        <v>96</v>
      </c>
      <c r="C38" s="965" t="s">
        <v>112</v>
      </c>
      <c r="D38" s="37"/>
      <c r="E38" s="49"/>
      <c r="F38" s="37"/>
      <c r="G38" s="36"/>
      <c r="H38" s="49"/>
      <c r="I38" s="49"/>
      <c r="J38" s="1980">
        <v>0</v>
      </c>
      <c r="K38" s="1980">
        <v>0</v>
      </c>
      <c r="L38" s="1938">
        <v>0</v>
      </c>
      <c r="M38" s="2536">
        <v>0</v>
      </c>
      <c r="N38" s="2529">
        <v>0</v>
      </c>
      <c r="O38" s="2849">
        <v>0</v>
      </c>
      <c r="P38" s="2522">
        <v>0</v>
      </c>
      <c r="Q38" s="45"/>
      <c r="R38" s="45"/>
      <c r="S38" s="45"/>
      <c r="T38" s="45"/>
    </row>
    <row r="39" spans="1:20" ht="12.75">
      <c r="A39" s="782">
        <v>212</v>
      </c>
      <c r="B39" s="35" t="s">
        <v>100</v>
      </c>
      <c r="C39" s="965" t="s">
        <v>25</v>
      </c>
      <c r="D39" s="37"/>
      <c r="E39" s="49"/>
      <c r="F39" s="37"/>
      <c r="G39" s="36"/>
      <c r="H39" s="49"/>
      <c r="I39" s="49"/>
      <c r="J39" s="1938">
        <v>9296.43</v>
      </c>
      <c r="K39" s="1938">
        <v>82892.78</v>
      </c>
      <c r="L39" s="1938">
        <v>150000</v>
      </c>
      <c r="M39" s="2537">
        <v>123000</v>
      </c>
      <c r="N39" s="2538">
        <v>60000</v>
      </c>
      <c r="O39" s="2849">
        <v>10000</v>
      </c>
      <c r="P39" s="2522">
        <v>10000</v>
      </c>
      <c r="Q39" s="45"/>
      <c r="R39" s="45"/>
      <c r="S39" s="45"/>
      <c r="T39" s="45"/>
    </row>
    <row r="40" spans="1:21" ht="12.75">
      <c r="A40" s="782">
        <v>212</v>
      </c>
      <c r="B40" s="35" t="s">
        <v>96</v>
      </c>
      <c r="C40" s="965" t="s">
        <v>28</v>
      </c>
      <c r="D40" s="37"/>
      <c r="E40" s="49"/>
      <c r="F40" s="37"/>
      <c r="G40" s="36"/>
      <c r="H40" s="49"/>
      <c r="I40" s="49"/>
      <c r="J40" s="1938">
        <v>26634.88</v>
      </c>
      <c r="K40" s="1938">
        <v>27055.64</v>
      </c>
      <c r="L40" s="1938">
        <v>26000</v>
      </c>
      <c r="M40" s="2537">
        <v>26000</v>
      </c>
      <c r="N40" s="2532">
        <v>26000</v>
      </c>
      <c r="O40" s="2849">
        <v>3000</v>
      </c>
      <c r="P40" s="2522">
        <v>30000</v>
      </c>
      <c r="Q40" s="45"/>
      <c r="R40" s="45"/>
      <c r="S40" s="45"/>
      <c r="T40" s="45"/>
      <c r="U40" s="64"/>
    </row>
    <row r="41" spans="1:20" ht="12.75">
      <c r="A41" s="782">
        <v>212</v>
      </c>
      <c r="B41" s="35" t="s">
        <v>113</v>
      </c>
      <c r="C41" s="965" t="s">
        <v>114</v>
      </c>
      <c r="D41" s="37"/>
      <c r="E41" s="49"/>
      <c r="F41" s="37"/>
      <c r="G41" s="36"/>
      <c r="H41" s="49"/>
      <c r="I41" s="49"/>
      <c r="J41" s="1938">
        <v>14399.39</v>
      </c>
      <c r="K41" s="1938">
        <v>17514</v>
      </c>
      <c r="L41" s="1938">
        <v>15000</v>
      </c>
      <c r="M41" s="2537">
        <v>16000</v>
      </c>
      <c r="N41" s="3088">
        <v>20000</v>
      </c>
      <c r="O41" s="2849">
        <v>10000</v>
      </c>
      <c r="P41" s="2522">
        <v>6000</v>
      </c>
      <c r="Q41" s="45"/>
      <c r="R41" s="45"/>
      <c r="S41" s="45"/>
      <c r="T41" s="45"/>
    </row>
    <row r="42" spans="1:21" ht="13.5" thickBot="1">
      <c r="A42" s="800">
        <v>212</v>
      </c>
      <c r="B42" s="1793" t="s">
        <v>113</v>
      </c>
      <c r="C42" s="1794" t="s">
        <v>689</v>
      </c>
      <c r="D42" s="2195"/>
      <c r="E42" s="2181"/>
      <c r="F42" s="2195"/>
      <c r="G42" s="2196"/>
      <c r="H42" s="2181"/>
      <c r="I42" s="2181"/>
      <c r="J42" s="2226">
        <v>0</v>
      </c>
      <c r="K42" s="2226"/>
      <c r="L42" s="2226">
        <v>12000</v>
      </c>
      <c r="M42" s="2539">
        <v>12000</v>
      </c>
      <c r="N42" s="2533">
        <v>12000</v>
      </c>
      <c r="O42" s="2850">
        <v>12000</v>
      </c>
      <c r="P42" s="2525">
        <v>12000</v>
      </c>
      <c r="Q42" s="45"/>
      <c r="R42" s="45"/>
      <c r="S42" s="45"/>
      <c r="T42" s="45"/>
      <c r="U42" s="75"/>
    </row>
    <row r="43" spans="1:21" ht="13.5" thickBot="1">
      <c r="A43" s="55"/>
      <c r="B43" s="67"/>
      <c r="C43" s="67"/>
      <c r="D43" s="92"/>
      <c r="E43" s="60"/>
      <c r="F43" s="92"/>
      <c r="G43" s="93"/>
      <c r="H43" s="60"/>
      <c r="I43" s="60"/>
      <c r="J43" s="60"/>
      <c r="K43" s="60"/>
      <c r="L43" s="92"/>
      <c r="M43" s="2540"/>
      <c r="N43" s="2540"/>
      <c r="P43" s="2527"/>
      <c r="Q43" s="45"/>
      <c r="R43" s="45"/>
      <c r="S43" s="45"/>
      <c r="T43" s="45"/>
      <c r="U43" s="75"/>
    </row>
    <row r="44" spans="1:20" ht="13.5" hidden="1" thickBot="1">
      <c r="A44" s="55"/>
      <c r="B44" s="67"/>
      <c r="C44" s="67"/>
      <c r="D44" s="76"/>
      <c r="E44" s="57"/>
      <c r="F44" s="76"/>
      <c r="G44" s="77"/>
      <c r="H44" s="57"/>
      <c r="I44" s="57"/>
      <c r="J44" s="57"/>
      <c r="K44" s="57"/>
      <c r="L44" s="57"/>
      <c r="M44" s="2526"/>
      <c r="N44" s="2526"/>
      <c r="P44" s="2526"/>
      <c r="Q44" s="46"/>
      <c r="R44" s="46"/>
      <c r="S44" s="46"/>
      <c r="T44" s="46"/>
    </row>
    <row r="45" spans="1:20" s="62" customFormat="1" ht="13.5" thickBot="1">
      <c r="A45" s="2184" t="s">
        <v>115</v>
      </c>
      <c r="B45" s="2185"/>
      <c r="C45" s="2186"/>
      <c r="D45" s="2197"/>
      <c r="E45" s="2198"/>
      <c r="F45" s="2197"/>
      <c r="G45" s="2198"/>
      <c r="H45" s="2197"/>
      <c r="I45" s="2198"/>
      <c r="J45" s="2199">
        <f>SUM(J46,J47,J48,J49,J50,J52,J53,J54,J55)</f>
        <v>91829.22</v>
      </c>
      <c r="K45" s="2200">
        <f>SUM(K46,K47,K48,K49,K50,K52,K53,K54,K55)</f>
        <v>62910.56</v>
      </c>
      <c r="L45" s="2201">
        <f>SUM(L46,L47,L48,L49,L50,L52,L53,L54,L55)</f>
        <v>57700</v>
      </c>
      <c r="M45" s="2904">
        <f>M46+M47+M48+M49+M50+M52+M53+M54+M55</f>
        <v>49350</v>
      </c>
      <c r="N45" s="2905">
        <f>N46+N47+N48+N49+N50+N52+N53+N54+N55</f>
        <v>39200</v>
      </c>
      <c r="O45" s="2906">
        <f>O46+O47+O48+O49+O50+O52+O53+O54+O55</f>
        <v>39200</v>
      </c>
      <c r="P45" s="2907">
        <f>P46+P47+P48+P49+P50+P52+P53+P54+P55</f>
        <v>39200</v>
      </c>
      <c r="Q45" s="74"/>
      <c r="R45" s="74"/>
      <c r="S45" s="74"/>
      <c r="T45" s="74"/>
    </row>
    <row r="46" spans="1:20" ht="12.75">
      <c r="A46" s="782">
        <v>221</v>
      </c>
      <c r="B46" s="35" t="s">
        <v>113</v>
      </c>
      <c r="C46" s="965" t="s">
        <v>116</v>
      </c>
      <c r="D46" s="78"/>
      <c r="E46" s="79"/>
      <c r="F46" s="78"/>
      <c r="G46" s="80"/>
      <c r="H46" s="79"/>
      <c r="I46" s="79"/>
      <c r="J46" s="1980">
        <v>9727.4</v>
      </c>
      <c r="K46" s="1980">
        <v>12164.7</v>
      </c>
      <c r="L46" s="1980">
        <v>10000</v>
      </c>
      <c r="M46" s="2541">
        <v>10000</v>
      </c>
      <c r="N46" s="2542">
        <v>10000</v>
      </c>
      <c r="O46" s="2851">
        <v>10000</v>
      </c>
      <c r="P46" s="2543">
        <v>10000</v>
      </c>
      <c r="Q46" s="45"/>
      <c r="R46" s="45"/>
      <c r="S46" s="45"/>
      <c r="T46" s="45"/>
    </row>
    <row r="47" spans="1:20" ht="12.75">
      <c r="A47" s="782">
        <v>222</v>
      </c>
      <c r="B47" s="35" t="s">
        <v>96</v>
      </c>
      <c r="C47" s="965" t="s">
        <v>117</v>
      </c>
      <c r="D47" s="37"/>
      <c r="E47" s="49"/>
      <c r="F47" s="37"/>
      <c r="G47" s="36"/>
      <c r="H47" s="49"/>
      <c r="I47" s="49"/>
      <c r="J47" s="1938">
        <v>4393.98</v>
      </c>
      <c r="K47" s="1938">
        <v>3571.81</v>
      </c>
      <c r="L47" s="1938">
        <v>3000</v>
      </c>
      <c r="M47" s="2544">
        <v>3200</v>
      </c>
      <c r="N47" s="2545">
        <v>3000</v>
      </c>
      <c r="O47" s="2849">
        <v>3000</v>
      </c>
      <c r="P47" s="2546">
        <v>3000</v>
      </c>
      <c r="Q47" s="45"/>
      <c r="R47" s="45"/>
      <c r="S47" s="45"/>
      <c r="T47" s="45"/>
    </row>
    <row r="48" spans="1:20" ht="12.75">
      <c r="A48" s="782">
        <v>223</v>
      </c>
      <c r="B48" s="35" t="s">
        <v>98</v>
      </c>
      <c r="C48" s="965" t="s">
        <v>118</v>
      </c>
      <c r="D48" s="37"/>
      <c r="E48" s="49"/>
      <c r="F48" s="37"/>
      <c r="G48" s="36"/>
      <c r="H48" s="49"/>
      <c r="I48" s="49"/>
      <c r="J48" s="1938">
        <v>270</v>
      </c>
      <c r="K48" s="1938">
        <v>114</v>
      </c>
      <c r="L48" s="1938">
        <v>200</v>
      </c>
      <c r="M48" s="2544">
        <v>150</v>
      </c>
      <c r="N48" s="2545">
        <v>200</v>
      </c>
      <c r="O48" s="2849">
        <v>200</v>
      </c>
      <c r="P48" s="2546">
        <v>200</v>
      </c>
      <c r="Q48" s="45"/>
      <c r="R48" s="45"/>
      <c r="S48" s="45"/>
      <c r="T48" s="45"/>
    </row>
    <row r="49" spans="1:20" ht="12.75">
      <c r="A49" s="782">
        <v>223</v>
      </c>
      <c r="B49" s="42" t="s">
        <v>98</v>
      </c>
      <c r="C49" s="965" t="s">
        <v>42</v>
      </c>
      <c r="D49" s="37"/>
      <c r="E49" s="49"/>
      <c r="F49" s="37"/>
      <c r="G49" s="36"/>
      <c r="H49" s="49"/>
      <c r="I49" s="49"/>
      <c r="J49" s="1938">
        <v>24985.89</v>
      </c>
      <c r="K49" s="1938">
        <v>8894.87</v>
      </c>
      <c r="L49" s="1938">
        <v>8000</v>
      </c>
      <c r="M49" s="2544">
        <v>8000</v>
      </c>
      <c r="N49" s="2545">
        <v>10000</v>
      </c>
      <c r="O49" s="2849">
        <v>10000</v>
      </c>
      <c r="P49" s="2546">
        <v>10000</v>
      </c>
      <c r="Q49" s="45"/>
      <c r="R49" s="45"/>
      <c r="S49" s="45"/>
      <c r="T49" s="45"/>
    </row>
    <row r="50" spans="1:20" ht="12.75">
      <c r="A50" s="782">
        <v>223</v>
      </c>
      <c r="B50" s="42" t="s">
        <v>98</v>
      </c>
      <c r="C50" s="965" t="s">
        <v>723</v>
      </c>
      <c r="D50" s="37"/>
      <c r="E50" s="49"/>
      <c r="F50" s="37"/>
      <c r="G50" s="36"/>
      <c r="H50" s="49"/>
      <c r="I50" s="49"/>
      <c r="J50" s="1938">
        <v>7782.38</v>
      </c>
      <c r="K50" s="1938">
        <v>11347.82</v>
      </c>
      <c r="L50" s="1938">
        <v>9500</v>
      </c>
      <c r="M50" s="2544">
        <v>11000</v>
      </c>
      <c r="N50" s="2545">
        <v>9000</v>
      </c>
      <c r="O50" s="2849">
        <v>9000</v>
      </c>
      <c r="P50" s="2546">
        <v>9000</v>
      </c>
      <c r="Q50" s="45"/>
      <c r="R50" s="45"/>
      <c r="S50" s="45"/>
      <c r="T50" s="45"/>
    </row>
    <row r="51" spans="1:20" ht="12.75">
      <c r="A51" s="782">
        <v>223</v>
      </c>
      <c r="B51" s="42" t="s">
        <v>98</v>
      </c>
      <c r="C51" s="965" t="s">
        <v>781</v>
      </c>
      <c r="D51" s="37"/>
      <c r="E51" s="49"/>
      <c r="F51" s="37"/>
      <c r="G51" s="36"/>
      <c r="H51" s="49"/>
      <c r="I51" s="49"/>
      <c r="J51" s="1938"/>
      <c r="K51" s="1938">
        <v>11607.95</v>
      </c>
      <c r="L51" s="1938"/>
      <c r="M51" s="2544">
        <v>0</v>
      </c>
      <c r="N51" s="2545"/>
      <c r="O51" s="2849">
        <v>0</v>
      </c>
      <c r="P51" s="2546">
        <v>0</v>
      </c>
      <c r="Q51" s="45"/>
      <c r="R51" s="45"/>
      <c r="S51" s="45"/>
      <c r="T51" s="45"/>
    </row>
    <row r="52" spans="1:22" ht="12.75">
      <c r="A52" s="782">
        <v>223</v>
      </c>
      <c r="B52" s="42" t="s">
        <v>100</v>
      </c>
      <c r="C52" s="965" t="s">
        <v>119</v>
      </c>
      <c r="D52" s="37"/>
      <c r="E52" s="49"/>
      <c r="F52" s="37"/>
      <c r="G52" s="36"/>
      <c r="H52" s="49"/>
      <c r="I52" s="49"/>
      <c r="J52" s="1938">
        <v>5938.86</v>
      </c>
      <c r="K52" s="1938">
        <v>0</v>
      </c>
      <c r="L52" s="1938">
        <v>0</v>
      </c>
      <c r="M52" s="2544">
        <v>0</v>
      </c>
      <c r="N52" s="2545">
        <v>0</v>
      </c>
      <c r="O52" s="2852">
        <v>0</v>
      </c>
      <c r="P52" s="2547">
        <v>0</v>
      </c>
      <c r="Q52" s="45"/>
      <c r="R52" s="45"/>
      <c r="S52" s="45"/>
      <c r="T52" s="45"/>
      <c r="U52" s="81"/>
      <c r="V52" s="55"/>
    </row>
    <row r="53" spans="1:21" ht="12.75">
      <c r="A53" s="782">
        <v>223</v>
      </c>
      <c r="B53" s="42" t="s">
        <v>96</v>
      </c>
      <c r="C53" s="965" t="s">
        <v>120</v>
      </c>
      <c r="D53" s="37"/>
      <c r="E53" s="49"/>
      <c r="F53" s="37"/>
      <c r="G53" s="36"/>
      <c r="H53" s="49"/>
      <c r="I53" s="49"/>
      <c r="J53" s="1938">
        <v>12275.53</v>
      </c>
      <c r="K53" s="1938">
        <v>0</v>
      </c>
      <c r="L53" s="1938">
        <v>0</v>
      </c>
      <c r="M53" s="2544">
        <v>0</v>
      </c>
      <c r="N53" s="2545">
        <v>0</v>
      </c>
      <c r="O53" s="2849">
        <v>0</v>
      </c>
      <c r="P53" s="2546">
        <v>0</v>
      </c>
      <c r="Q53" s="45"/>
      <c r="R53" s="45"/>
      <c r="S53" s="45"/>
      <c r="T53" s="45"/>
      <c r="U53" s="82"/>
    </row>
    <row r="54" spans="1:20" ht="12.75">
      <c r="A54" s="782">
        <v>223</v>
      </c>
      <c r="B54" s="42" t="s">
        <v>96</v>
      </c>
      <c r="C54" s="965" t="s">
        <v>121</v>
      </c>
      <c r="D54" s="49"/>
      <c r="E54" s="49"/>
      <c r="F54" s="49"/>
      <c r="G54" s="63"/>
      <c r="H54" s="49"/>
      <c r="I54" s="49"/>
      <c r="J54" s="1938">
        <v>26455.18</v>
      </c>
      <c r="K54" s="1938">
        <v>26817.36</v>
      </c>
      <c r="L54" s="1938">
        <v>27000</v>
      </c>
      <c r="M54" s="2544">
        <v>17000</v>
      </c>
      <c r="N54" s="2545">
        <v>7000</v>
      </c>
      <c r="O54" s="2849">
        <v>7000</v>
      </c>
      <c r="P54" s="2546">
        <v>7000</v>
      </c>
      <c r="Q54" s="45"/>
      <c r="R54" s="45"/>
      <c r="S54" s="45"/>
      <c r="T54" s="45"/>
    </row>
    <row r="55" spans="1:21" ht="13.5" thickBot="1">
      <c r="A55" s="800">
        <v>229</v>
      </c>
      <c r="B55" s="1793" t="s">
        <v>122</v>
      </c>
      <c r="C55" s="1794" t="s">
        <v>123</v>
      </c>
      <c r="D55" s="2181"/>
      <c r="E55" s="2181"/>
      <c r="F55" s="2181"/>
      <c r="G55" s="2202"/>
      <c r="H55" s="2181"/>
      <c r="I55" s="2181"/>
      <c r="J55" s="2226">
        <v>0</v>
      </c>
      <c r="K55" s="2226">
        <v>0</v>
      </c>
      <c r="L55" s="2226">
        <v>0</v>
      </c>
      <c r="M55" s="2548">
        <v>0</v>
      </c>
      <c r="N55" s="2549">
        <v>0</v>
      </c>
      <c r="O55" s="2853">
        <v>0</v>
      </c>
      <c r="P55" s="2550">
        <v>0</v>
      </c>
      <c r="Q55" s="45"/>
      <c r="R55" s="45"/>
      <c r="S55" s="45"/>
      <c r="T55" s="45"/>
      <c r="U55" s="83"/>
    </row>
    <row r="56" spans="1:20" ht="13.5" thickBot="1">
      <c r="A56" s="55"/>
      <c r="B56" s="67"/>
      <c r="C56" s="67"/>
      <c r="D56" s="56"/>
      <c r="E56" s="57"/>
      <c r="F56" s="56"/>
      <c r="G56" s="58"/>
      <c r="H56" s="57"/>
      <c r="I56" s="57"/>
      <c r="J56" s="57"/>
      <c r="K56" s="57"/>
      <c r="L56" s="57"/>
      <c r="M56" s="2526"/>
      <c r="N56" s="2526"/>
      <c r="P56" s="2526"/>
      <c r="Q56" s="46"/>
      <c r="R56" s="46"/>
      <c r="S56" s="46"/>
      <c r="T56" s="46"/>
    </row>
    <row r="57" spans="1:20" s="62" customFormat="1" ht="13.5" thickBot="1">
      <c r="A57" s="2184" t="s">
        <v>124</v>
      </c>
      <c r="B57" s="2185"/>
      <c r="C57" s="2186"/>
      <c r="D57" s="2197"/>
      <c r="E57" s="2198"/>
      <c r="F57" s="2197"/>
      <c r="G57" s="2198"/>
      <c r="H57" s="2197"/>
      <c r="I57" s="2198"/>
      <c r="J57" s="2204">
        <f>SUM(J58,J59,J60,J61,J62,J64)+J63</f>
        <v>14017.59</v>
      </c>
      <c r="K57" s="2205">
        <f>K58+K59+K60+K61+K62+K64+K63</f>
        <v>10013.42</v>
      </c>
      <c r="L57" s="2201">
        <f>L58+L59+L60+L61+L62+L64</f>
        <v>605</v>
      </c>
      <c r="M57" s="2917">
        <f>M58+M59+M60+M61+M62+M64+M63</f>
        <v>6786</v>
      </c>
      <c r="N57" s="2918">
        <f>N58+N59+N60+N61+N62+N64</f>
        <v>300</v>
      </c>
      <c r="O57" s="2919">
        <f>O58+O59+O60+O61+O62+O64</f>
        <v>300</v>
      </c>
      <c r="P57" s="2920">
        <f>P58+P59+P60+P61+P62+P64</f>
        <v>300</v>
      </c>
      <c r="Q57" s="74"/>
      <c r="R57" s="74"/>
      <c r="S57" s="74"/>
      <c r="T57" s="74"/>
    </row>
    <row r="58" spans="1:20" s="19" customFormat="1" ht="12.75">
      <c r="A58" s="790">
        <v>242</v>
      </c>
      <c r="B58" s="35"/>
      <c r="C58" s="965" t="s">
        <v>125</v>
      </c>
      <c r="D58" s="84"/>
      <c r="E58" s="84"/>
      <c r="F58" s="84"/>
      <c r="G58" s="85"/>
      <c r="H58" s="84"/>
      <c r="I58" s="84"/>
      <c r="J58" s="1980">
        <v>0.95</v>
      </c>
      <c r="K58" s="1980">
        <v>0.03</v>
      </c>
      <c r="L58" s="1980">
        <v>100</v>
      </c>
      <c r="M58" s="2541">
        <v>0</v>
      </c>
      <c r="N58" s="2551">
        <v>0</v>
      </c>
      <c r="O58" s="2854">
        <v>0</v>
      </c>
      <c r="P58" s="2552">
        <v>0</v>
      </c>
      <c r="Q58" s="45"/>
      <c r="R58" s="45"/>
      <c r="S58" s="45"/>
      <c r="T58" s="45"/>
    </row>
    <row r="59" spans="1:20" s="19" customFormat="1" ht="12.75">
      <c r="A59" s="791">
        <v>242</v>
      </c>
      <c r="B59" s="66"/>
      <c r="C59" s="1217" t="s">
        <v>126</v>
      </c>
      <c r="D59" s="37"/>
      <c r="E59" s="37"/>
      <c r="F59" s="37"/>
      <c r="G59" s="36"/>
      <c r="H59" s="37"/>
      <c r="I59" s="37"/>
      <c r="J59" s="1938">
        <v>0</v>
      </c>
      <c r="K59" s="1938">
        <v>0</v>
      </c>
      <c r="L59" s="1938">
        <v>5</v>
      </c>
      <c r="M59" s="2544">
        <v>0</v>
      </c>
      <c r="N59" s="2553"/>
      <c r="O59" s="2846"/>
      <c r="P59" s="2518"/>
      <c r="Q59" s="45"/>
      <c r="R59" s="45"/>
      <c r="S59" s="45"/>
      <c r="T59" s="45"/>
    </row>
    <row r="60" spans="1:20" s="19" customFormat="1" ht="12.75">
      <c r="A60" s="791">
        <v>292</v>
      </c>
      <c r="B60" s="66" t="s">
        <v>127</v>
      </c>
      <c r="C60" s="1217" t="s">
        <v>128</v>
      </c>
      <c r="D60" s="84"/>
      <c r="E60" s="84"/>
      <c r="F60" s="84"/>
      <c r="G60" s="85"/>
      <c r="H60" s="84"/>
      <c r="I60" s="84"/>
      <c r="J60" s="1938">
        <v>3553.34</v>
      </c>
      <c r="K60" s="1938">
        <v>34.81</v>
      </c>
      <c r="L60" s="1938">
        <v>0</v>
      </c>
      <c r="M60" s="2544">
        <v>0</v>
      </c>
      <c r="N60" s="2554">
        <v>0</v>
      </c>
      <c r="O60" s="2854">
        <v>0</v>
      </c>
      <c r="P60" s="2552">
        <v>0</v>
      </c>
      <c r="Q60" s="45"/>
      <c r="R60" s="45"/>
      <c r="S60" s="45"/>
      <c r="T60" s="45"/>
    </row>
    <row r="61" spans="1:20" ht="12.75">
      <c r="A61" s="783">
        <v>292</v>
      </c>
      <c r="B61" s="87" t="s">
        <v>129</v>
      </c>
      <c r="C61" s="1217" t="s">
        <v>130</v>
      </c>
      <c r="D61" s="88"/>
      <c r="E61" s="43"/>
      <c r="F61" s="88"/>
      <c r="G61" s="89"/>
      <c r="H61" s="43"/>
      <c r="I61" s="43"/>
      <c r="J61" s="1743">
        <v>364.78</v>
      </c>
      <c r="K61" s="1743">
        <v>363.34</v>
      </c>
      <c r="L61" s="1938">
        <v>300</v>
      </c>
      <c r="M61" s="2544">
        <v>350</v>
      </c>
      <c r="N61" s="2555">
        <v>300</v>
      </c>
      <c r="O61" s="2848">
        <v>300</v>
      </c>
      <c r="P61" s="2534">
        <v>300</v>
      </c>
      <c r="Q61" s="45"/>
      <c r="R61" s="45"/>
      <c r="S61" s="45"/>
      <c r="T61" s="45"/>
    </row>
    <row r="62" spans="1:20" ht="12.75">
      <c r="A62" s="783">
        <v>292</v>
      </c>
      <c r="B62" s="87" t="s">
        <v>131</v>
      </c>
      <c r="C62" s="1217" t="s">
        <v>132</v>
      </c>
      <c r="D62" s="88"/>
      <c r="E62" s="43"/>
      <c r="F62" s="88"/>
      <c r="G62" s="89"/>
      <c r="H62" s="43"/>
      <c r="I62" s="43"/>
      <c r="J62" s="1743">
        <v>173.76</v>
      </c>
      <c r="K62" s="1743">
        <v>67.89</v>
      </c>
      <c r="L62" s="1938">
        <v>200</v>
      </c>
      <c r="M62" s="2544">
        <v>500</v>
      </c>
      <c r="N62" s="2555"/>
      <c r="O62" s="2848"/>
      <c r="P62" s="2534"/>
      <c r="Q62" s="45"/>
      <c r="R62" s="45"/>
      <c r="S62" s="45"/>
      <c r="T62" s="45"/>
    </row>
    <row r="63" spans="1:20" ht="12.75">
      <c r="A63" s="783">
        <v>292</v>
      </c>
      <c r="B63" s="87" t="s">
        <v>104</v>
      </c>
      <c r="C63" s="1217" t="s">
        <v>782</v>
      </c>
      <c r="D63" s="88"/>
      <c r="E63" s="43"/>
      <c r="F63" s="88"/>
      <c r="G63" s="89"/>
      <c r="H63" s="43"/>
      <c r="I63" s="43"/>
      <c r="J63" s="1743">
        <v>5225.63</v>
      </c>
      <c r="K63" s="1743">
        <v>6774.34</v>
      </c>
      <c r="L63" s="1938">
        <v>0</v>
      </c>
      <c r="M63" s="2544">
        <v>5000</v>
      </c>
      <c r="N63" s="2555">
        <v>0</v>
      </c>
      <c r="O63" s="2848">
        <v>0</v>
      </c>
      <c r="P63" s="2534">
        <v>0</v>
      </c>
      <c r="Q63" s="45"/>
      <c r="R63" s="45"/>
      <c r="S63" s="45"/>
      <c r="T63" s="45"/>
    </row>
    <row r="64" spans="1:21" ht="13.5" thickBot="1">
      <c r="A64" s="2206">
        <v>292</v>
      </c>
      <c r="B64" s="90" t="s">
        <v>133</v>
      </c>
      <c r="C64" s="965" t="s">
        <v>134</v>
      </c>
      <c r="D64" s="88"/>
      <c r="E64" s="43"/>
      <c r="F64" s="88"/>
      <c r="G64" s="89"/>
      <c r="H64" s="43"/>
      <c r="I64" s="43"/>
      <c r="J64" s="1743">
        <v>4699.13</v>
      </c>
      <c r="K64" s="1743">
        <v>2773.01</v>
      </c>
      <c r="L64" s="1938">
        <v>0</v>
      </c>
      <c r="M64" s="2544">
        <v>936</v>
      </c>
      <c r="N64" s="2556">
        <v>0</v>
      </c>
      <c r="O64" s="2848">
        <v>0</v>
      </c>
      <c r="P64" s="2534">
        <v>0</v>
      </c>
      <c r="Q64" s="45"/>
      <c r="R64" s="45"/>
      <c r="S64" s="45"/>
      <c r="T64" s="45"/>
      <c r="U64" s="75"/>
    </row>
    <row r="65" spans="1:20" ht="13.5" thickBot="1">
      <c r="A65" s="3185" t="s">
        <v>135</v>
      </c>
      <c r="B65" s="3186"/>
      <c r="C65" s="3186"/>
      <c r="D65" s="2207"/>
      <c r="E65" s="2192"/>
      <c r="F65" s="2207"/>
      <c r="G65" s="2192"/>
      <c r="H65" s="2207"/>
      <c r="I65" s="2192"/>
      <c r="J65" s="2208">
        <f>SUM(J37,J45,J57)</f>
        <v>156177.50999999998</v>
      </c>
      <c r="K65" s="2208">
        <f>K37+K45+K57</f>
        <v>200386.4</v>
      </c>
      <c r="L65" s="2209">
        <f>SUM(L37,L45,L57)</f>
        <v>261305</v>
      </c>
      <c r="M65" s="2913">
        <f>SUM(M37,M45,M57)</f>
        <v>233136</v>
      </c>
      <c r="N65" s="2914">
        <f>SUM(N37,N45,N57)</f>
        <v>157500</v>
      </c>
      <c r="O65" s="2915">
        <f>SUM(O37,O45,O57)</f>
        <v>74500</v>
      </c>
      <c r="P65" s="2916">
        <f>SUM(P37,P45,P57)</f>
        <v>97500</v>
      </c>
      <c r="Q65" s="74"/>
      <c r="R65" s="74"/>
      <c r="S65" s="74"/>
      <c r="T65" s="74"/>
    </row>
    <row r="66" spans="1:20" ht="12.75">
      <c r="A66" s="91"/>
      <c r="B66" s="91"/>
      <c r="C66" s="67"/>
      <c r="D66" s="92"/>
      <c r="E66" s="60"/>
      <c r="F66" s="92"/>
      <c r="G66" s="93"/>
      <c r="H66" s="60"/>
      <c r="I66" s="60"/>
      <c r="J66" s="60"/>
      <c r="K66" s="60"/>
      <c r="L66" s="60"/>
      <c r="M66" s="2526"/>
      <c r="N66" s="2526"/>
      <c r="P66" s="2526"/>
      <c r="Q66" s="69"/>
      <c r="R66" s="69"/>
      <c r="S66" s="69"/>
      <c r="T66" s="46"/>
    </row>
    <row r="67" spans="1:20" ht="12.75" hidden="1">
      <c r="A67" s="91"/>
      <c r="B67" s="91"/>
      <c r="C67" s="67"/>
      <c r="D67" s="92"/>
      <c r="E67" s="60"/>
      <c r="F67" s="92"/>
      <c r="G67" s="93"/>
      <c r="H67" s="60"/>
      <c r="I67" s="60"/>
      <c r="J67" s="60"/>
      <c r="K67" s="60"/>
      <c r="L67" s="60"/>
      <c r="M67" s="2526"/>
      <c r="N67" s="2526"/>
      <c r="P67" s="2526"/>
      <c r="Q67" s="69"/>
      <c r="R67" s="69"/>
      <c r="S67" s="69"/>
      <c r="T67" s="46"/>
    </row>
    <row r="68" spans="1:20" ht="12.75">
      <c r="A68" s="91"/>
      <c r="B68" s="91"/>
      <c r="C68" s="67"/>
      <c r="D68" s="92"/>
      <c r="E68" s="60"/>
      <c r="F68" s="92"/>
      <c r="G68" s="93"/>
      <c r="H68" s="60"/>
      <c r="I68" s="60"/>
      <c r="J68" s="60"/>
      <c r="K68" s="60"/>
      <c r="L68" s="60"/>
      <c r="M68" s="2526"/>
      <c r="N68" s="2526"/>
      <c r="P68" s="2526"/>
      <c r="Q68" s="69"/>
      <c r="R68" s="69"/>
      <c r="S68" s="69"/>
      <c r="T68" s="46"/>
    </row>
    <row r="69" spans="1:20" ht="12.75">
      <c r="A69" s="91"/>
      <c r="B69" s="91"/>
      <c r="C69" s="67"/>
      <c r="D69" s="92"/>
      <c r="E69" s="60"/>
      <c r="F69" s="92"/>
      <c r="G69" s="93"/>
      <c r="H69" s="60"/>
      <c r="I69" s="60"/>
      <c r="J69" s="60"/>
      <c r="K69" s="60"/>
      <c r="L69" s="60"/>
      <c r="M69" s="2526"/>
      <c r="N69" s="2526"/>
      <c r="P69" s="2526"/>
      <c r="Q69" s="69"/>
      <c r="R69" s="69"/>
      <c r="S69" s="69"/>
      <c r="T69" s="46"/>
    </row>
    <row r="70" spans="1:20" ht="12.75">
      <c r="A70" s="91"/>
      <c r="B70" s="91"/>
      <c r="C70" s="67"/>
      <c r="D70" s="92"/>
      <c r="E70" s="60"/>
      <c r="F70" s="92"/>
      <c r="G70" s="93"/>
      <c r="H70" s="60"/>
      <c r="I70" s="60"/>
      <c r="J70" s="60"/>
      <c r="K70" s="60"/>
      <c r="L70" s="60"/>
      <c r="M70" s="2526"/>
      <c r="N70" s="2526"/>
      <c r="P70" s="2526"/>
      <c r="Q70" s="69"/>
      <c r="R70" s="69"/>
      <c r="S70" s="69"/>
      <c r="T70" s="46"/>
    </row>
    <row r="71" spans="1:20" ht="12.75">
      <c r="A71" s="91"/>
      <c r="B71" s="91"/>
      <c r="C71" s="67"/>
      <c r="D71" s="92"/>
      <c r="E71" s="60"/>
      <c r="F71" s="92"/>
      <c r="G71" s="93"/>
      <c r="H71" s="60"/>
      <c r="I71" s="60"/>
      <c r="J71" s="60"/>
      <c r="K71" s="60"/>
      <c r="L71" s="60"/>
      <c r="M71" s="2526"/>
      <c r="N71" s="2526"/>
      <c r="P71" s="2526"/>
      <c r="Q71" s="69"/>
      <c r="R71" s="69"/>
      <c r="S71" s="69"/>
      <c r="T71" s="46"/>
    </row>
    <row r="72" spans="1:20" ht="12.75">
      <c r="A72" s="91"/>
      <c r="B72" s="91"/>
      <c r="C72" s="67"/>
      <c r="D72" s="92"/>
      <c r="E72" s="60"/>
      <c r="F72" s="92"/>
      <c r="G72" s="93"/>
      <c r="H72" s="60"/>
      <c r="I72" s="60"/>
      <c r="J72" s="60"/>
      <c r="K72" s="60"/>
      <c r="L72" s="60"/>
      <c r="M72" s="2526"/>
      <c r="N72" s="2526"/>
      <c r="P72" s="2526"/>
      <c r="Q72" s="69"/>
      <c r="R72" s="69"/>
      <c r="S72" s="69"/>
      <c r="T72" s="46"/>
    </row>
    <row r="73" spans="1:20" ht="12.75">
      <c r="A73" s="91"/>
      <c r="B73" s="91"/>
      <c r="C73" s="67"/>
      <c r="D73" s="92"/>
      <c r="E73" s="60"/>
      <c r="F73" s="92"/>
      <c r="G73" s="93"/>
      <c r="H73" s="60"/>
      <c r="I73" s="60"/>
      <c r="J73" s="60"/>
      <c r="K73" s="60"/>
      <c r="L73" s="60"/>
      <c r="M73" s="2526"/>
      <c r="N73" s="2526"/>
      <c r="P73" s="2526"/>
      <c r="Q73" s="69"/>
      <c r="R73" s="69"/>
      <c r="S73" s="69"/>
      <c r="T73" s="46"/>
    </row>
    <row r="74" spans="1:20" ht="12.75">
      <c r="A74" s="91"/>
      <c r="B74" s="91"/>
      <c r="C74" s="67"/>
      <c r="D74" s="92"/>
      <c r="E74" s="60"/>
      <c r="F74" s="92"/>
      <c r="G74" s="93"/>
      <c r="H74" s="60"/>
      <c r="I74" s="60"/>
      <c r="J74" s="60"/>
      <c r="K74" s="60"/>
      <c r="L74" s="60"/>
      <c r="M74" s="2526"/>
      <c r="N74" s="2526"/>
      <c r="P74" s="2526"/>
      <c r="Q74" s="69"/>
      <c r="R74" s="69"/>
      <c r="S74" s="69"/>
      <c r="T74" s="46"/>
    </row>
    <row r="75" spans="1:20" ht="16.5" thickBot="1">
      <c r="A75" s="91"/>
      <c r="B75" s="91"/>
      <c r="C75" s="67"/>
      <c r="D75" s="92"/>
      <c r="E75" s="60"/>
      <c r="F75" s="92"/>
      <c r="G75" s="93"/>
      <c r="H75" s="60"/>
      <c r="I75" s="94" t="s">
        <v>136</v>
      </c>
      <c r="J75" s="1225"/>
      <c r="K75" s="1225" t="s">
        <v>136</v>
      </c>
      <c r="L75" s="1225"/>
      <c r="M75" s="3184"/>
      <c r="N75" s="3184"/>
      <c r="O75" s="3184"/>
      <c r="P75" s="3184"/>
      <c r="Q75" s="95"/>
      <c r="R75" s="95"/>
      <c r="S75" s="95"/>
      <c r="T75" s="95"/>
    </row>
    <row r="76" spans="1:20" ht="13.5" hidden="1" thickBot="1">
      <c r="A76" s="91"/>
      <c r="B76" s="91"/>
      <c r="C76" s="67"/>
      <c r="D76" s="92"/>
      <c r="E76" s="60"/>
      <c r="F76" s="92"/>
      <c r="G76" s="93"/>
      <c r="H76" s="60"/>
      <c r="I76" s="60"/>
      <c r="J76" s="60"/>
      <c r="K76" s="60"/>
      <c r="L76" s="60"/>
      <c r="M76" s="2526"/>
      <c r="N76" s="2526"/>
      <c r="P76" s="2526"/>
      <c r="Q76" s="69"/>
      <c r="R76" s="69"/>
      <c r="S76" s="69"/>
      <c r="T76" s="46"/>
    </row>
    <row r="77" spans="1:20" ht="26.25" customHeight="1" thickBot="1">
      <c r="A77" s="1784" t="s">
        <v>1</v>
      </c>
      <c r="B77" s="1785"/>
      <c r="C77" s="1786"/>
      <c r="D77" s="1787"/>
      <c r="E77" s="1788"/>
      <c r="F77" s="1787"/>
      <c r="G77" s="1788"/>
      <c r="H77" s="1787"/>
      <c r="I77" s="1788"/>
      <c r="J77" s="1788">
        <v>2017</v>
      </c>
      <c r="K77" s="1916">
        <v>2018</v>
      </c>
      <c r="L77" s="1917">
        <v>2019</v>
      </c>
      <c r="M77" s="2515" t="s">
        <v>881</v>
      </c>
      <c r="N77" s="2178">
        <v>2020</v>
      </c>
      <c r="O77" s="2912" t="s">
        <v>882</v>
      </c>
      <c r="P77" s="2843">
        <v>2022</v>
      </c>
      <c r="Q77" s="29"/>
      <c r="R77" s="29"/>
      <c r="S77" s="29"/>
      <c r="T77" s="30"/>
    </row>
    <row r="78" spans="1:20" s="33" customFormat="1" ht="12.75">
      <c r="A78" s="1789" t="s">
        <v>137</v>
      </c>
      <c r="B78" s="1223"/>
      <c r="C78" s="1224"/>
      <c r="D78" s="72"/>
      <c r="E78" s="73"/>
      <c r="F78" s="72"/>
      <c r="G78" s="73"/>
      <c r="H78" s="72"/>
      <c r="I78" s="73"/>
      <c r="J78" s="72">
        <f>SUM(J79,J80,J81,J82,J83,J84,J85,J91,J92,J93,J94,J95,J96,J98,J99,J100,J101,J102,J105,J106,J108)+J86+J87+J88+J89+J90+J103+J104+J107</f>
        <v>766169.0500000002</v>
      </c>
      <c r="K78" s="72">
        <f>K79+K80+K82+K83+K84+K85+K91+K92+K93+K94+K95+K98+K99+K100+K101+K105+K108+K102+K81+K96+K106+K103+K104+K107</f>
        <v>97175.19</v>
      </c>
      <c r="L78" s="1799">
        <f>L79+L80+L82+L83+L84+L85+L91+L92+L93+L94+L95+L98+L99+L100+L101+L108+L102+L105+L106+L81+L96+L103+L104+L107+L97</f>
        <v>49800</v>
      </c>
      <c r="M78" s="3045">
        <f>M79+M80+M82+M83+M84+M85+M91+M92+M93+M94+M95+M98+M99+M100+M101+M108+M102+M105+M106+M81+M96+M103+M104+M107+M97</f>
        <v>97749</v>
      </c>
      <c r="N78" s="3046">
        <f>N79+N80+N82+N83+N84+N85+N91+N92+N93+N94+N95+N98+N99+N100+N101+N108+N102+N105+N106+N81+N96+N103+N104+N107+N97+N85</f>
        <v>154312</v>
      </c>
      <c r="O78" s="2910">
        <f>O79+O80+O82+O83+O84+O85+O91+O92+O93+O94+O95+O98+O99+O100+O101+O108+O102+O105+O106+O81+O96+O103+O104+O107+O97</f>
        <v>150330</v>
      </c>
      <c r="P78" s="2911">
        <f>P79+P80+P82+P83+P84+P85+P91+P92+P93+P94+P95+P98+P99+P100+P101+P108+P102+P105+P106+P81+P96+P103+P104+P107+P97</f>
        <v>152330</v>
      </c>
      <c r="Q78" s="74"/>
      <c r="R78" s="74"/>
      <c r="S78" s="74"/>
      <c r="T78" s="74"/>
    </row>
    <row r="79" spans="1:20" s="33" customFormat="1" ht="12.75">
      <c r="A79" s="790">
        <v>312</v>
      </c>
      <c r="B79" s="35" t="s">
        <v>98</v>
      </c>
      <c r="C79" s="965" t="s">
        <v>712</v>
      </c>
      <c r="D79" s="96"/>
      <c r="E79" s="37"/>
      <c r="F79" s="37"/>
      <c r="G79" s="97"/>
      <c r="H79" s="37"/>
      <c r="I79" s="37"/>
      <c r="J79" s="1980">
        <v>3400</v>
      </c>
      <c r="K79" s="1980">
        <v>1500</v>
      </c>
      <c r="L79" s="1980">
        <v>0</v>
      </c>
      <c r="M79" s="2557">
        <v>0</v>
      </c>
      <c r="N79" s="2517">
        <v>1500</v>
      </c>
      <c r="O79" s="2846">
        <v>1500</v>
      </c>
      <c r="P79" s="2518">
        <v>1500</v>
      </c>
      <c r="Q79" s="45"/>
      <c r="R79" s="45"/>
      <c r="S79" s="45"/>
      <c r="T79" s="45"/>
    </row>
    <row r="80" spans="1:20" s="33" customFormat="1" ht="12.75">
      <c r="A80" s="790">
        <v>312</v>
      </c>
      <c r="B80" s="35" t="s">
        <v>98</v>
      </c>
      <c r="C80" s="965" t="s">
        <v>138</v>
      </c>
      <c r="D80" s="37"/>
      <c r="E80" s="37"/>
      <c r="F80" s="37"/>
      <c r="G80" s="36"/>
      <c r="H80" s="37"/>
      <c r="I80" s="37"/>
      <c r="J80" s="1938">
        <v>610382</v>
      </c>
      <c r="K80" s="1938">
        <v>0</v>
      </c>
      <c r="L80" s="1938">
        <v>0</v>
      </c>
      <c r="M80" s="2558">
        <v>0</v>
      </c>
      <c r="N80" s="2521">
        <v>0</v>
      </c>
      <c r="O80" s="2846">
        <v>0</v>
      </c>
      <c r="P80" s="2518">
        <v>0</v>
      </c>
      <c r="Q80" s="45"/>
      <c r="R80" s="45"/>
      <c r="S80" s="45"/>
      <c r="T80" s="45"/>
    </row>
    <row r="81" spans="1:20" s="33" customFormat="1" ht="12.75">
      <c r="A81" s="790">
        <v>312</v>
      </c>
      <c r="B81" s="35" t="s">
        <v>98</v>
      </c>
      <c r="C81" s="965" t="s">
        <v>139</v>
      </c>
      <c r="D81" s="37"/>
      <c r="E81" s="37"/>
      <c r="F81" s="37"/>
      <c r="G81" s="36"/>
      <c r="H81" s="37"/>
      <c r="I81" s="37"/>
      <c r="J81" s="1938"/>
      <c r="K81" s="1938">
        <v>0</v>
      </c>
      <c r="L81" s="1938">
        <v>0</v>
      </c>
      <c r="M81" s="2558">
        <v>0</v>
      </c>
      <c r="N81" s="2521">
        <v>0</v>
      </c>
      <c r="O81" s="2846">
        <v>0</v>
      </c>
      <c r="P81" s="2518">
        <v>0</v>
      </c>
      <c r="Q81" s="45"/>
      <c r="R81" s="45"/>
      <c r="S81" s="45"/>
      <c r="T81" s="45"/>
    </row>
    <row r="82" spans="1:20" s="33" customFormat="1" ht="12.75">
      <c r="A82" s="790">
        <v>312</v>
      </c>
      <c r="B82" s="35" t="s">
        <v>98</v>
      </c>
      <c r="C82" s="965" t="s">
        <v>644</v>
      </c>
      <c r="D82" s="96"/>
      <c r="E82" s="37"/>
      <c r="F82" s="96"/>
      <c r="G82" s="97"/>
      <c r="H82" s="37"/>
      <c r="I82" s="37"/>
      <c r="J82" s="1938">
        <v>140</v>
      </c>
      <c r="K82" s="1938">
        <v>0</v>
      </c>
      <c r="L82" s="1938">
        <v>0</v>
      </c>
      <c r="M82" s="2558">
        <v>0</v>
      </c>
      <c r="N82" s="2521">
        <v>0</v>
      </c>
      <c r="O82" s="2846">
        <v>0</v>
      </c>
      <c r="P82" s="2518">
        <v>0</v>
      </c>
      <c r="Q82" s="45"/>
      <c r="R82" s="45"/>
      <c r="S82" s="45"/>
      <c r="T82" s="45"/>
    </row>
    <row r="83" spans="1:20" ht="12.75">
      <c r="A83" s="782">
        <v>312</v>
      </c>
      <c r="B83" s="42" t="s">
        <v>98</v>
      </c>
      <c r="C83" s="965" t="s">
        <v>140</v>
      </c>
      <c r="D83" s="49"/>
      <c r="E83" s="49"/>
      <c r="F83" s="49"/>
      <c r="G83" s="63"/>
      <c r="H83" s="49"/>
      <c r="I83" s="49"/>
      <c r="J83" s="1938">
        <v>3697</v>
      </c>
      <c r="K83" s="1938">
        <v>0</v>
      </c>
      <c r="L83" s="1938">
        <v>0</v>
      </c>
      <c r="M83" s="2558">
        <v>0</v>
      </c>
      <c r="N83" s="2521">
        <v>0</v>
      </c>
      <c r="O83" s="2849">
        <v>0</v>
      </c>
      <c r="P83" s="2522">
        <v>0</v>
      </c>
      <c r="Q83" s="45"/>
      <c r="R83" s="45"/>
      <c r="S83" s="45"/>
      <c r="T83" s="45"/>
    </row>
    <row r="84" spans="1:20" ht="12.75">
      <c r="A84" s="782">
        <v>312</v>
      </c>
      <c r="B84" s="42" t="s">
        <v>98</v>
      </c>
      <c r="C84" s="965" t="s">
        <v>141</v>
      </c>
      <c r="D84" s="49"/>
      <c r="E84" s="49"/>
      <c r="F84" s="49"/>
      <c r="G84" s="63"/>
      <c r="H84" s="49"/>
      <c r="I84" s="49"/>
      <c r="J84" s="1938">
        <v>5297.85</v>
      </c>
      <c r="K84" s="1938">
        <v>5456.16</v>
      </c>
      <c r="L84" s="1938">
        <v>5500</v>
      </c>
      <c r="M84" s="2558"/>
      <c r="N84" s="2521"/>
      <c r="O84" s="2849"/>
      <c r="P84" s="2522"/>
      <c r="Q84" s="45"/>
      <c r="R84" s="45"/>
      <c r="S84" s="45"/>
      <c r="T84" s="45"/>
    </row>
    <row r="85" spans="1:23" ht="12.75">
      <c r="A85" s="782">
        <v>312</v>
      </c>
      <c r="B85" s="42" t="s">
        <v>98</v>
      </c>
      <c r="C85" s="965" t="s">
        <v>142</v>
      </c>
      <c r="D85" s="79"/>
      <c r="E85" s="79"/>
      <c r="F85" s="49"/>
      <c r="G85" s="98"/>
      <c r="H85" s="79"/>
      <c r="I85" s="79"/>
      <c r="J85" s="1938"/>
      <c r="K85" s="1938">
        <f>SUM(K86:K88)+K89+K90</f>
        <v>6401.6</v>
      </c>
      <c r="L85" s="1938">
        <f>SUM(L86:L88)+L90</f>
        <v>1000</v>
      </c>
      <c r="M85" s="2558"/>
      <c r="N85" s="2517">
        <f>N86+N87+N88+N89+N90</f>
        <v>2246</v>
      </c>
      <c r="O85" s="2855"/>
      <c r="P85" s="2559"/>
      <c r="Q85" s="45"/>
      <c r="R85" s="45"/>
      <c r="S85" s="45"/>
      <c r="T85" s="45"/>
      <c r="U85" s="99"/>
      <c r="V85" s="99"/>
      <c r="W85" s="99"/>
    </row>
    <row r="86" spans="1:23" ht="12.75">
      <c r="A86" s="782"/>
      <c r="B86" s="42"/>
      <c r="C86" s="965" t="s">
        <v>714</v>
      </c>
      <c r="D86" s="79"/>
      <c r="E86" s="79"/>
      <c r="F86" s="49"/>
      <c r="G86" s="98"/>
      <c r="H86" s="79"/>
      <c r="I86" s="79"/>
      <c r="J86" s="1938">
        <v>6329.79</v>
      </c>
      <c r="K86" s="1938">
        <v>0</v>
      </c>
      <c r="L86" s="1941">
        <v>0</v>
      </c>
      <c r="M86" s="2560">
        <v>7859</v>
      </c>
      <c r="N86" s="2516">
        <v>2246</v>
      </c>
      <c r="O86" s="2856"/>
      <c r="P86" s="2561"/>
      <c r="Q86" s="45"/>
      <c r="R86" s="45"/>
      <c r="S86" s="45"/>
      <c r="T86" s="45"/>
      <c r="U86" s="99"/>
      <c r="V86" s="99"/>
      <c r="W86" s="99"/>
    </row>
    <row r="87" spans="1:23" ht="12.75">
      <c r="A87" s="782"/>
      <c r="B87" s="42"/>
      <c r="C87" s="965" t="s">
        <v>838</v>
      </c>
      <c r="D87" s="79"/>
      <c r="E87" s="79"/>
      <c r="F87" s="49"/>
      <c r="G87" s="98"/>
      <c r="H87" s="79"/>
      <c r="I87" s="79"/>
      <c r="J87" s="1938">
        <v>7353.96</v>
      </c>
      <c r="K87" s="1938">
        <v>0</v>
      </c>
      <c r="L87" s="1941">
        <v>0</v>
      </c>
      <c r="M87" s="2560"/>
      <c r="N87" s="2516"/>
      <c r="O87" s="2856"/>
      <c r="P87" s="2562"/>
      <c r="Q87" s="45"/>
      <c r="R87" s="45"/>
      <c r="S87" s="45"/>
      <c r="T87" s="45"/>
      <c r="U87" s="99"/>
      <c r="V87" s="99"/>
      <c r="W87" s="99"/>
    </row>
    <row r="88" spans="1:23" ht="12.75">
      <c r="A88" s="782"/>
      <c r="B88" s="42"/>
      <c r="C88" s="965" t="s">
        <v>715</v>
      </c>
      <c r="D88" s="79"/>
      <c r="E88" s="79"/>
      <c r="F88" s="49"/>
      <c r="G88" s="98"/>
      <c r="H88" s="79"/>
      <c r="I88" s="79"/>
      <c r="J88" s="1938">
        <v>4693.53</v>
      </c>
      <c r="K88" s="1938">
        <v>4924.76</v>
      </c>
      <c r="L88" s="1941">
        <v>0</v>
      </c>
      <c r="M88" s="2560"/>
      <c r="N88" s="2563"/>
      <c r="O88" s="2856"/>
      <c r="P88" s="2562"/>
      <c r="Q88" s="45"/>
      <c r="R88" s="45"/>
      <c r="S88" s="45"/>
      <c r="T88" s="45"/>
      <c r="U88" s="99"/>
      <c r="V88" s="99"/>
      <c r="W88" s="99"/>
    </row>
    <row r="89" spans="1:23" ht="12.75">
      <c r="A89" s="782"/>
      <c r="B89" s="42"/>
      <c r="C89" s="965" t="s">
        <v>783</v>
      </c>
      <c r="D89" s="79"/>
      <c r="E89" s="79"/>
      <c r="F89" s="49"/>
      <c r="G89" s="98"/>
      <c r="H89" s="79"/>
      <c r="I89" s="79"/>
      <c r="J89" s="1938"/>
      <c r="K89" s="1938"/>
      <c r="L89" s="1941"/>
      <c r="M89" s="2560"/>
      <c r="N89" s="2563"/>
      <c r="O89" s="2856"/>
      <c r="P89" s="2562"/>
      <c r="Q89" s="45"/>
      <c r="R89" s="45"/>
      <c r="S89" s="45"/>
      <c r="T89" s="45"/>
      <c r="U89" s="99"/>
      <c r="V89" s="99"/>
      <c r="W89" s="99"/>
    </row>
    <row r="90" spans="1:23" ht="12.75">
      <c r="A90" s="782"/>
      <c r="B90" s="42"/>
      <c r="C90" s="965" t="s">
        <v>727</v>
      </c>
      <c r="D90" s="79"/>
      <c r="E90" s="79"/>
      <c r="F90" s="49"/>
      <c r="G90" s="98"/>
      <c r="H90" s="79"/>
      <c r="I90" s="79"/>
      <c r="J90" s="1938">
        <v>2953.68</v>
      </c>
      <c r="K90" s="1938">
        <v>1476.84</v>
      </c>
      <c r="L90" s="1941">
        <v>1000</v>
      </c>
      <c r="M90" s="2560"/>
      <c r="N90" s="2563"/>
      <c r="O90" s="2856"/>
      <c r="P90" s="2561"/>
      <c r="Q90" s="45"/>
      <c r="R90" s="45"/>
      <c r="S90" s="45"/>
      <c r="T90" s="45"/>
      <c r="U90" s="99"/>
      <c r="V90" s="99"/>
      <c r="W90" s="99"/>
    </row>
    <row r="91" spans="1:23" s="19" customFormat="1" ht="12.75">
      <c r="A91" s="790">
        <v>312</v>
      </c>
      <c r="B91" s="35" t="s">
        <v>98</v>
      </c>
      <c r="C91" s="965" t="s">
        <v>143</v>
      </c>
      <c r="D91" s="100"/>
      <c r="E91" s="37"/>
      <c r="F91" s="100"/>
      <c r="G91" s="101"/>
      <c r="H91" s="37"/>
      <c r="I91" s="37"/>
      <c r="J91" s="1938">
        <v>9620</v>
      </c>
      <c r="K91" s="1938">
        <v>0</v>
      </c>
      <c r="L91" s="1938">
        <v>0</v>
      </c>
      <c r="M91" s="2558"/>
      <c r="N91" s="2521"/>
      <c r="O91" s="2846"/>
      <c r="P91" s="2518"/>
      <c r="Q91" s="45"/>
      <c r="R91" s="45"/>
      <c r="S91" s="45"/>
      <c r="T91" s="45"/>
      <c r="U91" s="102"/>
      <c r="V91" s="102"/>
      <c r="W91" s="102"/>
    </row>
    <row r="92" spans="1:23" s="19" customFormat="1" ht="12.75">
      <c r="A92" s="790">
        <v>312</v>
      </c>
      <c r="B92" s="35" t="s">
        <v>144</v>
      </c>
      <c r="C92" s="965" t="s">
        <v>728</v>
      </c>
      <c r="D92" s="103"/>
      <c r="E92" s="88"/>
      <c r="F92" s="103"/>
      <c r="G92" s="104"/>
      <c r="H92" s="88"/>
      <c r="I92" s="88"/>
      <c r="J92" s="1938">
        <v>16500</v>
      </c>
      <c r="K92" s="1938">
        <v>16630</v>
      </c>
      <c r="L92" s="1938">
        <v>0</v>
      </c>
      <c r="M92" s="2558"/>
      <c r="N92" s="2519"/>
      <c r="O92" s="2847"/>
      <c r="P92" s="2520"/>
      <c r="Q92" s="45"/>
      <c r="R92" s="45"/>
      <c r="S92" s="45"/>
      <c r="T92" s="45"/>
      <c r="U92" s="102"/>
      <c r="V92" s="102"/>
      <c r="W92" s="102"/>
    </row>
    <row r="93" spans="1:23" s="19" customFormat="1" ht="12.75">
      <c r="A93" s="790">
        <v>312</v>
      </c>
      <c r="B93" s="35" t="s">
        <v>98</v>
      </c>
      <c r="C93" s="965" t="s">
        <v>67</v>
      </c>
      <c r="D93" s="103"/>
      <c r="E93" s="88"/>
      <c r="F93" s="103"/>
      <c r="G93" s="104"/>
      <c r="H93" s="88"/>
      <c r="I93" s="88"/>
      <c r="J93" s="1938">
        <v>3464</v>
      </c>
      <c r="K93" s="1938">
        <v>0</v>
      </c>
      <c r="L93" s="1938">
        <v>0</v>
      </c>
      <c r="M93" s="2558"/>
      <c r="N93" s="2519"/>
      <c r="O93" s="2847"/>
      <c r="P93" s="2520"/>
      <c r="Q93" s="45"/>
      <c r="R93" s="45"/>
      <c r="S93" s="45"/>
      <c r="T93" s="45"/>
      <c r="U93" s="102"/>
      <c r="V93" s="102"/>
      <c r="W93" s="102"/>
    </row>
    <row r="94" spans="1:23" s="19" customFormat="1" ht="12.75" customHeight="1">
      <c r="A94" s="790">
        <v>312</v>
      </c>
      <c r="B94" s="35" t="s">
        <v>98</v>
      </c>
      <c r="C94" s="965" t="s">
        <v>69</v>
      </c>
      <c r="D94" s="103"/>
      <c r="E94" s="88"/>
      <c r="F94" s="103"/>
      <c r="G94" s="104"/>
      <c r="H94" s="88"/>
      <c r="I94" s="88"/>
      <c r="J94" s="1938">
        <v>8845</v>
      </c>
      <c r="K94" s="1938">
        <v>0</v>
      </c>
      <c r="L94" s="1938">
        <v>0</v>
      </c>
      <c r="M94" s="2558"/>
      <c r="N94" s="2519"/>
      <c r="O94" s="2847"/>
      <c r="P94" s="2520"/>
      <c r="Q94" s="45"/>
      <c r="R94" s="45"/>
      <c r="S94" s="45"/>
      <c r="T94" s="45"/>
      <c r="U94" s="105"/>
      <c r="V94" s="102"/>
      <c r="W94" s="106"/>
    </row>
    <row r="95" spans="1:23" s="19" customFormat="1" ht="12.75">
      <c r="A95" s="790">
        <v>312</v>
      </c>
      <c r="B95" s="35" t="s">
        <v>98</v>
      </c>
      <c r="C95" s="965" t="s">
        <v>145</v>
      </c>
      <c r="D95" s="100"/>
      <c r="E95" s="37"/>
      <c r="F95" s="100"/>
      <c r="G95" s="101"/>
      <c r="H95" s="37"/>
      <c r="I95" s="37"/>
      <c r="J95" s="1938">
        <v>3855.8</v>
      </c>
      <c r="K95" s="1938">
        <v>3058.14</v>
      </c>
      <c r="L95" s="1938">
        <v>3000</v>
      </c>
      <c r="M95" s="2558">
        <v>5000</v>
      </c>
      <c r="N95" s="2521">
        <v>3000</v>
      </c>
      <c r="O95" s="2846">
        <v>3000</v>
      </c>
      <c r="P95" s="2518">
        <v>3000</v>
      </c>
      <c r="Q95" s="45"/>
      <c r="R95" s="45"/>
      <c r="S95" s="45"/>
      <c r="T95" s="45"/>
      <c r="U95" s="107"/>
      <c r="V95" s="107"/>
      <c r="W95" s="107"/>
    </row>
    <row r="96" spans="1:23" s="19" customFormat="1" ht="12.75">
      <c r="A96" s="790">
        <v>312</v>
      </c>
      <c r="B96" s="35" t="s">
        <v>98</v>
      </c>
      <c r="C96" s="965" t="s">
        <v>146</v>
      </c>
      <c r="D96" s="100"/>
      <c r="E96" s="37"/>
      <c r="F96" s="100"/>
      <c r="G96" s="101"/>
      <c r="H96" s="37"/>
      <c r="I96" s="37"/>
      <c r="J96" s="1938">
        <v>2589.49</v>
      </c>
      <c r="K96" s="1938">
        <v>0</v>
      </c>
      <c r="L96" s="1938">
        <v>2000</v>
      </c>
      <c r="M96" s="2558"/>
      <c r="N96" s="2521">
        <v>1000</v>
      </c>
      <c r="O96" s="2846">
        <v>1000</v>
      </c>
      <c r="P96" s="2518">
        <v>1000</v>
      </c>
      <c r="Q96" s="45"/>
      <c r="R96" s="45"/>
      <c r="S96" s="45"/>
      <c r="T96" s="45"/>
      <c r="U96" s="107"/>
      <c r="V96" s="107"/>
      <c r="W96" s="107"/>
    </row>
    <row r="97" spans="1:23" s="19" customFormat="1" ht="12.75">
      <c r="A97" s="790">
        <v>312</v>
      </c>
      <c r="B97" s="35" t="s">
        <v>885</v>
      </c>
      <c r="C97" s="965" t="s">
        <v>886</v>
      </c>
      <c r="D97" s="100"/>
      <c r="E97" s="37"/>
      <c r="F97" s="100"/>
      <c r="G97" s="101"/>
      <c r="H97" s="37"/>
      <c r="I97" s="37"/>
      <c r="J97" s="1938"/>
      <c r="K97" s="1938"/>
      <c r="L97" s="1938">
        <v>10000</v>
      </c>
      <c r="M97" s="2558">
        <v>30087</v>
      </c>
      <c r="N97" s="2521">
        <v>68000</v>
      </c>
      <c r="O97" s="2846">
        <v>68000</v>
      </c>
      <c r="P97" s="2518">
        <v>68000</v>
      </c>
      <c r="Q97" s="45"/>
      <c r="R97" s="45"/>
      <c r="S97" s="45"/>
      <c r="T97" s="45"/>
      <c r="U97" s="107"/>
      <c r="V97" s="107"/>
      <c r="W97" s="107"/>
    </row>
    <row r="98" spans="1:20" s="19" customFormat="1" ht="12.75">
      <c r="A98" s="790">
        <v>312</v>
      </c>
      <c r="B98" s="35" t="s">
        <v>885</v>
      </c>
      <c r="C98" s="965" t="s">
        <v>887</v>
      </c>
      <c r="D98" s="100"/>
      <c r="E98" s="37"/>
      <c r="F98" s="100"/>
      <c r="G98" s="101"/>
      <c r="H98" s="37"/>
      <c r="I98" s="37"/>
      <c r="J98" s="1938">
        <v>7994.3</v>
      </c>
      <c r="K98" s="1938">
        <v>5148.44</v>
      </c>
      <c r="L98" s="1938"/>
      <c r="M98" s="2558">
        <v>5437</v>
      </c>
      <c r="N98" s="2521">
        <v>5500</v>
      </c>
      <c r="O98" s="2846">
        <v>5500</v>
      </c>
      <c r="P98" s="2518">
        <v>5500</v>
      </c>
      <c r="Q98" s="45"/>
      <c r="R98" s="45"/>
      <c r="S98" s="45"/>
      <c r="T98" s="45"/>
    </row>
    <row r="99" spans="1:21" s="19" customFormat="1" ht="12.75">
      <c r="A99" s="791">
        <v>312</v>
      </c>
      <c r="B99" s="66" t="s">
        <v>98</v>
      </c>
      <c r="C99" s="1217" t="s">
        <v>71</v>
      </c>
      <c r="D99" s="100"/>
      <c r="E99" s="37"/>
      <c r="F99" s="100"/>
      <c r="G99" s="101"/>
      <c r="H99" s="37"/>
      <c r="I99" s="37"/>
      <c r="J99" s="1938">
        <v>1427.6</v>
      </c>
      <c r="K99" s="1938">
        <v>0</v>
      </c>
      <c r="L99" s="1938">
        <v>0</v>
      </c>
      <c r="M99" s="2558"/>
      <c r="N99" s="2519"/>
      <c r="O99" s="2847"/>
      <c r="P99" s="2520"/>
      <c r="Q99" s="45"/>
      <c r="R99" s="45"/>
      <c r="S99" s="45"/>
      <c r="T99" s="45"/>
      <c r="U99" s="108"/>
    </row>
    <row r="100" spans="1:21" s="19" customFormat="1" ht="12.75">
      <c r="A100" s="790">
        <v>312</v>
      </c>
      <c r="B100" s="35" t="s">
        <v>98</v>
      </c>
      <c r="C100" s="965" t="s">
        <v>784</v>
      </c>
      <c r="D100" s="76"/>
      <c r="E100" s="92"/>
      <c r="F100" s="76"/>
      <c r="G100" s="77"/>
      <c r="H100" s="92"/>
      <c r="I100" s="92"/>
      <c r="J100" s="1938">
        <v>8250</v>
      </c>
      <c r="K100" s="1938">
        <v>0</v>
      </c>
      <c r="L100" s="1938">
        <v>0</v>
      </c>
      <c r="M100" s="2558"/>
      <c r="N100" s="2521"/>
      <c r="O100" s="2846"/>
      <c r="P100" s="2518"/>
      <c r="Q100" s="109"/>
      <c r="R100" s="45"/>
      <c r="S100" s="45"/>
      <c r="T100" s="45"/>
      <c r="U100" s="108"/>
    </row>
    <row r="101" spans="1:21" s="19" customFormat="1" ht="12.75">
      <c r="A101" s="1790">
        <v>312</v>
      </c>
      <c r="B101" s="956" t="s">
        <v>98</v>
      </c>
      <c r="C101" s="1194" t="s">
        <v>773</v>
      </c>
      <c r="D101" s="957"/>
      <c r="E101" s="958"/>
      <c r="F101" s="957"/>
      <c r="G101" s="959"/>
      <c r="H101" s="958"/>
      <c r="I101" s="958"/>
      <c r="J101" s="1938"/>
      <c r="K101" s="19">
        <v>0</v>
      </c>
      <c r="L101" s="1938">
        <v>0</v>
      </c>
      <c r="M101" s="2558"/>
      <c r="N101" s="2564"/>
      <c r="O101" s="2857"/>
      <c r="P101" s="2565"/>
      <c r="Q101" s="45"/>
      <c r="R101" s="45"/>
      <c r="S101" s="45"/>
      <c r="T101" s="45"/>
      <c r="U101" s="108"/>
    </row>
    <row r="102" spans="1:21" s="19" customFormat="1" ht="12.75">
      <c r="A102" s="1791">
        <v>312</v>
      </c>
      <c r="B102" s="960" t="s">
        <v>98</v>
      </c>
      <c r="C102" s="1233" t="s">
        <v>79</v>
      </c>
      <c r="D102" s="961"/>
      <c r="E102" s="962"/>
      <c r="F102" s="961"/>
      <c r="G102" s="963"/>
      <c r="H102" s="962"/>
      <c r="I102" s="962"/>
      <c r="J102" s="1938">
        <v>1849.05</v>
      </c>
      <c r="K102" s="1938">
        <v>2072.44</v>
      </c>
      <c r="L102" s="1938">
        <v>3000</v>
      </c>
      <c r="M102" s="2558">
        <v>5368</v>
      </c>
      <c r="N102" s="2566">
        <v>1500</v>
      </c>
      <c r="O102" s="2858"/>
      <c r="P102" s="2567"/>
      <c r="Q102" s="45"/>
      <c r="R102" s="45"/>
      <c r="S102" s="45"/>
      <c r="T102" s="45"/>
      <c r="U102" s="108"/>
    </row>
    <row r="103" spans="1:21" s="19" customFormat="1" ht="12.75">
      <c r="A103" s="1950">
        <v>312</v>
      </c>
      <c r="B103" s="602" t="s">
        <v>98</v>
      </c>
      <c r="C103" s="1284" t="s">
        <v>785</v>
      </c>
      <c r="D103" s="76"/>
      <c r="E103" s="92"/>
      <c r="F103" s="76"/>
      <c r="G103" s="77"/>
      <c r="H103" s="92"/>
      <c r="I103" s="92"/>
      <c r="J103" s="1938"/>
      <c r="K103" s="1938">
        <v>684</v>
      </c>
      <c r="L103" s="1938">
        <v>0</v>
      </c>
      <c r="M103" s="2558"/>
      <c r="N103" s="2517"/>
      <c r="O103" s="2859"/>
      <c r="P103" s="2568"/>
      <c r="Q103" s="45"/>
      <c r="R103" s="45"/>
      <c r="S103" s="45"/>
      <c r="T103" s="45"/>
      <c r="U103" s="108"/>
    </row>
    <row r="104" spans="1:21" s="19" customFormat="1" ht="12.75">
      <c r="A104" s="1950">
        <v>312</v>
      </c>
      <c r="B104" s="602" t="s">
        <v>98</v>
      </c>
      <c r="C104" s="1284" t="s">
        <v>646</v>
      </c>
      <c r="D104" s="76"/>
      <c r="E104" s="92"/>
      <c r="F104" s="76"/>
      <c r="G104" s="77"/>
      <c r="H104" s="92"/>
      <c r="I104" s="92"/>
      <c r="J104" s="1938">
        <v>35984.12</v>
      </c>
      <c r="K104" s="1938">
        <v>37286.8</v>
      </c>
      <c r="L104" s="1938">
        <v>15000</v>
      </c>
      <c r="M104" s="2558">
        <v>29389</v>
      </c>
      <c r="N104" s="2517">
        <v>40000</v>
      </c>
      <c r="O104" s="2859">
        <v>41000</v>
      </c>
      <c r="P104" s="2568">
        <v>42000</v>
      </c>
      <c r="Q104" s="45"/>
      <c r="R104" s="45"/>
      <c r="S104" s="45"/>
      <c r="T104" s="45"/>
      <c r="U104" s="108"/>
    </row>
    <row r="105" spans="1:21" s="19" customFormat="1" ht="12.75">
      <c r="A105" s="790">
        <v>312</v>
      </c>
      <c r="B105" s="35" t="s">
        <v>98</v>
      </c>
      <c r="C105" s="965" t="s">
        <v>786</v>
      </c>
      <c r="D105" s="76"/>
      <c r="E105" s="92"/>
      <c r="F105" s="76"/>
      <c r="G105" s="77"/>
      <c r="H105" s="92"/>
      <c r="I105" s="92"/>
      <c r="J105" s="1938">
        <v>270</v>
      </c>
      <c r="K105" s="1938">
        <v>297.97</v>
      </c>
      <c r="L105" s="1938">
        <v>300</v>
      </c>
      <c r="M105" s="2558">
        <v>300</v>
      </c>
      <c r="N105" s="2521">
        <v>320</v>
      </c>
      <c r="O105" s="2846">
        <v>330</v>
      </c>
      <c r="P105" s="2518">
        <v>330</v>
      </c>
      <c r="Q105" s="45"/>
      <c r="R105" s="45"/>
      <c r="S105" s="45"/>
      <c r="T105" s="45"/>
      <c r="U105" s="108"/>
    </row>
    <row r="106" spans="1:21" s="19" customFormat="1" ht="12.75">
      <c r="A106" s="791">
        <v>312</v>
      </c>
      <c r="B106" s="66" t="s">
        <v>98</v>
      </c>
      <c r="C106" s="1217" t="s">
        <v>787</v>
      </c>
      <c r="D106" s="76"/>
      <c r="E106" s="92"/>
      <c r="F106" s="76"/>
      <c r="G106" s="77"/>
      <c r="H106" s="92"/>
      <c r="I106" s="92"/>
      <c r="J106" s="1938">
        <v>0</v>
      </c>
      <c r="K106" s="1938">
        <v>0</v>
      </c>
      <c r="L106" s="1938">
        <v>0</v>
      </c>
      <c r="M106" s="2558">
        <v>3000</v>
      </c>
      <c r="N106" s="2519">
        <v>3000</v>
      </c>
      <c r="O106" s="2847">
        <v>3000</v>
      </c>
      <c r="P106" s="2520">
        <v>3000</v>
      </c>
      <c r="Q106" s="45"/>
      <c r="R106" s="45"/>
      <c r="S106" s="45"/>
      <c r="T106" s="45"/>
      <c r="U106" s="108"/>
    </row>
    <row r="107" spans="1:21" s="19" customFormat="1" ht="12.75">
      <c r="A107" s="791">
        <v>312</v>
      </c>
      <c r="B107" s="66" t="s">
        <v>98</v>
      </c>
      <c r="C107" s="1217" t="s">
        <v>788</v>
      </c>
      <c r="D107" s="76"/>
      <c r="E107" s="92"/>
      <c r="F107" s="76"/>
      <c r="G107" s="77"/>
      <c r="H107" s="92"/>
      <c r="I107" s="92"/>
      <c r="J107" s="1946">
        <v>10000</v>
      </c>
      <c r="K107" s="1946">
        <v>0</v>
      </c>
      <c r="L107" s="1946">
        <v>0</v>
      </c>
      <c r="M107" s="2569"/>
      <c r="N107" s="2519"/>
      <c r="O107" s="2847"/>
      <c r="P107" s="2520"/>
      <c r="Q107" s="45"/>
      <c r="R107" s="45"/>
      <c r="S107" s="45"/>
      <c r="T107" s="45"/>
      <c r="U107" s="108"/>
    </row>
    <row r="108" spans="1:21" s="19" customFormat="1" ht="13.5" thickBot="1">
      <c r="A108" s="1792">
        <v>312</v>
      </c>
      <c r="B108" s="1793" t="s">
        <v>98</v>
      </c>
      <c r="C108" s="1794" t="s">
        <v>789</v>
      </c>
      <c r="D108" s="1795"/>
      <c r="E108" s="1796"/>
      <c r="F108" s="1795"/>
      <c r="G108" s="1797"/>
      <c r="H108" s="1796"/>
      <c r="I108" s="1796"/>
      <c r="J108" s="2226">
        <v>11271.88</v>
      </c>
      <c r="K108" s="2226">
        <v>18639.64</v>
      </c>
      <c r="L108" s="2226">
        <v>10000</v>
      </c>
      <c r="M108" s="2570">
        <v>19168</v>
      </c>
      <c r="N108" s="2524">
        <v>26000</v>
      </c>
      <c r="O108" s="2860">
        <v>27000</v>
      </c>
      <c r="P108" s="2571">
        <v>28000</v>
      </c>
      <c r="Q108" s="45"/>
      <c r="R108" s="45"/>
      <c r="S108" s="45"/>
      <c r="T108" s="45"/>
      <c r="U108" s="108"/>
    </row>
    <row r="109" spans="1:20" s="19" customFormat="1" ht="13.5" thickBot="1">
      <c r="A109" s="67"/>
      <c r="B109" s="67"/>
      <c r="C109" s="67"/>
      <c r="D109" s="76"/>
      <c r="E109" s="92"/>
      <c r="F109" s="76"/>
      <c r="G109" s="77"/>
      <c r="H109" s="92"/>
      <c r="I109" s="92"/>
      <c r="J109" s="92"/>
      <c r="K109" s="112"/>
      <c r="L109" s="112"/>
      <c r="M109" s="2540"/>
      <c r="N109" s="2540"/>
      <c r="O109" s="2845"/>
      <c r="P109" s="2540"/>
      <c r="Q109" s="111"/>
      <c r="R109" s="111"/>
      <c r="S109" s="111"/>
      <c r="T109" s="111"/>
    </row>
    <row r="110" spans="1:20" s="62" customFormat="1" ht="12.75">
      <c r="A110" s="2184" t="s">
        <v>148</v>
      </c>
      <c r="B110" s="2185"/>
      <c r="C110" s="2186"/>
      <c r="D110" s="2213"/>
      <c r="E110" s="2214"/>
      <c r="F110" s="2213"/>
      <c r="G110" s="2213"/>
      <c r="H110" s="2214"/>
      <c r="I110" s="2214"/>
      <c r="J110" s="3061">
        <f>J111+J112</f>
        <v>3483</v>
      </c>
      <c r="K110" s="3062">
        <f>K111+K112+K113</f>
        <v>3000</v>
      </c>
      <c r="L110" s="2215">
        <f>SUM(L111,L112)</f>
        <v>3000</v>
      </c>
      <c r="M110" s="2917">
        <f>SUM(M111,M112)</f>
        <v>3000</v>
      </c>
      <c r="N110" s="3063">
        <f>SUM(N111,N112)</f>
        <v>3000</v>
      </c>
      <c r="O110" s="2919">
        <f>SUM(O111,O112)</f>
        <v>3000</v>
      </c>
      <c r="P110" s="2920">
        <f>SUM(P111,P112)</f>
        <v>3000</v>
      </c>
      <c r="Q110" s="45"/>
      <c r="R110" s="45"/>
      <c r="S110" s="45"/>
      <c r="T110" s="45"/>
    </row>
    <row r="111" spans="1:20" s="62" customFormat="1" ht="12.75">
      <c r="A111" s="790">
        <v>311</v>
      </c>
      <c r="B111" s="35"/>
      <c r="C111" s="1231" t="s">
        <v>805</v>
      </c>
      <c r="D111" s="113"/>
      <c r="E111" s="113"/>
      <c r="F111" s="113"/>
      <c r="G111" s="114"/>
      <c r="H111" s="113"/>
      <c r="I111" s="115"/>
      <c r="J111" s="1531">
        <v>3000</v>
      </c>
      <c r="K111" s="1533">
        <v>3000</v>
      </c>
      <c r="L111" s="1730">
        <v>3000</v>
      </c>
      <c r="M111" s="2572">
        <v>3000</v>
      </c>
      <c r="N111" s="2573">
        <v>3000</v>
      </c>
      <c r="O111" s="2848">
        <v>3000</v>
      </c>
      <c r="P111" s="2574">
        <v>3000</v>
      </c>
      <c r="Q111" s="117"/>
      <c r="R111" s="117"/>
      <c r="S111" s="117"/>
      <c r="T111" s="117"/>
    </row>
    <row r="112" spans="1:21" s="19" customFormat="1" ht="12.75">
      <c r="A112" s="791">
        <v>311</v>
      </c>
      <c r="B112" s="66"/>
      <c r="C112" s="1217" t="s">
        <v>729</v>
      </c>
      <c r="D112" s="37"/>
      <c r="E112" s="37"/>
      <c r="F112" s="37"/>
      <c r="G112" s="36"/>
      <c r="H112" s="37"/>
      <c r="I112" s="37"/>
      <c r="J112" s="37">
        <v>483</v>
      </c>
      <c r="K112" s="952">
        <v>0</v>
      </c>
      <c r="L112" s="1730">
        <v>0</v>
      </c>
      <c r="M112" s="2528">
        <v>0</v>
      </c>
      <c r="N112" s="2573">
        <v>0</v>
      </c>
      <c r="O112" s="2846">
        <v>0</v>
      </c>
      <c r="P112" s="2518">
        <v>0</v>
      </c>
      <c r="Q112" s="118"/>
      <c r="R112" s="45"/>
      <c r="S112" s="45"/>
      <c r="T112" s="45"/>
      <c r="U112" s="108"/>
    </row>
    <row r="113" spans="1:20" s="19" customFormat="1" ht="12.75">
      <c r="A113" s="2216">
        <v>311</v>
      </c>
      <c r="B113" s="1532"/>
      <c r="C113" s="1270" t="s">
        <v>704</v>
      </c>
      <c r="D113" s="92"/>
      <c r="E113" s="92"/>
      <c r="F113" s="92"/>
      <c r="G113" s="93"/>
      <c r="H113" s="92"/>
      <c r="I113" s="92"/>
      <c r="J113" s="92">
        <v>0</v>
      </c>
      <c r="K113" s="952">
        <v>0</v>
      </c>
      <c r="L113" s="1783">
        <v>0</v>
      </c>
      <c r="M113" s="2528">
        <v>0</v>
      </c>
      <c r="N113" s="2575">
        <v>0</v>
      </c>
      <c r="O113" s="2846">
        <v>0</v>
      </c>
      <c r="P113" s="2518">
        <v>0</v>
      </c>
      <c r="Q113" s="111"/>
      <c r="R113" s="111"/>
      <c r="S113" s="111"/>
      <c r="T113" s="45"/>
    </row>
    <row r="114" spans="1:20" s="19" customFormat="1" ht="13.5" thickBot="1">
      <c r="A114" s="3193" t="s">
        <v>149</v>
      </c>
      <c r="B114" s="3194"/>
      <c r="C114" s="3194"/>
      <c r="D114" s="2207"/>
      <c r="E114" s="2191"/>
      <c r="F114" s="2207"/>
      <c r="G114" s="2191"/>
      <c r="H114" s="2207"/>
      <c r="I114" s="2191"/>
      <c r="J114" s="2191">
        <f>SUM(J78,J110)</f>
        <v>769652.0500000002</v>
      </c>
      <c r="K114" s="2191">
        <f>K78+K110</f>
        <v>100175.19</v>
      </c>
      <c r="L114" s="2217">
        <f>SUM(L78,L110)</f>
        <v>52800</v>
      </c>
      <c r="M114" s="2913">
        <f>SUM(M78,M110)</f>
        <v>100749</v>
      </c>
      <c r="N114" s="3054">
        <f>SUM(N78,N110)</f>
        <v>157312</v>
      </c>
      <c r="O114" s="3055">
        <f>SUM(O78,O110)</f>
        <v>153330</v>
      </c>
      <c r="P114" s="3056">
        <f>SUM(P78,P110)</f>
        <v>155330</v>
      </c>
      <c r="Q114" s="74"/>
      <c r="R114" s="74"/>
      <c r="S114" s="74"/>
      <c r="T114" s="74"/>
    </row>
    <row r="115" spans="1:20" s="17" customFormat="1" ht="13.5" thickBot="1">
      <c r="A115" s="159" t="s">
        <v>150</v>
      </c>
      <c r="B115" s="804"/>
      <c r="C115" s="2210"/>
      <c r="D115" s="1750"/>
      <c r="E115" s="1750"/>
      <c r="F115" s="1750"/>
      <c r="G115" s="1750"/>
      <c r="H115" s="1750"/>
      <c r="I115" s="2211"/>
      <c r="J115" s="2218">
        <f>SUM(J31,J114,J65)</f>
        <v>1886130.5600000003</v>
      </c>
      <c r="K115" s="2218">
        <f>K31+K65+K114</f>
        <v>1379071.67</v>
      </c>
      <c r="L115" s="2212">
        <f>SUM(L31,L65,L114)</f>
        <v>1432156</v>
      </c>
      <c r="M115" s="3057">
        <f>SUM(M31,M65,M114)</f>
        <v>1525462</v>
      </c>
      <c r="N115" s="3058">
        <f>SUM(N31,N65,N114)</f>
        <v>1593136</v>
      </c>
      <c r="O115" s="3059">
        <f>SUM(O31,O65,O114)</f>
        <v>1551732</v>
      </c>
      <c r="P115" s="3060">
        <f>SUM(P31,P65,P114)</f>
        <v>1639486</v>
      </c>
      <c r="Q115" s="38"/>
      <c r="R115" s="38"/>
      <c r="S115" s="38"/>
      <c r="T115" s="38"/>
    </row>
    <row r="116" spans="13:16" ht="12.75" customHeight="1">
      <c r="M116" s="2540"/>
      <c r="N116" s="2576"/>
      <c r="P116" s="2576"/>
    </row>
    <row r="117" spans="13:16" ht="12.75" customHeight="1" hidden="1">
      <c r="M117" s="2526"/>
      <c r="N117" s="2576"/>
      <c r="P117" s="2576"/>
    </row>
    <row r="118" spans="13:16" ht="12.75" customHeight="1" hidden="1">
      <c r="M118" s="2526"/>
      <c r="N118" s="2576"/>
      <c r="P118" s="2576"/>
    </row>
    <row r="119" spans="13:16" ht="12.75" customHeight="1" hidden="1">
      <c r="M119" s="2526"/>
      <c r="N119" s="2576"/>
      <c r="P119" s="2576"/>
    </row>
    <row r="120" spans="13:16" ht="12.75" customHeight="1" hidden="1">
      <c r="M120" s="2526"/>
      <c r="N120" s="2576"/>
      <c r="P120" s="2576"/>
    </row>
    <row r="121" spans="13:16" ht="12.75" customHeight="1" hidden="1">
      <c r="M121" s="2526"/>
      <c r="N121" s="2576"/>
      <c r="P121" s="2576"/>
    </row>
    <row r="122" spans="13:16" ht="12.75" customHeight="1" hidden="1">
      <c r="M122" s="2526"/>
      <c r="N122" s="2576"/>
      <c r="P122" s="2576"/>
    </row>
    <row r="123" spans="3:16" ht="12.75" customHeight="1">
      <c r="C123" s="565" t="s">
        <v>80</v>
      </c>
      <c r="M123" s="2526"/>
      <c r="N123" s="2576"/>
      <c r="P123" s="2576"/>
    </row>
    <row r="124" spans="13:20" ht="12.75" customHeight="1" thickBot="1">
      <c r="M124" s="3184"/>
      <c r="N124" s="3184"/>
      <c r="O124" s="3184"/>
      <c r="P124" s="3184"/>
      <c r="Q124" s="24"/>
      <c r="R124" s="24"/>
      <c r="S124" s="24"/>
      <c r="T124" s="24"/>
    </row>
    <row r="125" spans="13:16" ht="12.75" customHeight="1" hidden="1">
      <c r="M125" s="2526"/>
      <c r="N125" s="2576"/>
      <c r="P125" s="2576"/>
    </row>
    <row r="126" spans="1:20" s="19" customFormat="1" ht="21" customHeight="1">
      <c r="A126" s="28" t="s">
        <v>80</v>
      </c>
      <c r="B126" s="122"/>
      <c r="C126" s="123"/>
      <c r="D126" s="124" t="s">
        <v>151</v>
      </c>
      <c r="E126" s="125" t="s">
        <v>152</v>
      </c>
      <c r="F126" s="124" t="s">
        <v>151</v>
      </c>
      <c r="G126" s="125" t="s">
        <v>152</v>
      </c>
      <c r="H126" s="124" t="s">
        <v>151</v>
      </c>
      <c r="I126" s="125" t="s">
        <v>152</v>
      </c>
      <c r="J126" s="1788">
        <v>2017</v>
      </c>
      <c r="K126" s="1916">
        <v>2018</v>
      </c>
      <c r="L126" s="1917">
        <v>2019</v>
      </c>
      <c r="M126" s="2515" t="s">
        <v>881</v>
      </c>
      <c r="N126" s="2178">
        <v>2020</v>
      </c>
      <c r="O126" s="2912" t="s">
        <v>882</v>
      </c>
      <c r="P126" s="2843">
        <v>2022</v>
      </c>
      <c r="Q126" s="29"/>
      <c r="R126" s="29"/>
      <c r="S126" s="29"/>
      <c r="T126" s="30"/>
    </row>
    <row r="127" spans="1:20" ht="12.75">
      <c r="A127" s="41">
        <v>231</v>
      </c>
      <c r="B127" s="42"/>
      <c r="C127" s="1234" t="s">
        <v>153</v>
      </c>
      <c r="D127" s="116">
        <v>0</v>
      </c>
      <c r="E127" s="116"/>
      <c r="F127" s="116">
        <v>0</v>
      </c>
      <c r="G127" s="116"/>
      <c r="H127" s="116">
        <v>0</v>
      </c>
      <c r="I127" s="116"/>
      <c r="J127" s="1533">
        <v>500</v>
      </c>
      <c r="K127" s="1533">
        <v>0</v>
      </c>
      <c r="L127" s="1533">
        <v>0</v>
      </c>
      <c r="M127" s="2577">
        <v>0</v>
      </c>
      <c r="N127" s="2578">
        <v>0</v>
      </c>
      <c r="O127" s="2861">
        <v>0</v>
      </c>
      <c r="P127" s="2574">
        <v>0</v>
      </c>
      <c r="Q127" s="117"/>
      <c r="R127" s="117"/>
      <c r="S127" s="117"/>
      <c r="T127" s="117"/>
    </row>
    <row r="128" spans="1:20" ht="12.75">
      <c r="A128" s="65">
        <v>233</v>
      </c>
      <c r="B128" s="87"/>
      <c r="C128" s="1234" t="s">
        <v>154</v>
      </c>
      <c r="D128" s="116">
        <v>3000</v>
      </c>
      <c r="E128" s="116"/>
      <c r="F128" s="116">
        <v>3000</v>
      </c>
      <c r="G128" s="116"/>
      <c r="H128" s="116">
        <v>3000</v>
      </c>
      <c r="I128" s="116"/>
      <c r="J128" s="1536">
        <v>5810</v>
      </c>
      <c r="K128" s="1536">
        <v>10196.8</v>
      </c>
      <c r="L128" s="1536">
        <v>0</v>
      </c>
      <c r="M128" s="2579">
        <v>3380</v>
      </c>
      <c r="N128" s="2580">
        <v>0</v>
      </c>
      <c r="O128" s="2862">
        <v>0</v>
      </c>
      <c r="P128" s="2574">
        <v>0</v>
      </c>
      <c r="Q128" s="117"/>
      <c r="R128" s="117"/>
      <c r="S128" s="117"/>
      <c r="T128" s="117"/>
    </row>
    <row r="129" spans="1:20" ht="13.5" thickBot="1">
      <c r="A129" s="3195" t="s">
        <v>135</v>
      </c>
      <c r="B129" s="3195"/>
      <c r="C129" s="3195"/>
      <c r="D129" s="126">
        <f>SUM(D127,D128)</f>
        <v>3000</v>
      </c>
      <c r="E129" s="126">
        <f>E127+E128</f>
        <v>0</v>
      </c>
      <c r="F129" s="126">
        <f>SUM(F127,F128)</f>
        <v>3000</v>
      </c>
      <c r="G129" s="126">
        <f>G127+G128</f>
        <v>0</v>
      </c>
      <c r="H129" s="126">
        <f>SUM(H127,H128)</f>
        <v>3000</v>
      </c>
      <c r="I129" s="126">
        <f>I127+I128</f>
        <v>0</v>
      </c>
      <c r="J129" s="1538">
        <f>SUM(J127,J128)</f>
        <v>6310</v>
      </c>
      <c r="K129" s="1538">
        <f aca="true" t="shared" si="1" ref="K129:P129">K127+K128</f>
        <v>10196.8</v>
      </c>
      <c r="L129" s="1539">
        <f t="shared" si="1"/>
        <v>0</v>
      </c>
      <c r="M129" s="3053">
        <f t="shared" si="1"/>
        <v>3380</v>
      </c>
      <c r="N129" s="2581">
        <f t="shared" si="1"/>
        <v>0</v>
      </c>
      <c r="O129" s="2863">
        <f t="shared" si="1"/>
        <v>0</v>
      </c>
      <c r="P129" s="2582">
        <f t="shared" si="1"/>
        <v>0</v>
      </c>
      <c r="Q129" s="127"/>
      <c r="R129" s="127"/>
      <c r="S129" s="127"/>
      <c r="T129" s="127"/>
    </row>
    <row r="130" spans="1:16" ht="12.75">
      <c r="A130" s="55"/>
      <c r="B130" s="55"/>
      <c r="C130" s="128"/>
      <c r="D130" s="56"/>
      <c r="E130" s="56"/>
      <c r="F130" s="56"/>
      <c r="G130" s="58"/>
      <c r="H130" s="56"/>
      <c r="I130" s="56"/>
      <c r="J130" s="56"/>
      <c r="K130" s="56"/>
      <c r="L130" s="56"/>
      <c r="M130" s="2526"/>
      <c r="N130" s="2576"/>
      <c r="P130" s="2576"/>
    </row>
    <row r="131" spans="1:20" ht="16.5" thickBot="1">
      <c r="A131" s="55"/>
      <c r="B131" s="55"/>
      <c r="C131" s="128"/>
      <c r="D131" s="56"/>
      <c r="E131" s="56"/>
      <c r="F131" s="56"/>
      <c r="G131" s="58"/>
      <c r="H131" s="56"/>
      <c r="I131" s="56"/>
      <c r="J131" s="56"/>
      <c r="K131" s="56" t="s">
        <v>136</v>
      </c>
      <c r="L131" s="56"/>
      <c r="M131" s="3184"/>
      <c r="N131" s="3184"/>
      <c r="O131" s="3184"/>
      <c r="P131" s="3184"/>
      <c r="Q131" s="24"/>
      <c r="R131" s="24"/>
      <c r="S131" s="24"/>
      <c r="T131" s="24"/>
    </row>
    <row r="132" spans="1:16" ht="13.5" hidden="1" thickBot="1">
      <c r="A132" s="55"/>
      <c r="B132" s="55"/>
      <c r="C132" s="128"/>
      <c r="D132" s="56"/>
      <c r="E132" s="56"/>
      <c r="F132" s="56"/>
      <c r="G132" s="58"/>
      <c r="H132" s="56"/>
      <c r="I132" s="56"/>
      <c r="J132" s="56"/>
      <c r="K132" s="56"/>
      <c r="L132" s="56"/>
      <c r="M132" s="2526"/>
      <c r="N132" s="2576"/>
      <c r="P132" s="2576"/>
    </row>
    <row r="133" spans="1:20" ht="31.5" customHeight="1">
      <c r="A133" s="28" t="s">
        <v>80</v>
      </c>
      <c r="B133" s="122"/>
      <c r="C133" s="123"/>
      <c r="D133" s="124" t="s">
        <v>151</v>
      </c>
      <c r="E133" s="125" t="s">
        <v>152</v>
      </c>
      <c r="F133" s="124" t="s">
        <v>151</v>
      </c>
      <c r="G133" s="125" t="s">
        <v>152</v>
      </c>
      <c r="H133" s="124" t="s">
        <v>151</v>
      </c>
      <c r="I133" s="125" t="s">
        <v>152</v>
      </c>
      <c r="J133" s="1788">
        <v>2017</v>
      </c>
      <c r="K133" s="1916">
        <v>2018</v>
      </c>
      <c r="L133" s="1917">
        <v>2019</v>
      </c>
      <c r="M133" s="2515" t="s">
        <v>881</v>
      </c>
      <c r="N133" s="2178">
        <v>2020</v>
      </c>
      <c r="O133" s="2912" t="s">
        <v>882</v>
      </c>
      <c r="P133" s="2843">
        <v>2022</v>
      </c>
      <c r="Q133" s="70"/>
      <c r="R133" s="70"/>
      <c r="S133" s="70"/>
      <c r="T133" s="71"/>
    </row>
    <row r="134" spans="1:20" ht="12.75">
      <c r="A134" s="41">
        <v>322</v>
      </c>
      <c r="B134" s="42"/>
      <c r="C134" s="1234" t="s">
        <v>807</v>
      </c>
      <c r="D134" s="116">
        <v>0</v>
      </c>
      <c r="E134" s="116">
        <v>0</v>
      </c>
      <c r="F134" s="116">
        <v>0</v>
      </c>
      <c r="G134" s="116">
        <v>0</v>
      </c>
      <c r="H134" s="116">
        <v>0</v>
      </c>
      <c r="I134" s="116">
        <v>0</v>
      </c>
      <c r="J134" s="1533">
        <v>0</v>
      </c>
      <c r="K134" s="1533">
        <v>155941.22</v>
      </c>
      <c r="L134" s="1533">
        <v>168351</v>
      </c>
      <c r="M134" s="2577">
        <v>159975</v>
      </c>
      <c r="N134" s="2583">
        <v>0</v>
      </c>
      <c r="O134" s="2861">
        <v>0</v>
      </c>
      <c r="P134" s="2574">
        <v>0</v>
      </c>
      <c r="Q134" s="117" t="s">
        <v>910</v>
      </c>
      <c r="R134" s="117"/>
      <c r="S134" s="117"/>
      <c r="T134" s="117"/>
    </row>
    <row r="135" spans="1:22" ht="12.75">
      <c r="A135" s="41">
        <v>322</v>
      </c>
      <c r="B135" s="42"/>
      <c r="C135" s="1234" t="s">
        <v>713</v>
      </c>
      <c r="D135" s="116">
        <v>0</v>
      </c>
      <c r="E135" s="116">
        <v>0</v>
      </c>
      <c r="F135" s="116">
        <v>0</v>
      </c>
      <c r="G135" s="116">
        <v>0</v>
      </c>
      <c r="H135" s="116">
        <v>0</v>
      </c>
      <c r="I135" s="116">
        <v>0</v>
      </c>
      <c r="J135" s="1536">
        <v>0</v>
      </c>
      <c r="K135" s="1536">
        <v>2393188.44</v>
      </c>
      <c r="L135" s="1536">
        <v>6800000</v>
      </c>
      <c r="M135" s="2579">
        <v>5615325</v>
      </c>
      <c r="N135" s="2584">
        <v>3875207</v>
      </c>
      <c r="O135" s="2864">
        <v>0</v>
      </c>
      <c r="P135" s="2574">
        <v>0</v>
      </c>
      <c r="Q135" s="117"/>
      <c r="R135" s="117"/>
      <c r="S135" s="117"/>
      <c r="T135" s="117"/>
      <c r="U135" s="129"/>
      <c r="V135" s="130"/>
    </row>
    <row r="136" spans="1:20" ht="12.75">
      <c r="A136" s="41">
        <v>322</v>
      </c>
      <c r="B136" s="42"/>
      <c r="C136" s="1234" t="s">
        <v>85</v>
      </c>
      <c r="D136" s="116">
        <v>0</v>
      </c>
      <c r="E136" s="131">
        <v>0</v>
      </c>
      <c r="F136" s="116">
        <v>0</v>
      </c>
      <c r="G136" s="131">
        <v>0</v>
      </c>
      <c r="H136" s="116">
        <v>0</v>
      </c>
      <c r="I136" s="131">
        <v>0</v>
      </c>
      <c r="J136" s="1544">
        <v>0</v>
      </c>
      <c r="K136" s="1544">
        <v>0</v>
      </c>
      <c r="L136" s="1544">
        <v>0</v>
      </c>
      <c r="M136" s="2585">
        <v>0</v>
      </c>
      <c r="N136" s="2583">
        <v>0</v>
      </c>
      <c r="O136" s="2861">
        <v>0</v>
      </c>
      <c r="P136" s="2586">
        <v>0</v>
      </c>
      <c r="Q136" s="117"/>
      <c r="R136" s="117"/>
      <c r="S136" s="117"/>
      <c r="T136" s="117"/>
    </row>
    <row r="137" spans="1:20" ht="12.75">
      <c r="A137" s="41">
        <v>322</v>
      </c>
      <c r="B137" s="42"/>
      <c r="C137" s="1234" t="s">
        <v>806</v>
      </c>
      <c r="D137" s="116">
        <v>179660.04</v>
      </c>
      <c r="E137" s="116">
        <v>179660.04</v>
      </c>
      <c r="F137" s="116">
        <v>179660.04</v>
      </c>
      <c r="G137" s="116">
        <v>179660.04</v>
      </c>
      <c r="H137" s="116">
        <v>179660.04</v>
      </c>
      <c r="I137" s="116">
        <v>179660.04</v>
      </c>
      <c r="J137" s="1533">
        <v>0</v>
      </c>
      <c r="K137" s="1533">
        <v>0</v>
      </c>
      <c r="L137" s="1533">
        <v>0</v>
      </c>
      <c r="M137" s="2577">
        <v>0</v>
      </c>
      <c r="N137" s="2583">
        <v>350000</v>
      </c>
      <c r="O137" s="2861">
        <v>0</v>
      </c>
      <c r="P137" s="2574">
        <v>0</v>
      </c>
      <c r="Q137" s="117"/>
      <c r="R137" s="117"/>
      <c r="S137" s="117"/>
      <c r="T137" s="117"/>
    </row>
    <row r="138" spans="1:20" ht="12.75">
      <c r="A138" s="41">
        <v>332</v>
      </c>
      <c r="B138" s="42"/>
      <c r="C138" s="1234" t="s">
        <v>808</v>
      </c>
      <c r="D138" s="116">
        <v>200000</v>
      </c>
      <c r="E138" s="131">
        <v>119317.84</v>
      </c>
      <c r="F138" s="116">
        <v>200000</v>
      </c>
      <c r="G138" s="131">
        <v>119317.84</v>
      </c>
      <c r="H138" s="116">
        <v>200000</v>
      </c>
      <c r="I138" s="131">
        <v>119317.84</v>
      </c>
      <c r="J138" s="1536">
        <v>0</v>
      </c>
      <c r="K138" s="1536">
        <v>10000</v>
      </c>
      <c r="L138" s="1536">
        <v>0</v>
      </c>
      <c r="M138" s="2579">
        <v>0</v>
      </c>
      <c r="N138" s="2583">
        <v>0</v>
      </c>
      <c r="O138" s="2861">
        <v>0</v>
      </c>
      <c r="P138" s="2574">
        <v>0</v>
      </c>
      <c r="Q138" s="117"/>
      <c r="R138" s="117"/>
      <c r="S138" s="117"/>
      <c r="T138" s="117"/>
    </row>
    <row r="139" spans="1:20" ht="12.75">
      <c r="A139" s="41">
        <v>332</v>
      </c>
      <c r="B139" s="42"/>
      <c r="C139" s="1231" t="s">
        <v>809</v>
      </c>
      <c r="D139" s="116">
        <v>34114.85</v>
      </c>
      <c r="E139" s="132">
        <v>34114.85</v>
      </c>
      <c r="F139" s="116">
        <v>34114.85</v>
      </c>
      <c r="G139" s="132">
        <v>34114.85</v>
      </c>
      <c r="H139" s="116">
        <v>34114.85</v>
      </c>
      <c r="I139" s="132">
        <v>34114.85</v>
      </c>
      <c r="J139" s="1546">
        <v>0</v>
      </c>
      <c r="K139" s="1546">
        <v>29961.11</v>
      </c>
      <c r="L139" s="1546">
        <v>0</v>
      </c>
      <c r="M139" s="2587">
        <v>0</v>
      </c>
      <c r="N139" s="3085">
        <v>11000</v>
      </c>
      <c r="O139" s="2861">
        <v>0</v>
      </c>
      <c r="P139" s="2586">
        <v>0</v>
      </c>
      <c r="Q139" s="117"/>
      <c r="R139" s="117"/>
      <c r="S139" s="117"/>
      <c r="T139" s="117"/>
    </row>
    <row r="140" spans="1:20" ht="12.75">
      <c r="A140" s="41">
        <v>322</v>
      </c>
      <c r="B140" s="42"/>
      <c r="C140" s="1231" t="s">
        <v>155</v>
      </c>
      <c r="D140" s="116">
        <v>5000</v>
      </c>
      <c r="E140" s="116">
        <v>5000</v>
      </c>
      <c r="F140" s="116">
        <v>5000</v>
      </c>
      <c r="G140" s="116">
        <v>5000</v>
      </c>
      <c r="H140" s="116">
        <v>5000</v>
      </c>
      <c r="I140" s="116">
        <v>5000</v>
      </c>
      <c r="J140" s="1536">
        <v>0</v>
      </c>
      <c r="K140" s="1536">
        <v>0</v>
      </c>
      <c r="L140" s="1536">
        <v>0</v>
      </c>
      <c r="M140" s="2579">
        <v>0</v>
      </c>
      <c r="N140" s="2588">
        <v>0</v>
      </c>
      <c r="O140" s="2861">
        <v>0</v>
      </c>
      <c r="P140" s="2574">
        <v>0</v>
      </c>
      <c r="Q140" s="117"/>
      <c r="R140" s="117"/>
      <c r="S140" s="117"/>
      <c r="T140" s="117"/>
    </row>
    <row r="141" spans="1:20" ht="12.75">
      <c r="A141" s="41">
        <v>332</v>
      </c>
      <c r="B141" s="42"/>
      <c r="C141" s="1231" t="s">
        <v>156</v>
      </c>
      <c r="D141" s="116">
        <v>0</v>
      </c>
      <c r="E141" s="116"/>
      <c r="F141" s="116">
        <v>0</v>
      </c>
      <c r="G141" s="116"/>
      <c r="H141" s="116">
        <v>0</v>
      </c>
      <c r="I141" s="116"/>
      <c r="J141" s="1536">
        <v>0</v>
      </c>
      <c r="K141" s="1536">
        <v>0</v>
      </c>
      <c r="L141" s="1536">
        <v>0</v>
      </c>
      <c r="M141" s="2579">
        <v>0</v>
      </c>
      <c r="N141" s="2589">
        <v>0</v>
      </c>
      <c r="O141" s="2861">
        <v>0</v>
      </c>
      <c r="P141" s="2574">
        <v>0</v>
      </c>
      <c r="Q141" s="117"/>
      <c r="R141" s="117"/>
      <c r="S141" s="117"/>
      <c r="T141" s="117"/>
    </row>
    <row r="142" spans="1:20" ht="12.75">
      <c r="A142" s="41">
        <v>332</v>
      </c>
      <c r="B142" s="42"/>
      <c r="C142" s="1231" t="s">
        <v>822</v>
      </c>
      <c r="D142" s="116">
        <v>49875</v>
      </c>
      <c r="E142" s="116"/>
      <c r="F142" s="116">
        <v>49875</v>
      </c>
      <c r="G142" s="116"/>
      <c r="H142" s="116">
        <v>49875</v>
      </c>
      <c r="I142" s="116"/>
      <c r="J142" s="1536">
        <v>0</v>
      </c>
      <c r="K142" s="1536">
        <v>0</v>
      </c>
      <c r="L142" s="1536">
        <v>0</v>
      </c>
      <c r="M142" s="2579">
        <v>35960</v>
      </c>
      <c r="N142" s="2588">
        <v>390000</v>
      </c>
      <c r="O142" s="2865">
        <v>354040</v>
      </c>
      <c r="P142" s="2590">
        <v>0</v>
      </c>
      <c r="Q142" s="117"/>
      <c r="R142" s="117"/>
      <c r="S142" s="117"/>
      <c r="T142" s="117"/>
    </row>
    <row r="143" spans="1:20" ht="12.75">
      <c r="A143" s="41">
        <v>332</v>
      </c>
      <c r="B143" s="42"/>
      <c r="C143" s="1231" t="s">
        <v>834</v>
      </c>
      <c r="D143" s="116">
        <v>0</v>
      </c>
      <c r="E143" s="131"/>
      <c r="F143" s="116">
        <v>0</v>
      </c>
      <c r="G143" s="131"/>
      <c r="H143" s="116">
        <v>0</v>
      </c>
      <c r="I143" s="131"/>
      <c r="J143" s="1536">
        <v>0</v>
      </c>
      <c r="K143" s="1536">
        <v>5000</v>
      </c>
      <c r="L143" s="1536">
        <v>0</v>
      </c>
      <c r="M143" s="2579">
        <v>0</v>
      </c>
      <c r="N143" s="2591">
        <v>0</v>
      </c>
      <c r="O143" s="2861">
        <v>0</v>
      </c>
      <c r="P143" s="2574">
        <v>0</v>
      </c>
      <c r="Q143" s="117"/>
      <c r="R143" s="117"/>
      <c r="S143" s="117"/>
      <c r="T143" s="117"/>
    </row>
    <row r="144" spans="1:20" ht="12.75">
      <c r="A144" s="41">
        <v>322</v>
      </c>
      <c r="B144" s="42"/>
      <c r="C144" s="1231" t="s">
        <v>907</v>
      </c>
      <c r="D144" s="116"/>
      <c r="E144" s="132"/>
      <c r="F144" s="116"/>
      <c r="G144" s="132"/>
      <c r="H144" s="116"/>
      <c r="I144" s="132"/>
      <c r="J144" s="1544">
        <v>0</v>
      </c>
      <c r="K144" s="1544">
        <v>0</v>
      </c>
      <c r="L144" s="1544">
        <v>0</v>
      </c>
      <c r="M144" s="3090">
        <v>8000</v>
      </c>
      <c r="N144" s="2591">
        <v>0</v>
      </c>
      <c r="O144" s="2844">
        <v>0</v>
      </c>
      <c r="P144" s="2574">
        <v>0</v>
      </c>
      <c r="Q144" s="117"/>
      <c r="R144" s="117"/>
      <c r="S144" s="117"/>
      <c r="T144" s="117"/>
    </row>
    <row r="145" spans="1:20" ht="13.5" thickBot="1">
      <c r="A145" s="3178" t="s">
        <v>149</v>
      </c>
      <c r="B145" s="3178"/>
      <c r="C145" s="3178"/>
      <c r="D145" s="134">
        <f>D137+D138+D139+D140+D142</f>
        <v>468649.89</v>
      </c>
      <c r="E145" s="134">
        <f>SUM(E134:E144)</f>
        <v>338092.73</v>
      </c>
      <c r="F145" s="134">
        <f>F137+F138+F139+F140+F142</f>
        <v>468649.89</v>
      </c>
      <c r="G145" s="134">
        <f>SUM(G134:G144)</f>
        <v>338092.73</v>
      </c>
      <c r="H145" s="134">
        <f>H137+H138+H139+H140+H142</f>
        <v>468649.89</v>
      </c>
      <c r="I145" s="134">
        <f>SUM(I134:I144)</f>
        <v>338092.73</v>
      </c>
      <c r="J145" s="1547">
        <f>J137+J138+J139+J140+J142+J141+J144+J136+J143</f>
        <v>0</v>
      </c>
      <c r="K145" s="1547">
        <f>K134+K135+K136+K137+K138+K139+K140+K141+K142+K143+K144</f>
        <v>2594090.77</v>
      </c>
      <c r="L145" s="1548">
        <f>SUM(L134,L135,L136,L137,L138,L139,L140,L141,L142,L143,L144)</f>
        <v>6968351</v>
      </c>
      <c r="M145" s="3064">
        <f>M134+M135+M136+M137+M138+M139+M140+M141+M142+M143+M144</f>
        <v>5819260</v>
      </c>
      <c r="N145" s="3065">
        <f>SUM(N134,N135,N136,N137,N138,N139,N140,N141,N142,N143,N144)</f>
        <v>4626207</v>
      </c>
      <c r="O145" s="3066">
        <f>O134+O135+O136+O137+O138+O139+O140+O141+O142+O143+O144</f>
        <v>354040</v>
      </c>
      <c r="P145" s="3067">
        <f>P134+P135+P136+P137+P138+P139+P140+P141+P142+P143+P144</f>
        <v>0</v>
      </c>
      <c r="Q145" s="127"/>
      <c r="R145" s="127"/>
      <c r="S145" s="127"/>
      <c r="T145" s="127"/>
    </row>
    <row r="146" spans="1:20" ht="13.5" thickBot="1">
      <c r="A146" s="120" t="s">
        <v>157</v>
      </c>
      <c r="B146" s="135"/>
      <c r="C146" s="121"/>
      <c r="D146" s="136">
        <f>SUM(D129,D145)</f>
        <v>471649.89</v>
      </c>
      <c r="E146" s="136">
        <f>E145+E129</f>
        <v>338092.73</v>
      </c>
      <c r="F146" s="136">
        <f>SUM(F129,F145)</f>
        <v>471649.89</v>
      </c>
      <c r="G146" s="136">
        <f>G145+G129</f>
        <v>338092.73</v>
      </c>
      <c r="H146" s="136">
        <f>SUM(H129,H145)</f>
        <v>471649.89</v>
      </c>
      <c r="I146" s="136">
        <f>I145+I129</f>
        <v>338092.73</v>
      </c>
      <c r="J146" s="1549">
        <f>SUM(J129,J145)</f>
        <v>6310</v>
      </c>
      <c r="K146" s="1549">
        <f>K129+K145</f>
        <v>2604287.57</v>
      </c>
      <c r="L146" s="1550">
        <f>SUM(L129,L145)</f>
        <v>6968351</v>
      </c>
      <c r="M146" s="3068">
        <f>M129+M145</f>
        <v>5822640</v>
      </c>
      <c r="N146" s="3058">
        <f>SUM(N129,N145)</f>
        <v>4626207</v>
      </c>
      <c r="O146" s="3059">
        <f>O129+O145</f>
        <v>354040</v>
      </c>
      <c r="P146" s="3069">
        <f>P129+P145</f>
        <v>0</v>
      </c>
      <c r="Q146" s="137"/>
      <c r="R146" s="137"/>
      <c r="S146" s="137"/>
      <c r="T146" s="137"/>
    </row>
    <row r="147" spans="13:16" ht="12.75">
      <c r="M147" s="2526"/>
      <c r="N147" s="2576"/>
      <c r="P147" s="2576"/>
    </row>
    <row r="148" spans="13:16" ht="12.75" hidden="1">
      <c r="M148" s="2526"/>
      <c r="N148" s="2576"/>
      <c r="P148" s="2576"/>
    </row>
    <row r="149" spans="13:16" ht="12.75" hidden="1">
      <c r="M149" s="2526"/>
      <c r="N149" s="2576"/>
      <c r="P149" s="2576"/>
    </row>
    <row r="150" spans="13:16" ht="12.75" hidden="1">
      <c r="M150" s="2526"/>
      <c r="N150" s="2576"/>
      <c r="P150" s="2576"/>
    </row>
    <row r="151" spans="13:16" ht="12.75" hidden="1">
      <c r="M151" s="2526"/>
      <c r="N151" s="2576"/>
      <c r="P151" s="2576"/>
    </row>
    <row r="152" spans="13:16" ht="12.75" hidden="1">
      <c r="M152" s="2526"/>
      <c r="N152" s="2576"/>
      <c r="P152" s="2576"/>
    </row>
    <row r="153" spans="13:16" ht="12.75" hidden="1">
      <c r="M153" s="2526"/>
      <c r="N153" s="2576"/>
      <c r="P153" s="2576"/>
    </row>
    <row r="154" spans="13:16" ht="12.75" hidden="1">
      <c r="M154" s="2526"/>
      <c r="N154" s="2576"/>
      <c r="P154" s="2576"/>
    </row>
    <row r="155" spans="13:16" ht="12.75" hidden="1">
      <c r="M155" s="2526"/>
      <c r="N155" s="2576"/>
      <c r="P155" s="2576"/>
    </row>
    <row r="156" spans="13:16" ht="12.75" hidden="1">
      <c r="M156" s="2526"/>
      <c r="N156" s="2576"/>
      <c r="P156" s="2576"/>
    </row>
    <row r="157" spans="13:16" ht="12.75" hidden="1">
      <c r="M157" s="2526"/>
      <c r="N157" s="2576"/>
      <c r="P157" s="2576"/>
    </row>
    <row r="158" spans="13:16" ht="12.75" hidden="1">
      <c r="M158" s="2526"/>
      <c r="N158" s="2576"/>
      <c r="P158" s="2576"/>
    </row>
    <row r="159" spans="13:16" ht="12.75" hidden="1">
      <c r="M159" s="2526"/>
      <c r="N159" s="2576"/>
      <c r="P159" s="2576"/>
    </row>
    <row r="160" spans="13:16" ht="12.75" hidden="1">
      <c r="M160" s="2526"/>
      <c r="N160" s="2576"/>
      <c r="P160" s="2576"/>
    </row>
    <row r="161" spans="13:16" ht="12.75" hidden="1">
      <c r="M161" s="2526"/>
      <c r="N161" s="2576"/>
      <c r="P161" s="2576"/>
    </row>
    <row r="162" spans="13:16" ht="12.75">
      <c r="M162" s="2526"/>
      <c r="N162" s="2576"/>
      <c r="P162" s="2576"/>
    </row>
    <row r="163" spans="3:16" ht="12.75">
      <c r="C163" s="565" t="s">
        <v>90</v>
      </c>
      <c r="M163" s="2526"/>
      <c r="N163" s="2576"/>
      <c r="P163" s="2576"/>
    </row>
    <row r="164" spans="3:16" ht="15.75" hidden="1">
      <c r="C164" s="138"/>
      <c r="M164" s="2526"/>
      <c r="N164" s="2576"/>
      <c r="P164" s="2576"/>
    </row>
    <row r="165" spans="3:20" ht="16.5" thickBot="1">
      <c r="C165" s="138"/>
      <c r="H165" s="139" t="s">
        <v>158</v>
      </c>
      <c r="I165" s="139"/>
      <c r="J165" s="140"/>
      <c r="K165" s="140" t="s">
        <v>158</v>
      </c>
      <c r="L165" s="140"/>
      <c r="M165" s="3184"/>
      <c r="N165" s="3184"/>
      <c r="O165" s="3184"/>
      <c r="P165" s="3184"/>
      <c r="Q165" s="140"/>
      <c r="R165" s="140"/>
      <c r="S165" s="140"/>
      <c r="T165" s="140"/>
    </row>
    <row r="166" spans="13:16" ht="13.5" hidden="1" thickBot="1">
      <c r="M166" s="2526"/>
      <c r="N166" s="2576"/>
      <c r="P166" s="2576"/>
    </row>
    <row r="167" spans="1:20" ht="21.75" customHeight="1">
      <c r="A167" s="28" t="s">
        <v>90</v>
      </c>
      <c r="B167" s="122"/>
      <c r="C167" s="123"/>
      <c r="D167" s="124" t="s">
        <v>151</v>
      </c>
      <c r="E167" s="125" t="s">
        <v>152</v>
      </c>
      <c r="F167" s="124" t="s">
        <v>151</v>
      </c>
      <c r="G167" s="125" t="s">
        <v>152</v>
      </c>
      <c r="H167" s="124" t="s">
        <v>151</v>
      </c>
      <c r="I167" s="125" t="s">
        <v>152</v>
      </c>
      <c r="J167" s="1788">
        <v>2017</v>
      </c>
      <c r="K167" s="1916">
        <v>2018</v>
      </c>
      <c r="L167" s="1917">
        <v>2019</v>
      </c>
      <c r="M167" s="2515" t="s">
        <v>881</v>
      </c>
      <c r="N167" s="3093">
        <v>2020</v>
      </c>
      <c r="O167" s="2912" t="s">
        <v>882</v>
      </c>
      <c r="P167" s="2843">
        <v>2022</v>
      </c>
      <c r="Q167" s="70"/>
      <c r="R167" s="70"/>
      <c r="S167" s="70"/>
      <c r="T167" s="71"/>
    </row>
    <row r="168" spans="1:20" ht="15" customHeight="1">
      <c r="A168" s="2229">
        <v>453</v>
      </c>
      <c r="B168" s="2230"/>
      <c r="C168" s="2233" t="s">
        <v>908</v>
      </c>
      <c r="D168" s="2231"/>
      <c r="E168" s="2232"/>
      <c r="F168" s="2231"/>
      <c r="G168" s="2232"/>
      <c r="H168" s="2231"/>
      <c r="I168" s="2232"/>
      <c r="J168" s="2234">
        <v>0</v>
      </c>
      <c r="K168" s="2235">
        <v>10000</v>
      </c>
      <c r="L168" s="2235">
        <v>16800</v>
      </c>
      <c r="M168" s="2594">
        <v>6800</v>
      </c>
      <c r="N168" s="3092">
        <v>34600</v>
      </c>
      <c r="O168" s="2866">
        <v>0</v>
      </c>
      <c r="P168" s="2595">
        <v>0</v>
      </c>
      <c r="Q168" s="70"/>
      <c r="R168" s="70"/>
      <c r="S168" s="70"/>
      <c r="T168" s="71"/>
    </row>
    <row r="169" spans="1:20" ht="15" customHeight="1">
      <c r="A169" s="2229">
        <v>453</v>
      </c>
      <c r="B169" s="2230"/>
      <c r="C169" s="2233" t="s">
        <v>909</v>
      </c>
      <c r="D169" s="2231"/>
      <c r="E169" s="2232"/>
      <c r="F169" s="2231"/>
      <c r="G169" s="2232"/>
      <c r="H169" s="2231"/>
      <c r="I169" s="2232"/>
      <c r="J169" s="2234"/>
      <c r="K169" s="2235"/>
      <c r="L169" s="2235"/>
      <c r="M169" s="2594">
        <v>10000</v>
      </c>
      <c r="N169" s="3091">
        <v>29961</v>
      </c>
      <c r="O169" s="2866"/>
      <c r="P169" s="2595"/>
      <c r="Q169" s="70"/>
      <c r="R169" s="70"/>
      <c r="S169" s="70"/>
      <c r="T169" s="71"/>
    </row>
    <row r="170" spans="1:20" ht="15" customHeight="1">
      <c r="A170" s="2229"/>
      <c r="B170" s="2230"/>
      <c r="C170" s="2233" t="s">
        <v>911</v>
      </c>
      <c r="D170" s="2231"/>
      <c r="E170" s="2232"/>
      <c r="F170" s="2231"/>
      <c r="G170" s="2232"/>
      <c r="H170" s="2231"/>
      <c r="I170" s="2232"/>
      <c r="J170" s="2234"/>
      <c r="K170" s="2235"/>
      <c r="L170" s="2235"/>
      <c r="M170" s="2594"/>
      <c r="N170" s="3086">
        <v>8000</v>
      </c>
      <c r="O170" s="2866"/>
      <c r="P170" s="2595"/>
      <c r="Q170" s="70"/>
      <c r="R170" s="70"/>
      <c r="S170" s="70"/>
      <c r="T170" s="71"/>
    </row>
    <row r="171" spans="1:20" ht="12.75">
      <c r="A171" s="41">
        <v>453</v>
      </c>
      <c r="B171" s="42"/>
      <c r="C171" s="1231" t="s">
        <v>648</v>
      </c>
      <c r="D171" s="131"/>
      <c r="E171" s="141"/>
      <c r="F171" s="131"/>
      <c r="G171" s="141"/>
      <c r="H171" s="131"/>
      <c r="I171" s="141"/>
      <c r="J171" s="1536">
        <v>2672</v>
      </c>
      <c r="K171" s="1536">
        <v>3908.02</v>
      </c>
      <c r="L171" s="1536">
        <v>350</v>
      </c>
      <c r="M171" s="2579">
        <v>2600</v>
      </c>
      <c r="N171" s="2553">
        <v>1500</v>
      </c>
      <c r="O171" s="2849">
        <v>1500</v>
      </c>
      <c r="P171" s="2586">
        <v>1500</v>
      </c>
      <c r="Q171" s="117"/>
      <c r="R171" s="117"/>
      <c r="S171" s="117"/>
      <c r="T171" s="117"/>
    </row>
    <row r="172" spans="1:20" ht="12.75">
      <c r="A172" s="41">
        <v>453</v>
      </c>
      <c r="B172" s="42"/>
      <c r="C172" s="1231" t="s">
        <v>912</v>
      </c>
      <c r="D172" s="131"/>
      <c r="E172" s="142"/>
      <c r="F172" s="131"/>
      <c r="G172" s="142"/>
      <c r="H172" s="131"/>
      <c r="I172" s="142"/>
      <c r="J172" s="1546"/>
      <c r="K172" s="1546"/>
      <c r="L172" s="1546"/>
      <c r="M172" s="3103">
        <v>40692</v>
      </c>
      <c r="N172" s="3105">
        <v>32657</v>
      </c>
      <c r="O172" s="3104">
        <v>10000</v>
      </c>
      <c r="P172" s="2596"/>
      <c r="Q172" s="117"/>
      <c r="R172" s="117"/>
      <c r="S172" s="117"/>
      <c r="T172" s="117"/>
    </row>
    <row r="173" spans="1:20" ht="12.75">
      <c r="A173" s="41">
        <v>454</v>
      </c>
      <c r="B173" s="42" t="s">
        <v>98</v>
      </c>
      <c r="C173" s="1231" t="s">
        <v>159</v>
      </c>
      <c r="D173" s="131"/>
      <c r="E173" s="142"/>
      <c r="F173" s="131"/>
      <c r="G173" s="142"/>
      <c r="H173" s="131"/>
      <c r="I173" s="142"/>
      <c r="J173" s="1546">
        <v>0</v>
      </c>
      <c r="K173" s="1546">
        <v>0</v>
      </c>
      <c r="L173" s="1546">
        <v>0</v>
      </c>
      <c r="M173" s="2587">
        <v>0</v>
      </c>
      <c r="N173" s="2553">
        <v>0</v>
      </c>
      <c r="O173" s="2855">
        <v>0</v>
      </c>
      <c r="P173" s="2596">
        <v>0</v>
      </c>
      <c r="Q173" s="117"/>
      <c r="R173" s="117"/>
      <c r="S173" s="117"/>
      <c r="T173" s="117"/>
    </row>
    <row r="174" spans="1:20" ht="12.75">
      <c r="A174" s="65">
        <v>454</v>
      </c>
      <c r="B174" s="87" t="s">
        <v>100</v>
      </c>
      <c r="C174" s="1231" t="s">
        <v>160</v>
      </c>
      <c r="D174" s="131"/>
      <c r="E174" s="143"/>
      <c r="F174" s="131"/>
      <c r="G174" s="143"/>
      <c r="H174" s="131"/>
      <c r="I174" s="143"/>
      <c r="J174" s="1544">
        <v>0</v>
      </c>
      <c r="K174" s="1544">
        <v>16000</v>
      </c>
      <c r="L174" s="1544">
        <v>0</v>
      </c>
      <c r="M174" s="2585">
        <v>0</v>
      </c>
      <c r="N174" s="2555">
        <v>0</v>
      </c>
      <c r="O174" s="2867">
        <v>0</v>
      </c>
      <c r="P174" s="2597">
        <v>0</v>
      </c>
      <c r="Q174" s="117"/>
      <c r="R174" s="117"/>
      <c r="S174" s="117"/>
      <c r="T174" s="117"/>
    </row>
    <row r="175" spans="1:20" ht="12.75">
      <c r="A175" s="65">
        <v>456</v>
      </c>
      <c r="B175" s="87" t="s">
        <v>100</v>
      </c>
      <c r="C175" s="2626" t="s">
        <v>839</v>
      </c>
      <c r="D175" s="116"/>
      <c r="E175" s="143"/>
      <c r="F175" s="116"/>
      <c r="G175" s="143"/>
      <c r="H175" s="116"/>
      <c r="I175" s="143"/>
      <c r="J175" s="1544"/>
      <c r="K175" s="1544"/>
      <c r="L175" s="1544"/>
      <c r="M175" s="2585">
        <v>31000</v>
      </c>
      <c r="N175" s="2555"/>
      <c r="O175" s="2867">
        <v>0</v>
      </c>
      <c r="P175" s="2597">
        <v>0</v>
      </c>
      <c r="Q175" s="117"/>
      <c r="R175" s="117"/>
      <c r="S175" s="117"/>
      <c r="T175" s="117"/>
    </row>
    <row r="176" spans="1:20" ht="12.75">
      <c r="A176" s="65">
        <v>456</v>
      </c>
      <c r="B176" s="87" t="s">
        <v>122</v>
      </c>
      <c r="C176" s="2626" t="s">
        <v>835</v>
      </c>
      <c r="D176" s="116"/>
      <c r="E176" s="143"/>
      <c r="F176" s="116"/>
      <c r="G176" s="143"/>
      <c r="H176" s="116"/>
      <c r="I176" s="143"/>
      <c r="J176" s="1544"/>
      <c r="K176" s="1544">
        <v>16</v>
      </c>
      <c r="L176" s="1544"/>
      <c r="M176" s="2585">
        <v>30</v>
      </c>
      <c r="N176" s="2555"/>
      <c r="O176" s="2867"/>
      <c r="P176" s="2597"/>
      <c r="Q176" s="117"/>
      <c r="R176" s="117"/>
      <c r="S176" s="117"/>
      <c r="T176" s="117"/>
    </row>
    <row r="177" spans="1:20" ht="13.5" thickBot="1">
      <c r="A177" s="144" t="s">
        <v>161</v>
      </c>
      <c r="B177" s="145"/>
      <c r="C177" s="146"/>
      <c r="D177" s="126">
        <f>SUM(D171,D173,D174)</f>
        <v>0</v>
      </c>
      <c r="E177" s="147"/>
      <c r="F177" s="126">
        <f>SUM(F171,F173,F174)</f>
        <v>0</v>
      </c>
      <c r="G177" s="147"/>
      <c r="H177" s="126">
        <f>SUM(H171,H173,H174)</f>
        <v>0</v>
      </c>
      <c r="I177" s="147"/>
      <c r="J177" s="1538">
        <f>SUM(J171,J173,J174)</f>
        <v>2672</v>
      </c>
      <c r="K177" s="1538">
        <f>K171+K173+K174+K168+K176</f>
        <v>29924.02</v>
      </c>
      <c r="L177" s="1539">
        <f>SUM(L171,L173,L174)+L168</f>
        <v>17150</v>
      </c>
      <c r="M177" s="3053">
        <f>SUM(M171,M173,M174)+M168+M175+M176+M169+M172</f>
        <v>91122</v>
      </c>
      <c r="N177" s="3070">
        <f>SUM(N171,N173,N174)+N168+N169+N170+N172</f>
        <v>106718</v>
      </c>
      <c r="O177" s="2915">
        <f>SUM(O171,O173,O174)+O168+O175+O176+O172</f>
        <v>11500</v>
      </c>
      <c r="P177" s="3071">
        <f>SUM(P171,P173,P174)+P168+P175+P176</f>
        <v>1500</v>
      </c>
      <c r="Q177" s="127"/>
      <c r="R177" s="127"/>
      <c r="S177" s="127"/>
      <c r="T177" s="127"/>
    </row>
    <row r="178" spans="1:16" ht="12.75">
      <c r="A178" s="55"/>
      <c r="B178" s="55"/>
      <c r="C178" s="55"/>
      <c r="D178" s="128"/>
      <c r="E178" s="128"/>
      <c r="F178" s="128"/>
      <c r="G178" s="148"/>
      <c r="H178" s="128"/>
      <c r="I178" s="128"/>
      <c r="J178" s="128"/>
      <c r="K178" s="128"/>
      <c r="L178" s="128"/>
      <c r="M178" s="2526"/>
      <c r="N178" s="2576"/>
      <c r="P178" s="2576"/>
    </row>
    <row r="179" spans="1:16" ht="12.75">
      <c r="A179" s="55"/>
      <c r="B179" s="55"/>
      <c r="C179" s="55"/>
      <c r="D179" s="128"/>
      <c r="E179" s="128"/>
      <c r="F179" s="128"/>
      <c r="G179" s="148"/>
      <c r="H179" s="128"/>
      <c r="I179" s="128"/>
      <c r="J179" s="128"/>
      <c r="K179" s="128"/>
      <c r="L179" s="128"/>
      <c r="M179" s="2526"/>
      <c r="N179" s="2576"/>
      <c r="P179" s="2576"/>
    </row>
    <row r="180" spans="1:16" ht="12.75">
      <c r="A180" s="55"/>
      <c r="B180" s="55"/>
      <c r="C180" s="55"/>
      <c r="D180" s="128"/>
      <c r="E180" s="128"/>
      <c r="F180" s="128"/>
      <c r="G180" s="148"/>
      <c r="H180" s="128"/>
      <c r="I180" s="128"/>
      <c r="J180" s="128"/>
      <c r="K180" s="128"/>
      <c r="L180" s="128"/>
      <c r="M180" s="2526"/>
      <c r="N180" s="2576"/>
      <c r="P180" s="2576"/>
    </row>
    <row r="181" spans="1:20" ht="12.75">
      <c r="A181" s="55"/>
      <c r="B181" s="55"/>
      <c r="C181" s="55"/>
      <c r="D181" s="1226" t="s">
        <v>162</v>
      </c>
      <c r="E181" s="1226"/>
      <c r="F181" s="1226"/>
      <c r="G181" s="1226"/>
      <c r="H181" s="1226"/>
      <c r="I181" s="1226"/>
      <c r="J181" s="1227"/>
      <c r="K181" s="1227" t="s">
        <v>162</v>
      </c>
      <c r="L181" s="1227"/>
      <c r="M181" s="3184"/>
      <c r="N181" s="3184"/>
      <c r="O181" s="3184"/>
      <c r="P181" s="3184"/>
      <c r="Q181" s="149"/>
      <c r="R181" s="149"/>
      <c r="S181" s="149"/>
      <c r="T181" s="150"/>
    </row>
    <row r="182" spans="1:16" ht="13.5" thickBot="1">
      <c r="A182" s="55"/>
      <c r="B182" s="55"/>
      <c r="C182" s="55"/>
      <c r="D182" s="128"/>
      <c r="E182" s="128"/>
      <c r="F182" s="128"/>
      <c r="G182" s="148"/>
      <c r="H182" s="128"/>
      <c r="I182" s="128"/>
      <c r="J182" s="128"/>
      <c r="K182" s="128"/>
      <c r="L182" s="128"/>
      <c r="M182" s="2526"/>
      <c r="N182" s="2576"/>
      <c r="P182" s="2576"/>
    </row>
    <row r="183" spans="1:20" ht="24" customHeight="1">
      <c r="A183" s="28" t="s">
        <v>90</v>
      </c>
      <c r="B183" s="122"/>
      <c r="C183" s="123"/>
      <c r="D183" s="124" t="s">
        <v>151</v>
      </c>
      <c r="E183" s="125" t="s">
        <v>152</v>
      </c>
      <c r="F183" s="124" t="s">
        <v>151</v>
      </c>
      <c r="G183" s="125" t="s">
        <v>152</v>
      </c>
      <c r="H183" s="124" t="s">
        <v>151</v>
      </c>
      <c r="I183" s="125" t="s">
        <v>152</v>
      </c>
      <c r="J183" s="1788">
        <v>2017</v>
      </c>
      <c r="K183" s="1916">
        <v>2018</v>
      </c>
      <c r="L183" s="1917">
        <v>2019</v>
      </c>
      <c r="M183" s="2515" t="s">
        <v>881</v>
      </c>
      <c r="N183" s="2178">
        <v>2020</v>
      </c>
      <c r="O183" s="2912" t="s">
        <v>882</v>
      </c>
      <c r="P183" s="2843">
        <v>2022</v>
      </c>
      <c r="Q183" s="70"/>
      <c r="R183" s="70"/>
      <c r="S183" s="70"/>
      <c r="T183" s="71"/>
    </row>
    <row r="184" spans="1:20" ht="12.75">
      <c r="A184" s="41">
        <v>513</v>
      </c>
      <c r="B184" s="42" t="s">
        <v>100</v>
      </c>
      <c r="C184" s="1231" t="s">
        <v>91</v>
      </c>
      <c r="D184" s="131">
        <v>310000</v>
      </c>
      <c r="E184" s="151">
        <v>240110.47</v>
      </c>
      <c r="F184" s="131">
        <v>310000</v>
      </c>
      <c r="G184" s="151">
        <v>240110.47</v>
      </c>
      <c r="H184" s="131">
        <v>310000</v>
      </c>
      <c r="I184" s="151">
        <v>240110.47</v>
      </c>
      <c r="J184" s="100">
        <v>0</v>
      </c>
      <c r="K184" s="48">
        <v>3443706.4</v>
      </c>
      <c r="L184" s="1744">
        <v>7140000</v>
      </c>
      <c r="M184" s="2585">
        <v>6316000</v>
      </c>
      <c r="N184" s="2598">
        <v>2749473</v>
      </c>
      <c r="O184" s="2864">
        <v>0</v>
      </c>
      <c r="P184" s="2599">
        <v>0</v>
      </c>
      <c r="Q184" s="117"/>
      <c r="R184" s="117"/>
      <c r="S184" s="117"/>
      <c r="T184" s="117"/>
    </row>
    <row r="185" spans="1:20" ht="12.75">
      <c r="A185" s="65">
        <v>514</v>
      </c>
      <c r="B185" s="87" t="s">
        <v>100</v>
      </c>
      <c r="C185" s="1231" t="s">
        <v>163</v>
      </c>
      <c r="D185" s="132"/>
      <c r="E185" s="152">
        <v>0</v>
      </c>
      <c r="F185" s="132"/>
      <c r="G185" s="152">
        <v>0</v>
      </c>
      <c r="H185" s="132"/>
      <c r="I185" s="152">
        <v>0</v>
      </c>
      <c r="J185" s="152">
        <v>0</v>
      </c>
      <c r="K185" s="152">
        <v>0</v>
      </c>
      <c r="L185" s="1544">
        <v>0</v>
      </c>
      <c r="M185" s="2579">
        <v>0</v>
      </c>
      <c r="N185" s="2600"/>
      <c r="O185" s="2862">
        <v>0</v>
      </c>
      <c r="P185" s="2597">
        <v>0</v>
      </c>
      <c r="Q185" s="117"/>
      <c r="R185" s="117"/>
      <c r="S185" s="117"/>
      <c r="T185" s="117"/>
    </row>
    <row r="186" spans="1:20" ht="13.5" thickBot="1">
      <c r="A186" s="153" t="s">
        <v>164</v>
      </c>
      <c r="B186" s="154"/>
      <c r="C186" s="155"/>
      <c r="D186" s="134">
        <f>SUM(D184,D185)</f>
        <v>310000</v>
      </c>
      <c r="E186" s="134">
        <f>E184+E185</f>
        <v>240110.47</v>
      </c>
      <c r="F186" s="134">
        <f>SUM(F184,F185)</f>
        <v>310000</v>
      </c>
      <c r="G186" s="134">
        <f>G184+G185</f>
        <v>240110.47</v>
      </c>
      <c r="H186" s="134">
        <f>SUM(H184,H185)</f>
        <v>310000</v>
      </c>
      <c r="I186" s="134">
        <f>I184+I185</f>
        <v>240110.47</v>
      </c>
      <c r="J186" s="1547">
        <f>SUM(J184,J185)</f>
        <v>0</v>
      </c>
      <c r="K186" s="1547">
        <f aca="true" t="shared" si="2" ref="K186:P186">K184+K185</f>
        <v>3443706.4</v>
      </c>
      <c r="L186" s="1548">
        <f t="shared" si="2"/>
        <v>7140000</v>
      </c>
      <c r="M186" s="2592">
        <f t="shared" si="2"/>
        <v>6316000</v>
      </c>
      <c r="N186" s="2601">
        <f t="shared" si="2"/>
        <v>2749473</v>
      </c>
      <c r="O186" s="2868">
        <f t="shared" si="2"/>
        <v>0</v>
      </c>
      <c r="P186" s="2593">
        <f t="shared" si="2"/>
        <v>0</v>
      </c>
      <c r="Q186" s="127"/>
      <c r="R186" s="127"/>
      <c r="S186" s="127"/>
      <c r="T186" s="127"/>
    </row>
    <row r="187" spans="1:20" ht="13.5" thickBot="1">
      <c r="A187" s="120" t="s">
        <v>90</v>
      </c>
      <c r="B187" s="135"/>
      <c r="C187" s="121"/>
      <c r="D187" s="136">
        <f>SUM(D177,D186)</f>
        <v>310000</v>
      </c>
      <c r="E187" s="136">
        <f>E177+E186</f>
        <v>240110.47</v>
      </c>
      <c r="F187" s="136">
        <f>SUM(F177,F186)</f>
        <v>310000</v>
      </c>
      <c r="G187" s="136">
        <f>G177+G186</f>
        <v>240110.47</v>
      </c>
      <c r="H187" s="136">
        <f>SUM(H177,H186)</f>
        <v>310000</v>
      </c>
      <c r="I187" s="136">
        <f>I177+I186</f>
        <v>240110.47</v>
      </c>
      <c r="J187" s="1549">
        <f>SUM(J177,J186)</f>
        <v>2672</v>
      </c>
      <c r="K187" s="1549">
        <f>K177+K186</f>
        <v>3473630.42</v>
      </c>
      <c r="L187" s="1550">
        <f>SUM(L177,L186)</f>
        <v>7157150</v>
      </c>
      <c r="M187" s="3068">
        <f>SUM(M177,M186)</f>
        <v>6407122</v>
      </c>
      <c r="N187" s="3058">
        <f>SUM(N177,N186)</f>
        <v>2856191</v>
      </c>
      <c r="O187" s="3059">
        <f>SUM(O177,O186)</f>
        <v>11500</v>
      </c>
      <c r="P187" s="3069">
        <f>SUM(P177,P186)</f>
        <v>1500</v>
      </c>
      <c r="Q187" s="137"/>
      <c r="R187" s="137"/>
      <c r="S187" s="137"/>
      <c r="T187" s="137"/>
    </row>
    <row r="188" spans="1:16" ht="12.75" hidden="1">
      <c r="A188" s="149"/>
      <c r="B188" s="19"/>
      <c r="C188" s="149"/>
      <c r="D188" s="149"/>
      <c r="E188" s="156"/>
      <c r="F188" s="149"/>
      <c r="G188" s="149"/>
      <c r="H188" s="156"/>
      <c r="I188" s="156"/>
      <c r="J188" s="156"/>
      <c r="K188" s="156"/>
      <c r="L188" s="156"/>
      <c r="M188" s="2535"/>
      <c r="N188" s="2602"/>
      <c r="O188" s="2845"/>
      <c r="P188" s="2602"/>
    </row>
    <row r="189" spans="1:16" ht="12.75" hidden="1">
      <c r="A189" s="149"/>
      <c r="B189" s="19"/>
      <c r="C189" s="149"/>
      <c r="D189" s="149"/>
      <c r="E189" s="156"/>
      <c r="F189" s="149"/>
      <c r="G189" s="149"/>
      <c r="H189" s="156"/>
      <c r="I189" s="156"/>
      <c r="J189" s="156"/>
      <c r="K189" s="156"/>
      <c r="L189" s="156"/>
      <c r="M189" s="2535"/>
      <c r="N189" s="2602"/>
      <c r="O189" s="2845"/>
      <c r="P189" s="2602"/>
    </row>
    <row r="190" spans="1:16" ht="12.75" hidden="1">
      <c r="A190" s="149"/>
      <c r="B190" s="19"/>
      <c r="C190" s="149"/>
      <c r="D190" s="149"/>
      <c r="E190" s="156"/>
      <c r="F190" s="149"/>
      <c r="G190" s="149"/>
      <c r="H190" s="156"/>
      <c r="I190" s="156"/>
      <c r="J190" s="156"/>
      <c r="K190" s="156"/>
      <c r="L190" s="156"/>
      <c r="M190" s="2535"/>
      <c r="N190" s="2602"/>
      <c r="O190" s="2845"/>
      <c r="P190" s="2602"/>
    </row>
    <row r="191" spans="1:16" ht="12.75">
      <c r="A191" s="55"/>
      <c r="B191" s="55"/>
      <c r="C191" s="55"/>
      <c r="D191" s="55"/>
      <c r="E191" s="55"/>
      <c r="F191" s="55"/>
      <c r="G191" s="157"/>
      <c r="H191" s="55"/>
      <c r="I191" s="55"/>
      <c r="J191" s="55"/>
      <c r="K191" s="55"/>
      <c r="L191" s="55"/>
      <c r="M191" s="2526"/>
      <c r="N191" s="2576"/>
      <c r="P191" s="2576"/>
    </row>
    <row r="192" spans="1:16" ht="12.75">
      <c r="A192" s="55"/>
      <c r="B192" s="55"/>
      <c r="C192" s="565" t="s">
        <v>165</v>
      </c>
      <c r="D192" s="953"/>
      <c r="E192" s="954"/>
      <c r="F192" s="954"/>
      <c r="G192" s="955"/>
      <c r="H192" s="954"/>
      <c r="I192" s="954"/>
      <c r="J192" s="954"/>
      <c r="K192" s="953"/>
      <c r="L192" s="953"/>
      <c r="M192" s="2603"/>
      <c r="N192" s="2604"/>
      <c r="P192" s="2576"/>
    </row>
    <row r="193" spans="1:16" ht="13.5" thickBot="1">
      <c r="A193" s="55"/>
      <c r="B193" s="55"/>
      <c r="C193" s="55"/>
      <c r="D193" s="55"/>
      <c r="E193" s="55"/>
      <c r="F193" s="55"/>
      <c r="G193" s="157"/>
      <c r="H193" s="55"/>
      <c r="I193" s="55"/>
      <c r="J193" s="55"/>
      <c r="K193" s="55"/>
      <c r="L193" s="55"/>
      <c r="M193" s="2526"/>
      <c r="N193" s="2576"/>
      <c r="P193" s="2576"/>
    </row>
    <row r="194" spans="1:20" ht="26.25" customHeight="1">
      <c r="A194" s="1784"/>
      <c r="B194" s="1912"/>
      <c r="C194" s="1913"/>
      <c r="D194" s="1914" t="s">
        <v>151</v>
      </c>
      <c r="E194" s="1915" t="s">
        <v>152</v>
      </c>
      <c r="F194" s="1914" t="s">
        <v>151</v>
      </c>
      <c r="G194" s="1915" t="s">
        <v>152</v>
      </c>
      <c r="H194" s="1914" t="s">
        <v>151</v>
      </c>
      <c r="I194" s="1915" t="s">
        <v>152</v>
      </c>
      <c r="J194" s="1788">
        <v>2017</v>
      </c>
      <c r="K194" s="1916">
        <v>2018</v>
      </c>
      <c r="L194" s="1917">
        <v>2019</v>
      </c>
      <c r="M194" s="2515" t="s">
        <v>881</v>
      </c>
      <c r="N194" s="2178">
        <v>2020</v>
      </c>
      <c r="O194" s="2912" t="s">
        <v>882</v>
      </c>
      <c r="P194" s="2843">
        <v>2022</v>
      </c>
      <c r="Q194" s="70"/>
      <c r="R194" s="70"/>
      <c r="S194" s="70"/>
      <c r="T194" s="71"/>
    </row>
    <row r="195" spans="1:20" s="1911" customFormat="1" ht="12.75">
      <c r="A195" s="3190" t="s">
        <v>166</v>
      </c>
      <c r="B195" s="3189"/>
      <c r="C195" s="3191"/>
      <c r="D195" s="1908"/>
      <c r="E195" s="1909"/>
      <c r="F195" s="1908"/>
      <c r="G195" s="1909"/>
      <c r="H195" s="1908"/>
      <c r="I195" s="1909"/>
      <c r="J195" s="1909">
        <v>0</v>
      </c>
      <c r="K195" s="1909">
        <f>SUM(K196:K208)</f>
        <v>538965.97</v>
      </c>
      <c r="L195" s="1910">
        <f>SUM(L197:L206:L196)</f>
        <v>579688</v>
      </c>
      <c r="M195" s="2926">
        <f>SUM(M197:M206:M196)+M207</f>
        <v>606661</v>
      </c>
      <c r="N195" s="2927">
        <f>SUM(N197:N206:N196)+N207</f>
        <v>674863</v>
      </c>
      <c r="O195" s="2924">
        <f>SUM(O197:O206:O196)+O207</f>
        <v>704314</v>
      </c>
      <c r="P195" s="2925">
        <f>SUM(P197:P206:P196)+P207</f>
        <v>704314</v>
      </c>
      <c r="Q195" s="1733"/>
      <c r="R195" s="1733"/>
      <c r="S195" s="1733"/>
      <c r="T195" s="1733"/>
    </row>
    <row r="196" spans="1:20" s="1911" customFormat="1" ht="12.75">
      <c r="A196" s="2018"/>
      <c r="B196" s="2019"/>
      <c r="C196" s="2020" t="s">
        <v>138</v>
      </c>
      <c r="D196" s="1908"/>
      <c r="E196" s="1909"/>
      <c r="F196" s="1908"/>
      <c r="G196" s="1909"/>
      <c r="H196" s="1908"/>
      <c r="I196" s="1909"/>
      <c r="J196" s="1909"/>
      <c r="K196" s="1910">
        <v>522284</v>
      </c>
      <c r="L196" s="1804">
        <v>529623</v>
      </c>
      <c r="M196" s="2607">
        <v>551097</v>
      </c>
      <c r="N196" s="2605">
        <v>606206</v>
      </c>
      <c r="O196" s="2861">
        <v>636517</v>
      </c>
      <c r="P196" s="2606">
        <v>636517</v>
      </c>
      <c r="Q196" s="1733"/>
      <c r="R196" s="1733"/>
      <c r="S196" s="1733"/>
      <c r="T196" s="1733"/>
    </row>
    <row r="197" spans="1:20" ht="12.75">
      <c r="A197" s="1918"/>
      <c r="B197" s="1907"/>
      <c r="C197" s="1906" t="s">
        <v>731</v>
      </c>
      <c r="D197" s="116"/>
      <c r="E197" s="158"/>
      <c r="F197" s="116"/>
      <c r="G197" s="158"/>
      <c r="H197" s="116"/>
      <c r="I197" s="158"/>
      <c r="J197" s="158"/>
      <c r="K197" s="1533">
        <v>0</v>
      </c>
      <c r="L197" s="1671">
        <v>1650</v>
      </c>
      <c r="M197" s="2607">
        <v>1728</v>
      </c>
      <c r="N197" s="2605">
        <v>1900</v>
      </c>
      <c r="O197" s="2861">
        <v>2100</v>
      </c>
      <c r="P197" s="2606">
        <v>2100</v>
      </c>
      <c r="Q197" s="117"/>
      <c r="R197" s="117"/>
      <c r="S197" s="117"/>
      <c r="T197" s="117"/>
    </row>
    <row r="198" spans="1:20" ht="12.75">
      <c r="A198" s="1918"/>
      <c r="B198" s="1907"/>
      <c r="C198" s="1906"/>
      <c r="D198" s="116"/>
      <c r="E198" s="158"/>
      <c r="F198" s="116"/>
      <c r="G198" s="158"/>
      <c r="H198" s="116"/>
      <c r="I198" s="158"/>
      <c r="J198" s="158"/>
      <c r="K198" s="1533"/>
      <c r="L198" s="1671"/>
      <c r="M198" s="2607"/>
      <c r="N198" s="2605"/>
      <c r="O198" s="2861"/>
      <c r="P198" s="2606"/>
      <c r="Q198" s="117"/>
      <c r="R198" s="117"/>
      <c r="S198" s="117"/>
      <c r="T198" s="117"/>
    </row>
    <row r="199" spans="1:20" ht="12.75">
      <c r="A199" s="1918"/>
      <c r="B199" s="1907"/>
      <c r="C199" s="1906" t="s">
        <v>737</v>
      </c>
      <c r="D199" s="116"/>
      <c r="E199" s="158"/>
      <c r="F199" s="116"/>
      <c r="G199" s="158"/>
      <c r="H199" s="116"/>
      <c r="I199" s="158"/>
      <c r="J199" s="158"/>
      <c r="K199" s="1533">
        <v>0</v>
      </c>
      <c r="L199" s="1671">
        <v>1000</v>
      </c>
      <c r="M199" s="2607">
        <v>1260</v>
      </c>
      <c r="N199" s="2605">
        <v>1260</v>
      </c>
      <c r="O199" s="2861">
        <v>0</v>
      </c>
      <c r="P199" s="2606">
        <v>0</v>
      </c>
      <c r="Q199" s="117"/>
      <c r="R199" s="117"/>
      <c r="S199" s="117"/>
      <c r="T199" s="117"/>
    </row>
    <row r="200" spans="1:20" ht="12.75">
      <c r="A200" s="1918"/>
      <c r="B200" s="1907"/>
      <c r="C200" s="1906" t="s">
        <v>732</v>
      </c>
      <c r="D200" s="116"/>
      <c r="E200" s="158"/>
      <c r="F200" s="116"/>
      <c r="G200" s="158"/>
      <c r="H200" s="116"/>
      <c r="I200" s="158"/>
      <c r="J200" s="158"/>
      <c r="K200" s="1533">
        <v>0</v>
      </c>
      <c r="L200" s="1671">
        <v>2280</v>
      </c>
      <c r="M200" s="2607">
        <v>2077</v>
      </c>
      <c r="N200" s="2605">
        <v>2100</v>
      </c>
      <c r="O200" s="2861">
        <v>2180</v>
      </c>
      <c r="P200" s="2606">
        <v>2180</v>
      </c>
      <c r="Q200" s="117"/>
      <c r="R200" s="117"/>
      <c r="S200" s="117"/>
      <c r="T200" s="117"/>
    </row>
    <row r="201" spans="1:20" ht="12.75">
      <c r="A201" s="1918"/>
      <c r="B201" s="1907"/>
      <c r="C201" s="1906" t="s">
        <v>733</v>
      </c>
      <c r="D201" s="116"/>
      <c r="E201" s="158"/>
      <c r="F201" s="116"/>
      <c r="G201" s="158"/>
      <c r="H201" s="116"/>
      <c r="I201" s="158"/>
      <c r="J201" s="158"/>
      <c r="K201" s="1533">
        <v>0</v>
      </c>
      <c r="L201" s="1671">
        <v>5500</v>
      </c>
      <c r="M201" s="2607">
        <v>5000</v>
      </c>
      <c r="N201" s="2605">
        <v>5000</v>
      </c>
      <c r="O201" s="2861">
        <v>5000</v>
      </c>
      <c r="P201" s="2606">
        <v>5000</v>
      </c>
      <c r="Q201" s="117"/>
      <c r="R201" s="117"/>
      <c r="S201" s="117"/>
      <c r="T201" s="117"/>
    </row>
    <row r="202" spans="1:20" ht="12.75">
      <c r="A202" s="1918"/>
      <c r="B202" s="1907"/>
      <c r="C202" s="1906" t="s">
        <v>734</v>
      </c>
      <c r="D202" s="116"/>
      <c r="E202" s="158"/>
      <c r="F202" s="116"/>
      <c r="G202" s="158"/>
      <c r="H202" s="116"/>
      <c r="I202" s="158"/>
      <c r="J202" s="158"/>
      <c r="K202" s="1533">
        <v>0</v>
      </c>
      <c r="L202" s="1671">
        <v>0</v>
      </c>
      <c r="M202" s="2607">
        <v>0</v>
      </c>
      <c r="N202" s="2605">
        <v>0</v>
      </c>
      <c r="O202" s="2861">
        <v>0</v>
      </c>
      <c r="P202" s="2606">
        <v>0</v>
      </c>
      <c r="Q202" s="117"/>
      <c r="R202" s="117"/>
      <c r="S202" s="117"/>
      <c r="T202" s="117"/>
    </row>
    <row r="203" spans="1:20" ht="12.75">
      <c r="A203" s="1918"/>
      <c r="B203" s="1907"/>
      <c r="C203" s="1906" t="s">
        <v>763</v>
      </c>
      <c r="D203" s="116"/>
      <c r="E203" s="158"/>
      <c r="F203" s="116"/>
      <c r="G203" s="158"/>
      <c r="H203" s="116"/>
      <c r="I203" s="158"/>
      <c r="J203" s="158"/>
      <c r="K203" s="1533">
        <v>0</v>
      </c>
      <c r="L203" s="1671">
        <v>120</v>
      </c>
      <c r="M203" s="2607">
        <v>908</v>
      </c>
      <c r="N203" s="2605">
        <v>1000</v>
      </c>
      <c r="O203" s="2861">
        <v>1000</v>
      </c>
      <c r="P203" s="2606">
        <v>1000</v>
      </c>
      <c r="Q203" s="117"/>
      <c r="R203" s="117"/>
      <c r="S203" s="117"/>
      <c r="T203" s="117"/>
    </row>
    <row r="204" spans="1:20" ht="12.75">
      <c r="A204" s="1918"/>
      <c r="B204" s="1907"/>
      <c r="C204" s="1906" t="s">
        <v>810</v>
      </c>
      <c r="D204" s="116"/>
      <c r="E204" s="158"/>
      <c r="F204" s="116"/>
      <c r="G204" s="158"/>
      <c r="H204" s="116"/>
      <c r="I204" s="158"/>
      <c r="J204" s="158"/>
      <c r="K204" s="1533"/>
      <c r="L204" s="1671">
        <v>32355</v>
      </c>
      <c r="M204" s="2607"/>
      <c r="N204" s="2605"/>
      <c r="O204" s="2861"/>
      <c r="P204" s="2606"/>
      <c r="Q204" s="117"/>
      <c r="R204" s="117"/>
      <c r="S204" s="117"/>
      <c r="T204" s="117"/>
    </row>
    <row r="205" spans="1:20" ht="12.75">
      <c r="A205" s="1918"/>
      <c r="B205" s="1907"/>
      <c r="C205" s="1906" t="s">
        <v>735</v>
      </c>
      <c r="D205" s="116"/>
      <c r="E205" s="158"/>
      <c r="F205" s="116"/>
      <c r="G205" s="158"/>
      <c r="H205" s="116"/>
      <c r="I205" s="158"/>
      <c r="J205" s="158"/>
      <c r="K205" s="1533">
        <v>0</v>
      </c>
      <c r="L205" s="1671">
        <v>6460</v>
      </c>
      <c r="M205" s="2607">
        <v>6200</v>
      </c>
      <c r="N205" s="2605">
        <v>6300</v>
      </c>
      <c r="O205" s="2861">
        <v>6400</v>
      </c>
      <c r="P205" s="2606">
        <v>6400</v>
      </c>
      <c r="Q205" s="117"/>
      <c r="R205" s="117"/>
      <c r="S205" s="117"/>
      <c r="T205" s="117"/>
    </row>
    <row r="206" spans="1:20" ht="12.75">
      <c r="A206" s="1919"/>
      <c r="B206" s="2629"/>
      <c r="C206" s="2630" t="s">
        <v>736</v>
      </c>
      <c r="D206" s="116"/>
      <c r="E206" s="158"/>
      <c r="F206" s="116"/>
      <c r="G206" s="158"/>
      <c r="H206" s="116"/>
      <c r="I206" s="158"/>
      <c r="J206" s="158"/>
      <c r="K206" s="1533">
        <v>664</v>
      </c>
      <c r="L206" s="1671">
        <v>700</v>
      </c>
      <c r="M206" s="2607">
        <v>564</v>
      </c>
      <c r="N206" s="2605">
        <v>580</v>
      </c>
      <c r="O206" s="2861">
        <v>600</v>
      </c>
      <c r="P206" s="2606">
        <v>600</v>
      </c>
      <c r="Q206" s="117"/>
      <c r="R206" s="117"/>
      <c r="S206" s="117"/>
      <c r="T206" s="117"/>
    </row>
    <row r="207" spans="1:20" ht="12.75">
      <c r="A207" s="1907"/>
      <c r="B207" s="1907"/>
      <c r="C207" s="1907" t="s">
        <v>836</v>
      </c>
      <c r="D207" s="2627"/>
      <c r="E207" s="158"/>
      <c r="F207" s="116"/>
      <c r="G207" s="158"/>
      <c r="H207" s="116"/>
      <c r="I207" s="158"/>
      <c r="J207" s="158"/>
      <c r="K207" s="1533">
        <v>11833.2</v>
      </c>
      <c r="L207" s="1671"/>
      <c r="M207" s="2634">
        <v>37827</v>
      </c>
      <c r="N207" s="2633">
        <v>50517</v>
      </c>
      <c r="O207" s="2861">
        <v>50517</v>
      </c>
      <c r="P207" s="2606">
        <v>50517</v>
      </c>
      <c r="Q207" s="117"/>
      <c r="R207" s="117"/>
      <c r="S207" s="117"/>
      <c r="T207" s="117"/>
    </row>
    <row r="208" spans="1:20" ht="12.75">
      <c r="A208" s="1907"/>
      <c r="B208" s="1907"/>
      <c r="C208" s="1907" t="s">
        <v>837</v>
      </c>
      <c r="D208" s="2627"/>
      <c r="E208" s="158"/>
      <c r="F208" s="116"/>
      <c r="G208" s="158"/>
      <c r="H208" s="116"/>
      <c r="I208" s="158"/>
      <c r="J208" s="158"/>
      <c r="K208" s="1533">
        <v>4184.77</v>
      </c>
      <c r="L208" s="1671"/>
      <c r="M208" s="2634"/>
      <c r="N208" s="2633"/>
      <c r="O208" s="2861"/>
      <c r="P208" s="2606"/>
      <c r="Q208" s="117"/>
      <c r="R208" s="117"/>
      <c r="S208" s="117"/>
      <c r="T208" s="117"/>
    </row>
    <row r="209" spans="1:20" s="1911" customFormat="1" ht="12.75">
      <c r="A209" s="3192" t="s">
        <v>167</v>
      </c>
      <c r="B209" s="3192"/>
      <c r="C209" s="3192"/>
      <c r="D209" s="2628"/>
      <c r="E209" s="1909"/>
      <c r="F209" s="1908"/>
      <c r="G209" s="1909"/>
      <c r="H209" s="1908"/>
      <c r="I209" s="1909"/>
      <c r="J209" s="1909">
        <v>0</v>
      </c>
      <c r="K209" s="1909">
        <f>SUM(K210:K219)</f>
        <v>140836.35</v>
      </c>
      <c r="L209" s="2236">
        <f>SUM(L211:L219:L210)</f>
        <v>154991</v>
      </c>
      <c r="M209" s="2922">
        <f>SUM(M211:M219:M210)</f>
        <v>148785</v>
      </c>
      <c r="N209" s="2923">
        <f>SUM(N211:N219:N210)</f>
        <v>162863</v>
      </c>
      <c r="O209" s="2924">
        <f>SUM(O211:O219:O210)</f>
        <v>162194</v>
      </c>
      <c r="P209" s="2925">
        <f>SUM(P211:P219:P210)</f>
        <v>171393</v>
      </c>
      <c r="Q209" s="1733"/>
      <c r="R209" s="1733"/>
      <c r="S209" s="1733"/>
      <c r="T209" s="1733"/>
    </row>
    <row r="210" spans="1:20" s="1911" customFormat="1" ht="12.75">
      <c r="A210" s="2631"/>
      <c r="B210" s="2019"/>
      <c r="C210" s="2632" t="s">
        <v>138</v>
      </c>
      <c r="D210" s="1908"/>
      <c r="E210" s="1909"/>
      <c r="F210" s="1908"/>
      <c r="G210" s="1909"/>
      <c r="H210" s="1908"/>
      <c r="I210" s="1909"/>
      <c r="J210" s="1909"/>
      <c r="K210" s="1910">
        <v>140259</v>
      </c>
      <c r="L210" s="1804">
        <v>146676</v>
      </c>
      <c r="M210" s="2607">
        <v>143121</v>
      </c>
      <c r="N210" s="2605">
        <v>157433</v>
      </c>
      <c r="O210" s="2862">
        <v>157791</v>
      </c>
      <c r="P210" s="2606">
        <v>165680</v>
      </c>
      <c r="Q210" s="1733"/>
      <c r="R210" s="1733"/>
      <c r="S210" s="1733"/>
      <c r="T210" s="1733"/>
    </row>
    <row r="211" spans="1:20" ht="12.75">
      <c r="A211" s="1919"/>
      <c r="B211" s="1907"/>
      <c r="C211" s="1906" t="s">
        <v>731</v>
      </c>
      <c r="D211" s="116"/>
      <c r="E211" s="158"/>
      <c r="F211" s="116"/>
      <c r="G211" s="158"/>
      <c r="H211" s="116"/>
      <c r="I211" s="158"/>
      <c r="J211" s="158"/>
      <c r="K211" s="1533">
        <v>311.75</v>
      </c>
      <c r="L211" s="1671">
        <v>600</v>
      </c>
      <c r="M211" s="2607">
        <v>600</v>
      </c>
      <c r="N211" s="2605">
        <v>650</v>
      </c>
      <c r="O211" s="2862">
        <v>690</v>
      </c>
      <c r="P211" s="2606">
        <v>700</v>
      </c>
      <c r="Q211" s="117"/>
      <c r="R211" s="117"/>
      <c r="S211" s="117"/>
      <c r="T211" s="117"/>
    </row>
    <row r="212" spans="1:20" ht="12.75">
      <c r="A212" s="1919"/>
      <c r="B212" s="1907"/>
      <c r="C212" s="1906"/>
      <c r="D212" s="116"/>
      <c r="E212" s="158"/>
      <c r="F212" s="116"/>
      <c r="G212" s="158"/>
      <c r="H212" s="116"/>
      <c r="I212" s="158"/>
      <c r="J212" s="158"/>
      <c r="K212" s="1533"/>
      <c r="L212" s="1671"/>
      <c r="M212" s="2607"/>
      <c r="N212" s="2605"/>
      <c r="O212" s="2862"/>
      <c r="P212" s="2606"/>
      <c r="Q212" s="117"/>
      <c r="R212" s="117"/>
      <c r="S212" s="117"/>
      <c r="T212" s="117"/>
    </row>
    <row r="213" spans="1:20" ht="12.75">
      <c r="A213" s="1919"/>
      <c r="B213" s="1907"/>
      <c r="C213" s="1906" t="s">
        <v>737</v>
      </c>
      <c r="D213" s="116"/>
      <c r="E213" s="158"/>
      <c r="F213" s="116"/>
      <c r="G213" s="158"/>
      <c r="H213" s="116"/>
      <c r="I213" s="158"/>
      <c r="J213" s="158"/>
      <c r="K213" s="1533">
        <v>0</v>
      </c>
      <c r="L213" s="1671">
        <v>500</v>
      </c>
      <c r="M213" s="2607">
        <v>1160</v>
      </c>
      <c r="N213" s="2605"/>
      <c r="O213" s="2862"/>
      <c r="P213" s="2606"/>
      <c r="Q213" s="117"/>
      <c r="R213" s="117"/>
      <c r="S213" s="117"/>
      <c r="T213" s="117"/>
    </row>
    <row r="214" spans="1:20" ht="12.75">
      <c r="A214" s="1919"/>
      <c r="B214" s="1907"/>
      <c r="C214" s="1906" t="s">
        <v>732</v>
      </c>
      <c r="D214" s="116"/>
      <c r="E214" s="158"/>
      <c r="F214" s="116"/>
      <c r="G214" s="158"/>
      <c r="H214" s="116"/>
      <c r="I214" s="158"/>
      <c r="J214" s="158"/>
      <c r="K214" s="1533">
        <v>0</v>
      </c>
      <c r="L214" s="1671">
        <v>2500</v>
      </c>
      <c r="M214" s="2607">
        <v>2004</v>
      </c>
      <c r="N214" s="2605">
        <v>1200</v>
      </c>
      <c r="O214" s="2862">
        <v>1250</v>
      </c>
      <c r="P214" s="2606">
        <v>1300</v>
      </c>
      <c r="Q214" s="117"/>
      <c r="R214" s="117"/>
      <c r="S214" s="117"/>
      <c r="T214" s="117"/>
    </row>
    <row r="215" spans="1:20" ht="12.75">
      <c r="A215" s="1919"/>
      <c r="B215" s="1907"/>
      <c r="C215" s="1906" t="s">
        <v>733</v>
      </c>
      <c r="D215" s="116"/>
      <c r="E215" s="158"/>
      <c r="F215" s="116"/>
      <c r="G215" s="158"/>
      <c r="H215" s="116"/>
      <c r="I215" s="158"/>
      <c r="J215" s="158"/>
      <c r="K215" s="1533">
        <v>0</v>
      </c>
      <c r="L215" s="1671">
        <v>2700</v>
      </c>
      <c r="M215" s="2607">
        <v>1100</v>
      </c>
      <c r="N215" s="2605">
        <v>2700</v>
      </c>
      <c r="O215" s="2862">
        <v>1500</v>
      </c>
      <c r="P215" s="2606">
        <v>2700</v>
      </c>
      <c r="Q215" s="117"/>
      <c r="R215" s="117"/>
      <c r="S215" s="117"/>
      <c r="T215" s="117"/>
    </row>
    <row r="216" spans="1:20" ht="12.75">
      <c r="A216" s="1919"/>
      <c r="B216" s="1907"/>
      <c r="C216" s="1906" t="s">
        <v>734</v>
      </c>
      <c r="D216" s="116"/>
      <c r="E216" s="158"/>
      <c r="F216" s="116"/>
      <c r="G216" s="158"/>
      <c r="H216" s="116"/>
      <c r="I216" s="158"/>
      <c r="J216" s="158"/>
      <c r="K216" s="1533">
        <v>0</v>
      </c>
      <c r="L216" s="1671">
        <v>0</v>
      </c>
      <c r="M216" s="2607"/>
      <c r="N216" s="2605"/>
      <c r="O216" s="2862"/>
      <c r="P216" s="2606"/>
      <c r="Q216" s="117"/>
      <c r="R216" s="117"/>
      <c r="S216" s="117"/>
      <c r="T216" s="117"/>
    </row>
    <row r="217" spans="1:20" ht="12.75">
      <c r="A217" s="1919"/>
      <c r="B217" s="1907"/>
      <c r="C217" s="1906" t="s">
        <v>763</v>
      </c>
      <c r="D217" s="116"/>
      <c r="E217" s="158"/>
      <c r="F217" s="116"/>
      <c r="G217" s="158"/>
      <c r="H217" s="116"/>
      <c r="I217" s="158"/>
      <c r="J217" s="158"/>
      <c r="K217" s="1533">
        <v>0</v>
      </c>
      <c r="L217" s="1671">
        <v>60</v>
      </c>
      <c r="M217" s="2607">
        <v>267</v>
      </c>
      <c r="N217" s="2605">
        <v>280</v>
      </c>
      <c r="O217" s="2862">
        <v>280</v>
      </c>
      <c r="P217" s="2606">
        <v>280</v>
      </c>
      <c r="Q217" s="117"/>
      <c r="R217" s="117"/>
      <c r="S217" s="117"/>
      <c r="T217" s="117"/>
    </row>
    <row r="218" spans="1:20" ht="12.75">
      <c r="A218" s="1919"/>
      <c r="B218" s="1907"/>
      <c r="C218" s="1906" t="s">
        <v>735</v>
      </c>
      <c r="D218" s="116"/>
      <c r="E218" s="158"/>
      <c r="F218" s="116"/>
      <c r="G218" s="158"/>
      <c r="H218" s="116"/>
      <c r="I218" s="158"/>
      <c r="J218" s="158"/>
      <c r="K218" s="1533">
        <v>0</v>
      </c>
      <c r="L218" s="1671">
        <v>1705</v>
      </c>
      <c r="M218" s="2607">
        <v>450</v>
      </c>
      <c r="N218" s="2605">
        <v>500</v>
      </c>
      <c r="O218" s="2862">
        <v>550</v>
      </c>
      <c r="P218" s="2606">
        <v>600</v>
      </c>
      <c r="Q218" s="117"/>
      <c r="R218" s="117"/>
      <c r="S218" s="117"/>
      <c r="T218" s="117"/>
    </row>
    <row r="219" spans="1:20" ht="12.75">
      <c r="A219" s="1919"/>
      <c r="B219" s="1907"/>
      <c r="C219" s="1906" t="s">
        <v>736</v>
      </c>
      <c r="D219" s="116"/>
      <c r="E219" s="158"/>
      <c r="F219" s="116"/>
      <c r="G219" s="158"/>
      <c r="H219" s="116"/>
      <c r="I219" s="158"/>
      <c r="J219" s="158"/>
      <c r="K219" s="1533">
        <v>265.6</v>
      </c>
      <c r="L219" s="1671">
        <v>250</v>
      </c>
      <c r="M219" s="2607">
        <v>83</v>
      </c>
      <c r="N219" s="2605">
        <v>100</v>
      </c>
      <c r="O219" s="2862">
        <v>133</v>
      </c>
      <c r="P219" s="2606">
        <v>133</v>
      </c>
      <c r="Q219" s="117"/>
      <c r="R219" s="117"/>
      <c r="S219" s="117"/>
      <c r="T219" s="117"/>
    </row>
    <row r="220" spans="1:20" ht="12.75">
      <c r="A220" s="3187" t="s">
        <v>168</v>
      </c>
      <c r="B220" s="3188"/>
      <c r="C220" s="3189"/>
      <c r="D220" s="1908"/>
      <c r="E220" s="1909"/>
      <c r="F220" s="1908"/>
      <c r="G220" s="1909"/>
      <c r="H220" s="1908"/>
      <c r="I220" s="1909"/>
      <c r="J220" s="1909">
        <v>0</v>
      </c>
      <c r="K220" s="1909">
        <f aca="true" t="shared" si="3" ref="K220:P220">SUM(K222:K228)</f>
        <v>16205.98</v>
      </c>
      <c r="L220" s="2236">
        <f t="shared" si="3"/>
        <v>23300</v>
      </c>
      <c r="M220" s="2922">
        <f t="shared" si="3"/>
        <v>23810</v>
      </c>
      <c r="N220" s="2927">
        <f>SUM(N222:N228)</f>
        <v>24500</v>
      </c>
      <c r="O220" s="3026">
        <f t="shared" si="3"/>
        <v>28750</v>
      </c>
      <c r="P220" s="2925">
        <f t="shared" si="3"/>
        <v>30550</v>
      </c>
      <c r="Q220" s="117"/>
      <c r="R220" s="117"/>
      <c r="S220" s="117"/>
      <c r="T220" s="117"/>
    </row>
    <row r="221" spans="1:20" ht="12.75">
      <c r="A221" s="2631"/>
      <c r="B221" s="2019"/>
      <c r="C221" s="2019"/>
      <c r="D221" s="2928"/>
      <c r="E221" s="2929"/>
      <c r="F221" s="2928"/>
      <c r="G221" s="2929"/>
      <c r="H221" s="2928"/>
      <c r="I221" s="2929"/>
      <c r="J221" s="2929"/>
      <c r="K221" s="2929"/>
      <c r="L221" s="2929"/>
      <c r="M221" s="2576"/>
      <c r="N221" s="2921"/>
      <c r="P221" s="2930"/>
      <c r="Q221" s="117"/>
      <c r="R221" s="117"/>
      <c r="S221" s="117"/>
      <c r="T221" s="117"/>
    </row>
    <row r="222" spans="1:20" ht="12.75">
      <c r="A222" s="1920"/>
      <c r="B222" s="1907"/>
      <c r="C222" s="1907" t="s">
        <v>738</v>
      </c>
      <c r="D222" s="1803"/>
      <c r="E222" s="1639"/>
      <c r="F222" s="1803"/>
      <c r="G222" s="1639"/>
      <c r="H222" s="1803"/>
      <c r="I222" s="1639"/>
      <c r="J222" s="1639"/>
      <c r="K222" s="1639">
        <v>0</v>
      </c>
      <c r="L222" s="1639">
        <v>2900</v>
      </c>
      <c r="M222" s="2608">
        <v>2900</v>
      </c>
      <c r="N222" s="2609">
        <v>3000</v>
      </c>
      <c r="O222" s="2869">
        <v>3500</v>
      </c>
      <c r="P222" s="2610">
        <v>3500</v>
      </c>
      <c r="Q222" s="117"/>
      <c r="R222" s="117"/>
      <c r="S222" s="117"/>
      <c r="T222" s="117"/>
    </row>
    <row r="223" spans="1:20" ht="12.75">
      <c r="A223" s="1920"/>
      <c r="B223" s="1907"/>
      <c r="C223" s="1907" t="s">
        <v>740</v>
      </c>
      <c r="D223" s="1803"/>
      <c r="E223" s="1639"/>
      <c r="F223" s="1803"/>
      <c r="G223" s="1639"/>
      <c r="H223" s="1803"/>
      <c r="I223" s="1639"/>
      <c r="J223" s="1639"/>
      <c r="K223" s="1639">
        <v>12301.38</v>
      </c>
      <c r="L223" s="1639">
        <v>14500</v>
      </c>
      <c r="M223" s="2608">
        <v>9500</v>
      </c>
      <c r="N223" s="2609">
        <v>10000</v>
      </c>
      <c r="O223" s="2869">
        <v>9800</v>
      </c>
      <c r="P223" s="2610">
        <v>9800</v>
      </c>
      <c r="Q223" s="117"/>
      <c r="R223" s="117"/>
      <c r="S223" s="117"/>
      <c r="T223" s="117"/>
    </row>
    <row r="224" spans="1:20" ht="12.75">
      <c r="A224" s="1920"/>
      <c r="B224" s="1907"/>
      <c r="C224" s="1907" t="s">
        <v>888</v>
      </c>
      <c r="D224" s="1803"/>
      <c r="E224" s="1639"/>
      <c r="F224" s="1803"/>
      <c r="G224" s="1639"/>
      <c r="H224" s="1803"/>
      <c r="I224" s="1639"/>
      <c r="J224" s="1639"/>
      <c r="K224" s="1639"/>
      <c r="L224" s="1639"/>
      <c r="M224" s="2608">
        <v>5437</v>
      </c>
      <c r="N224" s="2609">
        <v>5000</v>
      </c>
      <c r="O224" s="2869">
        <v>7200</v>
      </c>
      <c r="P224" s="2610">
        <v>7200</v>
      </c>
      <c r="Q224" s="117"/>
      <c r="R224" s="117"/>
      <c r="S224" s="117"/>
      <c r="T224" s="117"/>
    </row>
    <row r="225" spans="1:20" ht="12.75">
      <c r="A225" s="1920"/>
      <c r="B225" s="1907"/>
      <c r="C225" s="1907" t="s">
        <v>741</v>
      </c>
      <c r="D225" s="1803"/>
      <c r="E225" s="1639"/>
      <c r="F225" s="1803"/>
      <c r="G225" s="1639"/>
      <c r="H225" s="1803"/>
      <c r="I225" s="1639"/>
      <c r="J225" s="1639"/>
      <c r="K225" s="1639">
        <v>0</v>
      </c>
      <c r="L225" s="1639">
        <v>1900</v>
      </c>
      <c r="M225" s="2608">
        <v>1900</v>
      </c>
      <c r="N225" s="2609">
        <v>2500</v>
      </c>
      <c r="O225" s="2869">
        <v>3100</v>
      </c>
      <c r="P225" s="2610">
        <v>3100</v>
      </c>
      <c r="Q225" s="117"/>
      <c r="R225" s="117"/>
      <c r="S225" s="117"/>
      <c r="T225" s="117"/>
    </row>
    <row r="226" spans="1:20" ht="12.75">
      <c r="A226" s="1920"/>
      <c r="B226" s="1907"/>
      <c r="C226" s="2013" t="s">
        <v>735</v>
      </c>
      <c r="D226" s="1803"/>
      <c r="E226" s="1639"/>
      <c r="F226" s="1803"/>
      <c r="G226" s="1639"/>
      <c r="H226" s="1803"/>
      <c r="I226" s="1639"/>
      <c r="J226" s="1639"/>
      <c r="K226" s="1639">
        <v>0</v>
      </c>
      <c r="L226" s="1639"/>
      <c r="M226" s="2608"/>
      <c r="N226" s="2609"/>
      <c r="O226" s="2869"/>
      <c r="P226" s="2610"/>
      <c r="Q226" s="117"/>
      <c r="R226" s="117"/>
      <c r="S226" s="117"/>
      <c r="T226" s="117"/>
    </row>
    <row r="227" spans="1:20" ht="12.75">
      <c r="A227" s="1920"/>
      <c r="B227" s="1907"/>
      <c r="C227" s="1906" t="s">
        <v>742</v>
      </c>
      <c r="D227" s="1803"/>
      <c r="E227" s="1639"/>
      <c r="F227" s="1803"/>
      <c r="G227" s="1639"/>
      <c r="H227" s="1803"/>
      <c r="I227" s="1639"/>
      <c r="J227" s="1639"/>
      <c r="K227" s="1639">
        <v>3805</v>
      </c>
      <c r="L227" s="1639">
        <v>3800</v>
      </c>
      <c r="M227" s="2608">
        <v>4023</v>
      </c>
      <c r="N227" s="2609">
        <v>3900</v>
      </c>
      <c r="O227" s="2869">
        <v>5000</v>
      </c>
      <c r="P227" s="2610">
        <v>6800</v>
      </c>
      <c r="Q227" s="117"/>
      <c r="R227" s="117"/>
      <c r="S227" s="117"/>
      <c r="T227" s="117"/>
    </row>
    <row r="228" spans="1:20" ht="12.75">
      <c r="A228" s="1920"/>
      <c r="B228" s="1907"/>
      <c r="C228" s="1906" t="s">
        <v>739</v>
      </c>
      <c r="D228" s="1803"/>
      <c r="E228" s="1639"/>
      <c r="F228" s="1803"/>
      <c r="G228" s="1639"/>
      <c r="H228" s="1803"/>
      <c r="I228" s="1639"/>
      <c r="J228" s="1639"/>
      <c r="K228" s="1639">
        <v>99.6</v>
      </c>
      <c r="L228" s="1639">
        <v>200</v>
      </c>
      <c r="M228" s="2608">
        <v>50</v>
      </c>
      <c r="N228" s="2609">
        <v>100</v>
      </c>
      <c r="O228" s="2869">
        <v>150</v>
      </c>
      <c r="P228" s="2610">
        <v>150</v>
      </c>
      <c r="Q228" s="117"/>
      <c r="R228" s="117"/>
      <c r="S228" s="117"/>
      <c r="T228" s="117"/>
    </row>
    <row r="229" spans="1:20" ht="13.5" thickBot="1">
      <c r="A229" s="1921" t="s">
        <v>165</v>
      </c>
      <c r="B229" s="1922"/>
      <c r="C229" s="1923"/>
      <c r="D229" s="1924">
        <f>SUM(D195,D209,D220)</f>
        <v>0</v>
      </c>
      <c r="E229" s="1925"/>
      <c r="F229" s="1924">
        <f>SUM(F195,F209,F220)</f>
        <v>0</v>
      </c>
      <c r="G229" s="1925"/>
      <c r="H229" s="1924">
        <f>SUM(H195,H209,H220)</f>
        <v>0</v>
      </c>
      <c r="I229" s="1926"/>
      <c r="J229" s="2219">
        <f>SUM(J195,J209,J220)</f>
        <v>0</v>
      </c>
      <c r="K229" s="2219">
        <f>SUM(K195,K209,K220)</f>
        <v>696008.2999999999</v>
      </c>
      <c r="L229" s="2219">
        <f>L195+L209+L220</f>
        <v>757979</v>
      </c>
      <c r="M229" s="3072">
        <f>M195+M209+M220</f>
        <v>779256</v>
      </c>
      <c r="N229" s="3073">
        <f>N195+N209+N220</f>
        <v>862226</v>
      </c>
      <c r="O229" s="3074">
        <f>O195+O209+O220</f>
        <v>895258</v>
      </c>
      <c r="P229" s="3075">
        <f>P195+P209+P220</f>
        <v>906257</v>
      </c>
      <c r="Q229" s="137"/>
      <c r="R229" s="137"/>
      <c r="S229" s="137"/>
      <c r="T229" s="137"/>
    </row>
    <row r="230" spans="1:20" ht="12.75">
      <c r="A230" s="149"/>
      <c r="B230" s="19"/>
      <c r="C230" s="149"/>
      <c r="D230" s="137"/>
      <c r="E230" s="77"/>
      <c r="F230" s="137"/>
      <c r="G230" s="77"/>
      <c r="H230" s="137"/>
      <c r="I230" s="77"/>
      <c r="J230" s="77"/>
      <c r="K230" s="137"/>
      <c r="L230" s="137"/>
      <c r="M230" s="2602"/>
      <c r="N230" s="2602"/>
      <c r="O230" s="2845"/>
      <c r="P230" s="2602"/>
      <c r="Q230" s="137"/>
      <c r="R230" s="137"/>
      <c r="S230" s="137"/>
      <c r="T230" s="137"/>
    </row>
    <row r="231" spans="1:20" ht="12.75">
      <c r="A231" s="149"/>
      <c r="B231" s="19"/>
      <c r="C231" s="149"/>
      <c r="D231" s="137"/>
      <c r="E231" s="77"/>
      <c r="F231" s="137"/>
      <c r="G231" s="77"/>
      <c r="H231" s="137"/>
      <c r="I231" s="77"/>
      <c r="J231" s="77"/>
      <c r="K231" s="137"/>
      <c r="L231" s="137"/>
      <c r="M231" s="2602"/>
      <c r="N231" s="2602"/>
      <c r="O231" s="2845"/>
      <c r="P231" s="2602"/>
      <c r="Q231" s="137"/>
      <c r="R231" s="137"/>
      <c r="S231" s="137"/>
      <c r="T231" s="137"/>
    </row>
    <row r="232" spans="1:20" ht="12.75">
      <c r="A232" s="149"/>
      <c r="B232" s="19"/>
      <c r="C232" s="149"/>
      <c r="D232" s="137"/>
      <c r="E232" s="77"/>
      <c r="F232" s="137"/>
      <c r="G232" s="77"/>
      <c r="H232" s="137"/>
      <c r="I232" s="77"/>
      <c r="J232" s="77"/>
      <c r="K232" s="137"/>
      <c r="L232" s="137"/>
      <c r="M232" s="2602"/>
      <c r="N232" s="2602"/>
      <c r="O232" s="2845"/>
      <c r="P232" s="2602"/>
      <c r="Q232" s="137"/>
      <c r="R232" s="137"/>
      <c r="S232" s="137"/>
      <c r="T232" s="137"/>
    </row>
    <row r="233" spans="1:16" ht="13.5" thickBot="1">
      <c r="A233" s="55"/>
      <c r="B233" s="55"/>
      <c r="C233" s="55"/>
      <c r="D233" s="55"/>
      <c r="E233" s="55"/>
      <c r="F233" s="55"/>
      <c r="G233" s="157"/>
      <c r="H233" s="55"/>
      <c r="I233" s="55"/>
      <c r="J233" s="55"/>
      <c r="K233" s="55"/>
      <c r="L233" s="55"/>
      <c r="M233" s="2526"/>
      <c r="N233" s="2576"/>
      <c r="P233" s="2576"/>
    </row>
    <row r="234" spans="1:16" ht="13.5" hidden="1" thickBot="1">
      <c r="A234" s="55"/>
      <c r="B234" s="55"/>
      <c r="C234" s="55"/>
      <c r="D234" s="55"/>
      <c r="E234" s="55"/>
      <c r="F234" s="55"/>
      <c r="G234" s="157"/>
      <c r="H234" s="55"/>
      <c r="I234" s="55"/>
      <c r="J234" s="55"/>
      <c r="K234" s="55"/>
      <c r="L234" s="55"/>
      <c r="M234" s="2526"/>
      <c r="N234" s="2576"/>
      <c r="P234" s="2576"/>
    </row>
    <row r="235" spans="1:16" ht="13.5" hidden="1" thickBot="1">
      <c r="A235" s="55"/>
      <c r="B235" s="55"/>
      <c r="C235" s="55"/>
      <c r="D235" s="55"/>
      <c r="E235" s="55"/>
      <c r="F235" s="55"/>
      <c r="G235" s="157"/>
      <c r="H235" s="55"/>
      <c r="I235" s="55"/>
      <c r="J235" s="55"/>
      <c r="K235" s="55"/>
      <c r="L235" s="55"/>
      <c r="M235" s="2526"/>
      <c r="N235" s="2576"/>
      <c r="P235" s="2576"/>
    </row>
    <row r="236" spans="1:16" ht="13.5" hidden="1" thickBot="1">
      <c r="A236" s="55"/>
      <c r="B236" s="55"/>
      <c r="C236" s="55"/>
      <c r="D236" s="55"/>
      <c r="E236" s="55"/>
      <c r="F236" s="55"/>
      <c r="G236" s="157"/>
      <c r="H236" s="55"/>
      <c r="I236" s="55"/>
      <c r="J236" s="55"/>
      <c r="K236" s="55"/>
      <c r="L236" s="55"/>
      <c r="M236" s="2526"/>
      <c r="N236" s="2576"/>
      <c r="P236" s="2576"/>
    </row>
    <row r="237" spans="1:16" ht="13.5" hidden="1" thickBot="1">
      <c r="A237" s="55"/>
      <c r="B237" s="55"/>
      <c r="C237" s="55"/>
      <c r="D237" s="55"/>
      <c r="E237" s="55"/>
      <c r="F237" s="55"/>
      <c r="G237" s="157"/>
      <c r="H237" s="55"/>
      <c r="I237" s="55"/>
      <c r="J237" s="55"/>
      <c r="K237" s="55"/>
      <c r="L237" s="55"/>
      <c r="M237" s="2526"/>
      <c r="N237" s="2576"/>
      <c r="P237" s="2576"/>
    </row>
    <row r="238" spans="1:16" ht="13.5" hidden="1" thickBot="1">
      <c r="A238" s="55"/>
      <c r="B238" s="55"/>
      <c r="C238" s="55"/>
      <c r="D238" s="55"/>
      <c r="E238" s="55"/>
      <c r="F238" s="55"/>
      <c r="G238" s="157"/>
      <c r="H238" s="55"/>
      <c r="I238" s="55"/>
      <c r="J238" s="55"/>
      <c r="K238" s="55"/>
      <c r="L238" s="55"/>
      <c r="M238" s="2526"/>
      <c r="N238" s="2576"/>
      <c r="P238" s="2576"/>
    </row>
    <row r="239" spans="1:16" ht="13.5" hidden="1" thickBot="1">
      <c r="A239" s="55"/>
      <c r="B239" s="55"/>
      <c r="C239" s="55"/>
      <c r="D239" s="55"/>
      <c r="E239" s="55"/>
      <c r="F239" s="55"/>
      <c r="G239" s="157"/>
      <c r="H239" s="55"/>
      <c r="I239" s="55"/>
      <c r="J239" s="55"/>
      <c r="K239" s="55"/>
      <c r="L239" s="55"/>
      <c r="M239" s="2526"/>
      <c r="N239" s="2576"/>
      <c r="P239" s="2576"/>
    </row>
    <row r="240" spans="1:20" ht="22.5" customHeight="1">
      <c r="A240" s="28" t="s">
        <v>169</v>
      </c>
      <c r="B240" s="122"/>
      <c r="C240" s="123"/>
      <c r="D240" s="124" t="s">
        <v>151</v>
      </c>
      <c r="E240" s="125" t="s">
        <v>152</v>
      </c>
      <c r="F240" s="124" t="s">
        <v>151</v>
      </c>
      <c r="G240" s="125" t="s">
        <v>152</v>
      </c>
      <c r="H240" s="124" t="s">
        <v>151</v>
      </c>
      <c r="I240" s="125" t="s">
        <v>152</v>
      </c>
      <c r="J240" s="1788">
        <v>2017</v>
      </c>
      <c r="K240" s="1916">
        <v>2018</v>
      </c>
      <c r="L240" s="1917">
        <v>2019</v>
      </c>
      <c r="M240" s="2515" t="s">
        <v>881</v>
      </c>
      <c r="N240" s="2178">
        <v>2020</v>
      </c>
      <c r="O240" s="2912" t="s">
        <v>882</v>
      </c>
      <c r="P240" s="2843">
        <v>2022</v>
      </c>
      <c r="Q240" s="70"/>
      <c r="R240" s="70"/>
      <c r="S240" s="70"/>
      <c r="T240" s="71"/>
    </row>
    <row r="241" spans="1:21" ht="12.75">
      <c r="A241" s="1228" t="s">
        <v>1</v>
      </c>
      <c r="B241" s="1229"/>
      <c r="C241" s="1230"/>
      <c r="D241" s="116">
        <f aca="true" t="shared" si="4" ref="D241:P241">D115</f>
        <v>0</v>
      </c>
      <c r="E241" s="116">
        <f t="shared" si="4"/>
        <v>0</v>
      </c>
      <c r="F241" s="116">
        <f t="shared" si="4"/>
        <v>0</v>
      </c>
      <c r="G241" s="116">
        <f t="shared" si="4"/>
        <v>0</v>
      </c>
      <c r="H241" s="116">
        <f t="shared" si="4"/>
        <v>0</v>
      </c>
      <c r="I241" s="116">
        <f t="shared" si="4"/>
        <v>0</v>
      </c>
      <c r="J241" s="158">
        <f>J115</f>
        <v>1886130.5600000003</v>
      </c>
      <c r="K241" s="158">
        <f t="shared" si="4"/>
        <v>1379071.67</v>
      </c>
      <c r="L241" s="1533">
        <f t="shared" si="4"/>
        <v>1432156</v>
      </c>
      <c r="M241" s="2577">
        <f t="shared" si="4"/>
        <v>1525462</v>
      </c>
      <c r="N241" s="2578">
        <f>N115</f>
        <v>1593136</v>
      </c>
      <c r="O241" s="2861">
        <f t="shared" si="4"/>
        <v>1551732</v>
      </c>
      <c r="P241" s="2574">
        <f t="shared" si="4"/>
        <v>1639486</v>
      </c>
      <c r="Q241" s="117"/>
      <c r="R241" s="117"/>
      <c r="S241" s="117"/>
      <c r="T241" s="117"/>
      <c r="U241" s="160"/>
    </row>
    <row r="242" spans="1:20" ht="12.75">
      <c r="A242" s="1228" t="s">
        <v>80</v>
      </c>
      <c r="B242" s="1229"/>
      <c r="C242" s="1230"/>
      <c r="D242" s="116">
        <f aca="true" t="shared" si="5" ref="D242:P242">D146</f>
        <v>471649.89</v>
      </c>
      <c r="E242" s="116">
        <f t="shared" si="5"/>
        <v>338092.73</v>
      </c>
      <c r="F242" s="116">
        <f t="shared" si="5"/>
        <v>471649.89</v>
      </c>
      <c r="G242" s="116">
        <f t="shared" si="5"/>
        <v>338092.73</v>
      </c>
      <c r="H242" s="116">
        <f t="shared" si="5"/>
        <v>471649.89</v>
      </c>
      <c r="I242" s="116">
        <f t="shared" si="5"/>
        <v>338092.73</v>
      </c>
      <c r="J242" s="1744">
        <f t="shared" si="5"/>
        <v>6310</v>
      </c>
      <c r="K242" s="1744">
        <f t="shared" si="5"/>
        <v>2604287.57</v>
      </c>
      <c r="L242" s="1745">
        <f t="shared" si="5"/>
        <v>6968351</v>
      </c>
      <c r="M242" s="2611">
        <f t="shared" si="5"/>
        <v>5822640</v>
      </c>
      <c r="N242" s="2612">
        <f t="shared" si="5"/>
        <v>4626207</v>
      </c>
      <c r="O242" s="2870">
        <f t="shared" si="5"/>
        <v>354040</v>
      </c>
      <c r="P242" s="2613">
        <f t="shared" si="5"/>
        <v>0</v>
      </c>
      <c r="Q242" s="117"/>
      <c r="R242" s="117"/>
      <c r="S242" s="117"/>
      <c r="T242" s="117"/>
    </row>
    <row r="243" spans="1:21" ht="12.75">
      <c r="A243" s="1228" t="s">
        <v>90</v>
      </c>
      <c r="B243" s="1229"/>
      <c r="C243" s="1230"/>
      <c r="D243" s="131">
        <f aca="true" t="shared" si="6" ref="D243:P243">D187</f>
        <v>310000</v>
      </c>
      <c r="E243" s="131">
        <f t="shared" si="6"/>
        <v>240110.47</v>
      </c>
      <c r="F243" s="131">
        <f t="shared" si="6"/>
        <v>310000</v>
      </c>
      <c r="G243" s="131">
        <f t="shared" si="6"/>
        <v>240110.47</v>
      </c>
      <c r="H243" s="131">
        <f t="shared" si="6"/>
        <v>310000</v>
      </c>
      <c r="I243" s="131">
        <f t="shared" si="6"/>
        <v>240110.47</v>
      </c>
      <c r="J243" s="1660">
        <f t="shared" si="6"/>
        <v>2672</v>
      </c>
      <c r="K243" s="1660">
        <f t="shared" si="6"/>
        <v>3473630.42</v>
      </c>
      <c r="L243" s="1661">
        <f t="shared" si="6"/>
        <v>7157150</v>
      </c>
      <c r="M243" s="2614">
        <f t="shared" si="6"/>
        <v>6407122</v>
      </c>
      <c r="N243" s="2615">
        <f t="shared" si="6"/>
        <v>2856191</v>
      </c>
      <c r="O243" s="2871">
        <f t="shared" si="6"/>
        <v>11500</v>
      </c>
      <c r="P243" s="2616">
        <f t="shared" si="6"/>
        <v>1500</v>
      </c>
      <c r="Q243" s="117"/>
      <c r="R243" s="117"/>
      <c r="S243" s="117"/>
      <c r="T243" s="117"/>
      <c r="U243" s="161"/>
    </row>
    <row r="244" spans="1:20" ht="12.75">
      <c r="A244" s="1228" t="s">
        <v>165</v>
      </c>
      <c r="B244" s="1229"/>
      <c r="C244" s="1230"/>
      <c r="D244" s="162">
        <f aca="true" t="shared" si="7" ref="D244:N244">D229</f>
        <v>0</v>
      </c>
      <c r="E244" s="162">
        <f t="shared" si="7"/>
        <v>0</v>
      </c>
      <c r="F244" s="162">
        <f t="shared" si="7"/>
        <v>0</v>
      </c>
      <c r="G244" s="162">
        <f t="shared" si="7"/>
        <v>0</v>
      </c>
      <c r="H244" s="162">
        <f t="shared" si="7"/>
        <v>0</v>
      </c>
      <c r="I244" s="162">
        <f t="shared" si="7"/>
        <v>0</v>
      </c>
      <c r="J244" s="1752">
        <f>J229</f>
        <v>0</v>
      </c>
      <c r="K244" s="1752">
        <f>K229</f>
        <v>696008.2999999999</v>
      </c>
      <c r="L244" s="1753">
        <f>L229</f>
        <v>757979</v>
      </c>
      <c r="M244" s="2617">
        <f>M229</f>
        <v>779256</v>
      </c>
      <c r="N244" s="2618">
        <f t="shared" si="7"/>
        <v>862226</v>
      </c>
      <c r="O244" s="2872">
        <f>O229</f>
        <v>895258</v>
      </c>
      <c r="P244" s="2619">
        <f>P229</f>
        <v>906257</v>
      </c>
      <c r="Q244" s="117"/>
      <c r="R244" s="117"/>
      <c r="S244" s="117"/>
      <c r="T244" s="117"/>
    </row>
    <row r="245" spans="1:20" ht="13.5" thickBot="1">
      <c r="A245" s="163" t="s">
        <v>170</v>
      </c>
      <c r="B245" s="164"/>
      <c r="C245" s="165"/>
      <c r="D245" s="166">
        <f>SUM(D241,D242,D243,D244)</f>
        <v>781649.89</v>
      </c>
      <c r="E245" s="166">
        <f>E241+E242+E243+E244</f>
        <v>578203.2</v>
      </c>
      <c r="F245" s="166">
        <f>SUM(F241,F242,F243,F244)</f>
        <v>781649.89</v>
      </c>
      <c r="G245" s="166">
        <f>G241+G242+G243+G244</f>
        <v>578203.2</v>
      </c>
      <c r="H245" s="166">
        <f>SUM(H241,H242,H243,H244)</f>
        <v>781649.89</v>
      </c>
      <c r="I245" s="166">
        <f>I241+I242+I243+I244</f>
        <v>578203.2</v>
      </c>
      <c r="J245" s="1618">
        <f>SUM(J241,J242,J243,J244)</f>
        <v>1895112.5600000003</v>
      </c>
      <c r="K245" s="1618">
        <f>SUM(K241,K242,K243,K244)</f>
        <v>8152997.96</v>
      </c>
      <c r="L245" s="3076">
        <f>L241+L242+L243+L244</f>
        <v>16315636</v>
      </c>
      <c r="M245" s="3077">
        <f>SUM(M241,M242,M243,M244)</f>
        <v>14534480</v>
      </c>
      <c r="N245" s="3078">
        <f>N241+N242+N243+N244</f>
        <v>9937760</v>
      </c>
      <c r="O245" s="3079">
        <f>SUM(O241,O242,O243,O244)</f>
        <v>2812530</v>
      </c>
      <c r="P245" s="3080">
        <f>SUM(P241,P242,P243,P244)</f>
        <v>2547243</v>
      </c>
      <c r="Q245" s="117"/>
      <c r="R245" s="117"/>
      <c r="S245" s="117"/>
      <c r="T245" s="117"/>
    </row>
    <row r="246" spans="13:16" ht="12.75">
      <c r="M246" s="2620"/>
      <c r="N246" s="2621"/>
      <c r="P246" s="2621"/>
    </row>
  </sheetData>
  <sheetProtection/>
  <mergeCells count="17">
    <mergeCell ref="M181:P181"/>
    <mergeCell ref="A220:C220"/>
    <mergeCell ref="M165:P165"/>
    <mergeCell ref="A195:C195"/>
    <mergeCell ref="A209:C209"/>
    <mergeCell ref="M75:P75"/>
    <mergeCell ref="A114:C114"/>
    <mergeCell ref="M124:P124"/>
    <mergeCell ref="A129:C129"/>
    <mergeCell ref="M131:P131"/>
    <mergeCell ref="A145:C145"/>
    <mergeCell ref="A2:P2"/>
    <mergeCell ref="A5:E5"/>
    <mergeCell ref="M5:P5"/>
    <mergeCell ref="A31:C31"/>
    <mergeCell ref="M34:P34"/>
    <mergeCell ref="A65:C65"/>
  </mergeCells>
  <printOptions horizontalCentered="1"/>
  <pageMargins left="0.4330708661417323" right="0.2362204724409449" top="0.7480314960629921" bottom="0.7480314960629921" header="0.31496062992125984" footer="0.31496062992125984"/>
  <pageSetup horizontalDpi="600" verticalDpi="600" orientation="landscape" paperSize="9" scale="85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view="pageLayout" workbookViewId="0" topLeftCell="A1">
      <selection activeCell="R54" sqref="R54:R55"/>
    </sheetView>
  </sheetViews>
  <sheetFormatPr defaultColWidth="9.140625" defaultRowHeight="12.75"/>
  <cols>
    <col min="1" max="1" width="3.57421875" style="167" customWidth="1"/>
    <col min="2" max="2" width="4.140625" style="1" customWidth="1"/>
    <col min="4" max="4" width="3.421875" style="0" customWidth="1"/>
    <col min="5" max="5" width="31.140625" style="0" customWidth="1"/>
    <col min="6" max="6" width="11.8515625" style="168" customWidth="1"/>
    <col min="7" max="7" width="0" style="169" hidden="1" customWidth="1"/>
    <col min="8" max="9" width="9.140625" style="169" customWidth="1"/>
    <col min="10" max="10" width="9.7109375" style="169" bestFit="1" customWidth="1"/>
    <col min="11" max="11" width="9.140625" style="169" customWidth="1"/>
    <col min="12" max="12" width="8.421875" style="170" customWidth="1"/>
    <col min="13" max="14" width="8.421875" style="0" customWidth="1"/>
  </cols>
  <sheetData>
    <row r="1" spans="2:14" ht="15.75">
      <c r="B1" s="171" t="s">
        <v>171</v>
      </c>
      <c r="E1" s="171" t="s">
        <v>172</v>
      </c>
      <c r="G1" s="172" t="e">
        <f>#REF!-G7</f>
        <v>#REF!</v>
      </c>
      <c r="H1" s="172"/>
      <c r="I1" s="172"/>
      <c r="J1" s="172"/>
      <c r="K1" s="172"/>
      <c r="L1" s="173"/>
      <c r="M1" s="173"/>
      <c r="N1" s="173"/>
    </row>
    <row r="2" spans="1:14" ht="13.5" thickBot="1">
      <c r="A2" s="174"/>
      <c r="B2" s="175"/>
      <c r="C2" s="176"/>
      <c r="D2" s="176"/>
      <c r="E2" s="177"/>
      <c r="F2" s="178"/>
      <c r="G2" s="172" t="e">
        <f>SUM(G8:G10)</f>
        <v>#REF!</v>
      </c>
      <c r="H2" s="172"/>
      <c r="I2" s="172"/>
      <c r="J2" s="172"/>
      <c r="K2" s="172"/>
      <c r="L2" s="179">
        <f>SUM(L8:L10)</f>
        <v>4259769</v>
      </c>
      <c r="M2" s="179">
        <f>SUM(M8:M10)</f>
        <v>303295</v>
      </c>
      <c r="N2" s="179">
        <f>SUM(N8:N10)</f>
        <v>381475</v>
      </c>
    </row>
    <row r="3" spans="1:14" ht="16.5" customHeight="1" thickBot="1">
      <c r="A3" s="180"/>
      <c r="B3" s="181"/>
      <c r="C3" s="182"/>
      <c r="D3" s="182"/>
      <c r="E3" s="183"/>
      <c r="F3" s="184"/>
      <c r="G3" s="3196" t="s">
        <v>173</v>
      </c>
      <c r="H3" s="3196"/>
      <c r="I3" s="3196"/>
      <c r="J3" s="3196"/>
      <c r="K3" s="3196"/>
      <c r="L3" s="3197"/>
      <c r="M3" s="3196"/>
      <c r="N3" s="3196"/>
    </row>
    <row r="4" spans="1:14" ht="12" customHeight="1" thickBot="1">
      <c r="A4" s="185"/>
      <c r="B4" s="186" t="s">
        <v>174</v>
      </c>
      <c r="C4" s="187" t="s">
        <v>175</v>
      </c>
      <c r="D4" s="3198" t="s">
        <v>176</v>
      </c>
      <c r="E4" s="3198"/>
      <c r="F4" s="3198"/>
      <c r="G4" s="188"/>
      <c r="H4" s="975">
        <v>2016</v>
      </c>
      <c r="I4" s="189">
        <v>2017</v>
      </c>
      <c r="J4" s="189">
        <v>2018</v>
      </c>
      <c r="K4" s="189" t="s">
        <v>790</v>
      </c>
      <c r="L4" s="189">
        <v>2019</v>
      </c>
      <c r="M4" s="189">
        <v>2020</v>
      </c>
      <c r="N4" s="189">
        <v>2021</v>
      </c>
    </row>
    <row r="5" spans="1:14" ht="12" customHeight="1">
      <c r="A5" s="185"/>
      <c r="B5" s="186" t="s">
        <v>177</v>
      </c>
      <c r="C5" s="187" t="s">
        <v>178</v>
      </c>
      <c r="D5" s="3198"/>
      <c r="E5" s="3198"/>
      <c r="F5" s="3198"/>
      <c r="G5" s="190" t="s">
        <v>179</v>
      </c>
      <c r="H5" s="327" t="s">
        <v>180</v>
      </c>
      <c r="I5" s="191" t="s">
        <v>180</v>
      </c>
      <c r="J5" s="191" t="s">
        <v>180</v>
      </c>
      <c r="K5" s="468" t="s">
        <v>180</v>
      </c>
      <c r="L5" s="1209" t="s">
        <v>180</v>
      </c>
      <c r="M5" s="192" t="s">
        <v>181</v>
      </c>
      <c r="N5" s="192" t="s">
        <v>181</v>
      </c>
    </row>
    <row r="6" spans="1:14" ht="15" customHeight="1">
      <c r="A6" s="185"/>
      <c r="B6" s="186" t="s">
        <v>182</v>
      </c>
      <c r="C6" s="187" t="s">
        <v>183</v>
      </c>
      <c r="D6" s="3198"/>
      <c r="E6" s="3198"/>
      <c r="F6" s="3198"/>
      <c r="G6" s="193">
        <v>1</v>
      </c>
      <c r="H6" s="193">
        <v>-3</v>
      </c>
      <c r="I6" s="193">
        <v>-2</v>
      </c>
      <c r="J6" s="193">
        <v>-1</v>
      </c>
      <c r="K6" s="193">
        <v>-1</v>
      </c>
      <c r="L6" s="1002">
        <v>0</v>
      </c>
      <c r="M6" s="195">
        <v>1</v>
      </c>
      <c r="N6" s="195">
        <v>2</v>
      </c>
    </row>
    <row r="7" spans="1:14" ht="15">
      <c r="A7" s="196">
        <v>1</v>
      </c>
      <c r="B7" s="197" t="s">
        <v>184</v>
      </c>
      <c r="C7" s="198"/>
      <c r="D7" s="199"/>
      <c r="E7" s="199" t="s">
        <v>172</v>
      </c>
      <c r="F7" s="200"/>
      <c r="G7" s="201" t="e">
        <f>G11+#REF!+#REF!+#REF!+#REF!+#REF!+#REF!</f>
        <v>#REF!</v>
      </c>
      <c r="H7" s="2220">
        <f>SUM(H8:H10)</f>
        <v>290408.55</v>
      </c>
      <c r="I7" s="2221">
        <f>SUM(I8:I10)</f>
        <v>315592</v>
      </c>
      <c r="J7" s="2223">
        <f>J11+J35+J40+J53+J62</f>
        <v>7130020</v>
      </c>
      <c r="K7" s="2222">
        <f>SUM(K8:K10)</f>
        <v>5925918</v>
      </c>
      <c r="L7" s="1778">
        <f>SUM(L8:L10)</f>
        <v>4259769</v>
      </c>
      <c r="M7" s="1779">
        <f>SUM(M8:M10)</f>
        <v>303295</v>
      </c>
      <c r="N7" s="2096">
        <f>SUM(N8:N10)</f>
        <v>381475</v>
      </c>
    </row>
    <row r="8" spans="1:14" ht="12.75">
      <c r="A8" s="203">
        <f aca="true" t="shared" si="0" ref="A8:A23">A7+1</f>
        <v>2</v>
      </c>
      <c r="B8" s="204" t="s">
        <v>185</v>
      </c>
      <c r="C8" s="897" t="s">
        <v>186</v>
      </c>
      <c r="D8" s="898"/>
      <c r="E8" s="899"/>
      <c r="F8" s="900"/>
      <c r="G8" s="1055" t="e">
        <f>G43+G46+#REF!+#REF!+#REF!+#REF!+#REF!+#REF!+G48</f>
        <v>#REF!</v>
      </c>
      <c r="H8" s="1185">
        <f>H13+H28+H36+H41+H54+H63</f>
        <v>250408.55</v>
      </c>
      <c r="I8" s="1056">
        <f>SUM(I13,I28,I36,I41,I54,I63)</f>
        <v>305834</v>
      </c>
      <c r="J8" s="1057">
        <f>J13+J28+J36+J41+J54+J63</f>
        <v>323220</v>
      </c>
      <c r="K8" s="1195">
        <f>SUM(K13,K28,K36,K41,K54,K63)</f>
        <v>307003</v>
      </c>
      <c r="L8" s="1185">
        <f>SUM(L13,L28,L36,L41,L54,L63)</f>
        <v>304360</v>
      </c>
      <c r="M8" s="1056">
        <f>SUM(M13,M28,M36,M41,M54,M63)</f>
        <v>303295</v>
      </c>
      <c r="N8" s="1057">
        <f>SUM(N13,N28,N36,N41,N54,N63)</f>
        <v>303295</v>
      </c>
    </row>
    <row r="9" spans="1:14" ht="12.75">
      <c r="A9" s="203">
        <f t="shared" si="0"/>
        <v>3</v>
      </c>
      <c r="B9" s="204" t="s">
        <v>187</v>
      </c>
      <c r="C9" s="1058" t="s">
        <v>188</v>
      </c>
      <c r="D9" s="1059"/>
      <c r="E9" s="1060"/>
      <c r="F9" s="1061"/>
      <c r="G9" s="1062" t="e">
        <f>#REF!</f>
        <v>#REF!</v>
      </c>
      <c r="H9" s="1186">
        <f>H24</f>
        <v>0</v>
      </c>
      <c r="I9" s="1063">
        <f>SUM(I24)</f>
        <v>558</v>
      </c>
      <c r="J9" s="1064">
        <f>J24</f>
        <v>0</v>
      </c>
      <c r="K9" s="1196">
        <f>SUM(K24)</f>
        <v>390</v>
      </c>
      <c r="L9" s="1186">
        <f>SUM(L24)</f>
        <v>0</v>
      </c>
      <c r="M9" s="1063">
        <f>SUM(M24)</f>
        <v>0</v>
      </c>
      <c r="N9" s="1064">
        <f>SUM(N24)</f>
        <v>0</v>
      </c>
    </row>
    <row r="10" spans="1:14" ht="13.5" thickBot="1">
      <c r="A10" s="203">
        <f t="shared" si="0"/>
        <v>4</v>
      </c>
      <c r="B10" s="207"/>
      <c r="C10" s="925" t="s">
        <v>189</v>
      </c>
      <c r="D10" s="926"/>
      <c r="E10" s="927"/>
      <c r="F10" s="928"/>
      <c r="G10" s="929">
        <v>0</v>
      </c>
      <c r="H10" s="1187">
        <f aca="true" t="shared" si="1" ref="H10:N10">H49</f>
        <v>40000</v>
      </c>
      <c r="I10" s="977">
        <f t="shared" si="1"/>
        <v>9200</v>
      </c>
      <c r="J10" s="930">
        <f t="shared" si="1"/>
        <v>6806800</v>
      </c>
      <c r="K10" s="1197">
        <f t="shared" si="1"/>
        <v>5618525</v>
      </c>
      <c r="L10" s="1776">
        <f t="shared" si="1"/>
        <v>3955409</v>
      </c>
      <c r="M10" s="1777">
        <f t="shared" si="1"/>
        <v>0</v>
      </c>
      <c r="N10" s="931">
        <f t="shared" si="1"/>
        <v>78180</v>
      </c>
    </row>
    <row r="11" spans="1:14" ht="13.5" thickTop="1">
      <c r="A11" s="203">
        <f t="shared" si="0"/>
        <v>5</v>
      </c>
      <c r="B11" s="208">
        <v>1</v>
      </c>
      <c r="C11" s="209" t="s">
        <v>190</v>
      </c>
      <c r="D11" s="210"/>
      <c r="E11" s="210"/>
      <c r="F11" s="211"/>
      <c r="G11" s="212">
        <f>G12+G45+G47</f>
        <v>0</v>
      </c>
      <c r="H11" s="831">
        <f>H12+H27</f>
        <v>226979.13</v>
      </c>
      <c r="I11" s="428">
        <f>SUM(I12+I27)</f>
        <v>266133</v>
      </c>
      <c r="J11" s="213">
        <f>J12+J27</f>
        <v>254950</v>
      </c>
      <c r="K11" s="1152">
        <f>SUM(K12+K27)</f>
        <v>260024</v>
      </c>
      <c r="L11" s="1210">
        <f>SUM(L12+L27)</f>
        <v>263420</v>
      </c>
      <c r="M11" s="399">
        <f>SUM(M12+M27)</f>
        <v>265595</v>
      </c>
      <c r="N11" s="214">
        <f>SUM(N12+N27)</f>
        <v>265595</v>
      </c>
    </row>
    <row r="12" spans="1:14" s="222" customFormat="1" ht="12.75">
      <c r="A12" s="203">
        <f t="shared" si="0"/>
        <v>6</v>
      </c>
      <c r="B12" s="215"/>
      <c r="C12" s="216" t="s">
        <v>191</v>
      </c>
      <c r="D12" s="217" t="s">
        <v>192</v>
      </c>
      <c r="E12" s="218"/>
      <c r="F12" s="219"/>
      <c r="G12" s="220">
        <f>G44</f>
        <v>0</v>
      </c>
      <c r="H12" s="1181">
        <f>H13+H24</f>
        <v>213814.13</v>
      </c>
      <c r="I12" s="978">
        <f>SUM(I13+I24)</f>
        <v>250647</v>
      </c>
      <c r="J12" s="221">
        <f>J13+J24</f>
        <v>239750</v>
      </c>
      <c r="K12" s="1198">
        <f>SUM(K13+K24)</f>
        <v>244150</v>
      </c>
      <c r="L12" s="1181">
        <f>SUM(L13+L24)</f>
        <v>247060</v>
      </c>
      <c r="M12" s="978">
        <f>SUM(M13+M24)</f>
        <v>248720</v>
      </c>
      <c r="N12" s="221">
        <f>SUM(N13+N24)</f>
        <v>248720</v>
      </c>
    </row>
    <row r="13" spans="1:14" ht="12.75">
      <c r="A13" s="203">
        <f t="shared" si="0"/>
        <v>7</v>
      </c>
      <c r="B13" s="223"/>
      <c r="C13" s="224"/>
      <c r="D13" s="205" t="s">
        <v>186</v>
      </c>
      <c r="E13" s="225"/>
      <c r="F13" s="226"/>
      <c r="G13" s="227">
        <f aca="true" t="shared" si="2" ref="G13:N13">G14</f>
        <v>13667.500000000005</v>
      </c>
      <c r="H13" s="757">
        <f>H14</f>
        <v>213814.13</v>
      </c>
      <c r="I13" s="396">
        <f t="shared" si="2"/>
        <v>250089</v>
      </c>
      <c r="J13" s="228">
        <f>J14</f>
        <v>239750</v>
      </c>
      <c r="K13" s="511">
        <f t="shared" si="2"/>
        <v>243760</v>
      </c>
      <c r="L13" s="757">
        <f t="shared" si="2"/>
        <v>247060</v>
      </c>
      <c r="M13" s="396">
        <f t="shared" si="2"/>
        <v>248720</v>
      </c>
      <c r="N13" s="228">
        <f t="shared" si="2"/>
        <v>248720</v>
      </c>
    </row>
    <row r="14" spans="1:14" ht="12.75">
      <c r="A14" s="203">
        <f t="shared" si="0"/>
        <v>8</v>
      </c>
      <c r="B14" s="229"/>
      <c r="C14" s="230" t="s">
        <v>193</v>
      </c>
      <c r="D14" s="231" t="s">
        <v>194</v>
      </c>
      <c r="E14" s="232"/>
      <c r="F14" s="233"/>
      <c r="G14" s="234">
        <f>SUM(G15:G36)</f>
        <v>13667.500000000005</v>
      </c>
      <c r="H14" s="758">
        <f aca="true" t="shared" si="3" ref="H14:N14">SUM(H15:H23)</f>
        <v>213814.13</v>
      </c>
      <c r="I14" s="429">
        <f t="shared" si="3"/>
        <v>250089</v>
      </c>
      <c r="J14" s="235">
        <f t="shared" si="3"/>
        <v>239750</v>
      </c>
      <c r="K14" s="350">
        <f t="shared" si="3"/>
        <v>243760</v>
      </c>
      <c r="L14" s="758">
        <f t="shared" si="3"/>
        <v>247060</v>
      </c>
      <c r="M14" s="429">
        <f t="shared" si="3"/>
        <v>248720</v>
      </c>
      <c r="N14" s="235">
        <f t="shared" si="3"/>
        <v>248720</v>
      </c>
    </row>
    <row r="15" spans="1:14" ht="12.75">
      <c r="A15" s="203">
        <f t="shared" si="0"/>
        <v>9</v>
      </c>
      <c r="B15" s="236"/>
      <c r="C15" s="237" t="s">
        <v>195</v>
      </c>
      <c r="D15" s="238">
        <v>1</v>
      </c>
      <c r="E15" s="239" t="s">
        <v>196</v>
      </c>
      <c r="F15" s="240"/>
      <c r="G15" s="241">
        <f aca="true" t="shared" si="4" ref="G15:G23">ROUND(M15/30.126,1)</f>
        <v>3551.7</v>
      </c>
      <c r="H15" s="759">
        <f>výdavky!D8+výdavky!D9</f>
        <v>81159</v>
      </c>
      <c r="I15" s="397">
        <f>výdavky!E8+výdavky!E9</f>
        <v>90000</v>
      </c>
      <c r="J15" s="242">
        <f>výdavky!F8+výdavky!F9</f>
        <v>95000</v>
      </c>
      <c r="K15" s="750">
        <f>výdavky!G8+výdavky!G9</f>
        <v>96000</v>
      </c>
      <c r="L15" s="759">
        <f>výdavky!H8+výdavky!H9</f>
        <v>105500</v>
      </c>
      <c r="M15" s="397">
        <f>výdavky!I8</f>
        <v>107000</v>
      </c>
      <c r="N15" s="242">
        <f>výdavky!J8</f>
        <v>107000</v>
      </c>
    </row>
    <row r="16" spans="1:14" ht="12.75">
      <c r="A16" s="203">
        <f t="shared" si="0"/>
        <v>10</v>
      </c>
      <c r="B16" s="236"/>
      <c r="C16" s="237" t="s">
        <v>197</v>
      </c>
      <c r="D16" s="243">
        <f aca="true" t="shared" si="5" ref="D16:D23">D15+1</f>
        <v>2</v>
      </c>
      <c r="E16" s="244" t="s">
        <v>198</v>
      </c>
      <c r="F16" s="245"/>
      <c r="G16" s="246">
        <f t="shared" si="4"/>
        <v>1347.7</v>
      </c>
      <c r="H16" s="760">
        <f>výdavky!D12</f>
        <v>30609</v>
      </c>
      <c r="I16" s="398">
        <f>výdavky!E12+výdavky!E75</f>
        <v>35500</v>
      </c>
      <c r="J16" s="247">
        <f>výdavky!F12</f>
        <v>35000</v>
      </c>
      <c r="K16" s="516">
        <f>výdavky!G12</f>
        <v>34350</v>
      </c>
      <c r="L16" s="760">
        <f>výdavky!H12</f>
        <v>39340</v>
      </c>
      <c r="M16" s="398">
        <f>výdavky!I12</f>
        <v>40600</v>
      </c>
      <c r="N16" s="247">
        <f>výdavky!J12</f>
        <v>40600</v>
      </c>
    </row>
    <row r="17" spans="1:14" ht="12.75">
      <c r="A17" s="203">
        <f t="shared" si="0"/>
        <v>11</v>
      </c>
      <c r="B17" s="236"/>
      <c r="C17" s="237" t="s">
        <v>199</v>
      </c>
      <c r="D17" s="238">
        <f t="shared" si="5"/>
        <v>3</v>
      </c>
      <c r="E17" s="239" t="s">
        <v>200</v>
      </c>
      <c r="F17" s="240"/>
      <c r="G17" s="241">
        <f t="shared" si="4"/>
        <v>6.6</v>
      </c>
      <c r="H17" s="759">
        <f>výdavky!D14</f>
        <v>187</v>
      </c>
      <c r="I17" s="397">
        <f>výdavky!E14</f>
        <v>200</v>
      </c>
      <c r="J17" s="242">
        <f>výdavky!F14</f>
        <v>200</v>
      </c>
      <c r="K17" s="750">
        <f>výdavky!G14</f>
        <v>200</v>
      </c>
      <c r="L17" s="759">
        <f>výdavky!H14</f>
        <v>200</v>
      </c>
      <c r="M17" s="397">
        <f>výdavky!I14</f>
        <v>200</v>
      </c>
      <c r="N17" s="242">
        <f>výdavky!J14</f>
        <v>200</v>
      </c>
    </row>
    <row r="18" spans="1:14" ht="12.75">
      <c r="A18" s="203">
        <f t="shared" si="0"/>
        <v>12</v>
      </c>
      <c r="B18" s="236"/>
      <c r="C18" s="237" t="s">
        <v>201</v>
      </c>
      <c r="D18" s="243">
        <f t="shared" si="5"/>
        <v>4</v>
      </c>
      <c r="E18" s="248" t="s">
        <v>202</v>
      </c>
      <c r="F18" s="249"/>
      <c r="G18" s="246">
        <f t="shared" si="4"/>
        <v>512.8</v>
      </c>
      <c r="H18" s="760">
        <f>výdavky!D15</f>
        <v>12967</v>
      </c>
      <c r="I18" s="398">
        <f>výdavky!E15</f>
        <v>15200</v>
      </c>
      <c r="J18" s="247">
        <f>výdavky!F15</f>
        <v>16000</v>
      </c>
      <c r="K18" s="516">
        <f>výdavky!G15</f>
        <v>12153</v>
      </c>
      <c r="L18" s="760">
        <f>výdavky!H15</f>
        <v>15450</v>
      </c>
      <c r="M18" s="398">
        <f>výdavky!I15</f>
        <v>15450</v>
      </c>
      <c r="N18" s="247">
        <f>výdavky!J15</f>
        <v>15450</v>
      </c>
    </row>
    <row r="19" spans="1:14" ht="12.75">
      <c r="A19" s="203">
        <f t="shared" si="0"/>
        <v>13</v>
      </c>
      <c r="B19" s="236"/>
      <c r="C19" s="237" t="s">
        <v>203</v>
      </c>
      <c r="D19" s="243">
        <f t="shared" si="5"/>
        <v>5</v>
      </c>
      <c r="E19" s="239" t="s">
        <v>204</v>
      </c>
      <c r="F19" s="240"/>
      <c r="G19" s="241">
        <f t="shared" si="4"/>
        <v>853.1</v>
      </c>
      <c r="H19" s="759">
        <f>výdavky!D17</f>
        <v>24062.45</v>
      </c>
      <c r="I19" s="397">
        <f>výdavky!E17</f>
        <v>34684</v>
      </c>
      <c r="J19" s="242">
        <f>výdavky!F17</f>
        <v>26700</v>
      </c>
      <c r="K19" s="750">
        <f>výdavky!G17</f>
        <v>33735</v>
      </c>
      <c r="L19" s="759">
        <f>výdavky!H17</f>
        <v>26800</v>
      </c>
      <c r="M19" s="397">
        <f>výdavky!I17</f>
        <v>25700</v>
      </c>
      <c r="N19" s="242">
        <f>výdavky!J17</f>
        <v>25700</v>
      </c>
    </row>
    <row r="20" spans="1:14" ht="12.75">
      <c r="A20" s="203">
        <f t="shared" si="0"/>
        <v>14</v>
      </c>
      <c r="B20" s="236"/>
      <c r="C20" s="237" t="s">
        <v>205</v>
      </c>
      <c r="D20" s="238">
        <f t="shared" si="5"/>
        <v>6</v>
      </c>
      <c r="E20" s="250" t="s">
        <v>206</v>
      </c>
      <c r="F20" s="251"/>
      <c r="G20" s="252">
        <f t="shared" si="4"/>
        <v>426.5</v>
      </c>
      <c r="H20" s="763">
        <f>výdavky!D30</f>
        <v>13924.939999999999</v>
      </c>
      <c r="I20" s="439">
        <f>výdavky!E30</f>
        <v>14402</v>
      </c>
      <c r="J20" s="253">
        <f>výdavky!F30</f>
        <v>12650</v>
      </c>
      <c r="K20" s="752">
        <f>výdavky!G30</f>
        <v>15535</v>
      </c>
      <c r="L20" s="763">
        <f>výdavky!H30</f>
        <v>12850</v>
      </c>
      <c r="M20" s="439">
        <f>výdavky!I30</f>
        <v>12850</v>
      </c>
      <c r="N20" s="253">
        <f>výdavky!J30</f>
        <v>12850</v>
      </c>
    </row>
    <row r="21" spans="1:14" ht="12.75">
      <c r="A21" s="203">
        <f t="shared" si="0"/>
        <v>15</v>
      </c>
      <c r="B21" s="236"/>
      <c r="C21" s="237" t="s">
        <v>207</v>
      </c>
      <c r="D21" s="243">
        <f t="shared" si="5"/>
        <v>7</v>
      </c>
      <c r="E21" s="248" t="s">
        <v>208</v>
      </c>
      <c r="F21" s="249"/>
      <c r="G21" s="246">
        <f t="shared" si="4"/>
        <v>73</v>
      </c>
      <c r="H21" s="760">
        <f>výdavky!D37</f>
        <v>3337.91</v>
      </c>
      <c r="I21" s="398">
        <f>výdavky!E37</f>
        <v>3200</v>
      </c>
      <c r="J21" s="247">
        <f>výdavky!F37</f>
        <v>2200</v>
      </c>
      <c r="K21" s="516">
        <f>výdavky!G37</f>
        <v>200</v>
      </c>
      <c r="L21" s="760">
        <f>výdavky!H37</f>
        <v>2200</v>
      </c>
      <c r="M21" s="398">
        <f>výdavky!I37</f>
        <v>2200</v>
      </c>
      <c r="N21" s="247">
        <f>výdavky!J37</f>
        <v>2200</v>
      </c>
    </row>
    <row r="22" spans="1:14" ht="12.75">
      <c r="A22" s="203">
        <f t="shared" si="0"/>
        <v>16</v>
      </c>
      <c r="B22" s="236"/>
      <c r="C22" s="237" t="s">
        <v>209</v>
      </c>
      <c r="D22" s="243">
        <f t="shared" si="5"/>
        <v>8</v>
      </c>
      <c r="E22" s="248" t="s">
        <v>210</v>
      </c>
      <c r="F22" s="249"/>
      <c r="G22" s="246">
        <f t="shared" si="4"/>
        <v>7.3</v>
      </c>
      <c r="H22" s="760">
        <f>výdavky!D41</f>
        <v>20</v>
      </c>
      <c r="I22" s="398">
        <f>výdavky!E41</f>
        <v>100</v>
      </c>
      <c r="J22" s="247">
        <f>výdavky!F41</f>
        <v>700</v>
      </c>
      <c r="K22" s="516">
        <f>výdavky!G41</f>
        <v>20</v>
      </c>
      <c r="L22" s="760">
        <f>výdavky!H41</f>
        <v>220</v>
      </c>
      <c r="M22" s="398">
        <f>výdavky!I41</f>
        <v>220</v>
      </c>
      <c r="N22" s="247">
        <f>výdavky!J41</f>
        <v>220</v>
      </c>
    </row>
    <row r="23" spans="1:14" ht="12.75">
      <c r="A23" s="203">
        <f t="shared" si="0"/>
        <v>17</v>
      </c>
      <c r="B23" s="236"/>
      <c r="C23" s="237" t="s">
        <v>211</v>
      </c>
      <c r="D23" s="243">
        <f t="shared" si="5"/>
        <v>9</v>
      </c>
      <c r="E23" s="248" t="s">
        <v>212</v>
      </c>
      <c r="F23" s="249"/>
      <c r="G23" s="246">
        <f t="shared" si="4"/>
        <v>1477.1</v>
      </c>
      <c r="H23" s="760">
        <f>výdavky!D49</f>
        <v>47546.83</v>
      </c>
      <c r="I23" s="398">
        <f>výdavky!E49</f>
        <v>56803</v>
      </c>
      <c r="J23" s="247">
        <f>výdavky!F49+výdavky!F70</f>
        <v>51300</v>
      </c>
      <c r="K23" s="516">
        <f>výdavky!G49</f>
        <v>51567</v>
      </c>
      <c r="L23" s="760">
        <f>výdavky!H49+výdavky!H70</f>
        <v>44500</v>
      </c>
      <c r="M23" s="398">
        <f>výdavky!I49+výdavky!I70</f>
        <v>44500</v>
      </c>
      <c r="N23" s="247">
        <f>výdavky!J49+výdavky!J70</f>
        <v>44500</v>
      </c>
    </row>
    <row r="24" spans="1:14" ht="12.75">
      <c r="A24" s="203">
        <v>18</v>
      </c>
      <c r="B24" s="229"/>
      <c r="C24" s="237"/>
      <c r="D24" s="920" t="s">
        <v>188</v>
      </c>
      <c r="E24" s="921"/>
      <c r="F24" s="922"/>
      <c r="G24" s="923">
        <f aca="true" t="shared" si="6" ref="G24:N24">G25</f>
        <v>1405.6000000000001</v>
      </c>
      <c r="H24" s="1182">
        <f>H25</f>
        <v>0</v>
      </c>
      <c r="I24" s="979">
        <f t="shared" si="6"/>
        <v>558</v>
      </c>
      <c r="J24" s="924">
        <f>J25</f>
        <v>0</v>
      </c>
      <c r="K24" s="1199">
        <f t="shared" si="6"/>
        <v>390</v>
      </c>
      <c r="L24" s="1182">
        <f t="shared" si="6"/>
        <v>0</v>
      </c>
      <c r="M24" s="979">
        <f t="shared" si="6"/>
        <v>0</v>
      </c>
      <c r="N24" s="924">
        <f t="shared" si="6"/>
        <v>0</v>
      </c>
    </row>
    <row r="25" spans="1:14" ht="12.75">
      <c r="A25" s="203">
        <f>A24+1</f>
        <v>19</v>
      </c>
      <c r="B25" s="236"/>
      <c r="C25" s="230" t="s">
        <v>193</v>
      </c>
      <c r="D25" s="231" t="s">
        <v>194</v>
      </c>
      <c r="E25" s="232"/>
      <c r="F25" s="233"/>
      <c r="G25" s="234">
        <f>SUM(G26:G28)</f>
        <v>1405.6000000000001</v>
      </c>
      <c r="H25" s="1157">
        <f>H26</f>
        <v>0</v>
      </c>
      <c r="I25" s="429">
        <f>SUM(I26:I26)</f>
        <v>558</v>
      </c>
      <c r="J25" s="235">
        <f>J26</f>
        <v>0</v>
      </c>
      <c r="K25" s="350">
        <f>SUM(K26:K26)</f>
        <v>390</v>
      </c>
      <c r="L25" s="758">
        <f>SUM(L26:L26)</f>
        <v>0</v>
      </c>
      <c r="M25" s="429">
        <f>SUM(M26:M26)</f>
        <v>0</v>
      </c>
      <c r="N25" s="235">
        <f>SUM(N26:N26)</f>
        <v>0</v>
      </c>
    </row>
    <row r="26" spans="1:14" ht="12.75">
      <c r="A26" s="203">
        <f>A25+1</f>
        <v>20</v>
      </c>
      <c r="B26" s="229"/>
      <c r="C26" s="237" t="s">
        <v>213</v>
      </c>
      <c r="D26" s="243">
        <v>1</v>
      </c>
      <c r="E26" s="248" t="s">
        <v>214</v>
      </c>
      <c r="F26" s="254"/>
      <c r="G26" s="255">
        <v>18.2</v>
      </c>
      <c r="H26" s="760">
        <f>výdavky!D620</f>
        <v>0</v>
      </c>
      <c r="I26" s="398">
        <f>výdavky!E621</f>
        <v>558</v>
      </c>
      <c r="J26" s="247">
        <f>výdavky!F620</f>
        <v>0</v>
      </c>
      <c r="K26" s="516">
        <f>výdavky!G621</f>
        <v>390</v>
      </c>
      <c r="L26" s="760">
        <f>výdavky!H621</f>
        <v>0</v>
      </c>
      <c r="M26" s="398">
        <f>výdavky!I621</f>
        <v>0</v>
      </c>
      <c r="N26" s="247">
        <f>výdavky!J621</f>
        <v>0</v>
      </c>
    </row>
    <row r="27" spans="1:14" ht="12.75">
      <c r="A27" s="203">
        <v>21</v>
      </c>
      <c r="B27" s="256"/>
      <c r="C27" s="216" t="s">
        <v>215</v>
      </c>
      <c r="D27" s="217" t="s">
        <v>216</v>
      </c>
      <c r="E27" s="257"/>
      <c r="F27" s="258"/>
      <c r="G27" s="259">
        <f>G29</f>
        <v>693.7</v>
      </c>
      <c r="H27" s="1183">
        <f>H29</f>
        <v>13165</v>
      </c>
      <c r="I27" s="980">
        <f aca="true" t="shared" si="7" ref="I27:N28">I28</f>
        <v>15486</v>
      </c>
      <c r="J27" s="260">
        <f>J28</f>
        <v>15200</v>
      </c>
      <c r="K27" s="1200">
        <f t="shared" si="7"/>
        <v>15874</v>
      </c>
      <c r="L27" s="1183">
        <f t="shared" si="7"/>
        <v>16360</v>
      </c>
      <c r="M27" s="980">
        <f t="shared" si="7"/>
        <v>16875</v>
      </c>
      <c r="N27" s="260">
        <f t="shared" si="7"/>
        <v>16875</v>
      </c>
    </row>
    <row r="28" spans="1:14" s="262" customFormat="1" ht="12.75">
      <c r="A28" s="203">
        <f>A27+1</f>
        <v>22</v>
      </c>
      <c r="B28" s="261"/>
      <c r="C28" s="224"/>
      <c r="D28" s="206" t="s">
        <v>186</v>
      </c>
      <c r="E28" s="225"/>
      <c r="F28" s="226"/>
      <c r="G28" s="227">
        <f>G29</f>
        <v>693.7</v>
      </c>
      <c r="H28" s="757">
        <f>H29</f>
        <v>13165</v>
      </c>
      <c r="I28" s="396">
        <f t="shared" si="7"/>
        <v>15486</v>
      </c>
      <c r="J28" s="228">
        <f>J29</f>
        <v>15200</v>
      </c>
      <c r="K28" s="511">
        <f t="shared" si="7"/>
        <v>15874</v>
      </c>
      <c r="L28" s="757">
        <f t="shared" si="7"/>
        <v>16360</v>
      </c>
      <c r="M28" s="396">
        <f t="shared" si="7"/>
        <v>16875</v>
      </c>
      <c r="N28" s="228">
        <f t="shared" si="7"/>
        <v>16875</v>
      </c>
    </row>
    <row r="29" spans="1:14" s="262" customFormat="1" ht="12.75">
      <c r="A29" s="203">
        <f>A28+1</f>
        <v>23</v>
      </c>
      <c r="B29" s="261"/>
      <c r="C29" s="263" t="s">
        <v>193</v>
      </c>
      <c r="D29" s="264" t="s">
        <v>194</v>
      </c>
      <c r="E29" s="232"/>
      <c r="F29" s="265"/>
      <c r="G29" s="266">
        <f>SUM(G34:G37)</f>
        <v>693.7</v>
      </c>
      <c r="H29" s="758">
        <f>SUM(H30:H34)</f>
        <v>13165</v>
      </c>
      <c r="I29" s="429">
        <f>SUM(I30,I31,I32,I33,I34)</f>
        <v>15486</v>
      </c>
      <c r="J29" s="235">
        <f>SUM(J30:J34)</f>
        <v>15200</v>
      </c>
      <c r="K29" s="350">
        <f>SUM(K30,K31,K32,K33,K34)</f>
        <v>15874</v>
      </c>
      <c r="L29" s="758">
        <f>SUM(L30,L31,L32,L33,L34)</f>
        <v>16360</v>
      </c>
      <c r="M29" s="429">
        <f>SUM(M30,M31,M32,M33,M34)</f>
        <v>16875</v>
      </c>
      <c r="N29" s="235">
        <f>SUM(N30,N31,N32,N33,N34)</f>
        <v>16875</v>
      </c>
    </row>
    <row r="30" spans="1:14" s="262" customFormat="1" ht="12.75">
      <c r="A30" s="203">
        <v>24</v>
      </c>
      <c r="B30" s="261"/>
      <c r="C30" s="267" t="s">
        <v>195</v>
      </c>
      <c r="D30" s="268">
        <v>1</v>
      </c>
      <c r="E30" s="269" t="s">
        <v>196</v>
      </c>
      <c r="F30" s="270" t="s">
        <v>217</v>
      </c>
      <c r="G30" s="271"/>
      <c r="H30" s="759">
        <f>výdavky!D80</f>
        <v>7102</v>
      </c>
      <c r="I30" s="397">
        <f>výdavky!E80</f>
        <v>7350</v>
      </c>
      <c r="J30" s="242">
        <f>výdavky!F80</f>
        <v>8000</v>
      </c>
      <c r="K30" s="750">
        <f>výdavky!G80</f>
        <v>8506</v>
      </c>
      <c r="L30" s="759">
        <f>výdavky!H80</f>
        <v>8800</v>
      </c>
      <c r="M30" s="397">
        <f>výdavky!I80</f>
        <v>9000</v>
      </c>
      <c r="N30" s="242">
        <f>výdavky!J80</f>
        <v>9000</v>
      </c>
    </row>
    <row r="31" spans="1:14" s="262" customFormat="1" ht="12.75">
      <c r="A31" s="203">
        <v>25</v>
      </c>
      <c r="B31" s="261"/>
      <c r="C31" s="267" t="s">
        <v>197</v>
      </c>
      <c r="D31" s="272">
        <v>2</v>
      </c>
      <c r="E31" s="273" t="s">
        <v>198</v>
      </c>
      <c r="F31" s="274" t="s">
        <v>217</v>
      </c>
      <c r="G31" s="275"/>
      <c r="H31" s="760">
        <f>výdavky!D81</f>
        <v>2711</v>
      </c>
      <c r="I31" s="398">
        <f>výdavky!E81</f>
        <v>2890</v>
      </c>
      <c r="J31" s="247">
        <f>výdavky!F81</f>
        <v>2800</v>
      </c>
      <c r="K31" s="516">
        <f>výdavky!G81</f>
        <v>3363</v>
      </c>
      <c r="L31" s="760">
        <f>výdavky!H81</f>
        <v>3160</v>
      </c>
      <c r="M31" s="398">
        <f>výdavky!I81</f>
        <v>3475</v>
      </c>
      <c r="N31" s="247">
        <f>výdavky!J81</f>
        <v>3475</v>
      </c>
    </row>
    <row r="32" spans="1:14" s="262" customFormat="1" ht="12.75">
      <c r="A32" s="203">
        <v>26</v>
      </c>
      <c r="B32" s="261"/>
      <c r="C32" s="267" t="s">
        <v>211</v>
      </c>
      <c r="D32" s="268">
        <v>3</v>
      </c>
      <c r="E32" s="269" t="s">
        <v>212</v>
      </c>
      <c r="F32" s="270" t="s">
        <v>217</v>
      </c>
      <c r="G32" s="271"/>
      <c r="H32" s="759">
        <f>výdavky!D84</f>
        <v>457</v>
      </c>
      <c r="I32" s="397">
        <f>výdavky!E84</f>
        <v>1246</v>
      </c>
      <c r="J32" s="242">
        <f>výdavky!F84</f>
        <v>500</v>
      </c>
      <c r="K32" s="750">
        <f>výdavky!G84</f>
        <v>205</v>
      </c>
      <c r="L32" s="759">
        <f>výdavky!H84</f>
        <v>500</v>
      </c>
      <c r="M32" s="397">
        <f>výdavky!I84</f>
        <v>500</v>
      </c>
      <c r="N32" s="242">
        <f>výdavky!J84</f>
        <v>500</v>
      </c>
    </row>
    <row r="33" spans="1:14" s="262" customFormat="1" ht="12.75">
      <c r="A33" s="203">
        <v>27</v>
      </c>
      <c r="B33" s="261"/>
      <c r="C33" s="267" t="s">
        <v>211</v>
      </c>
      <c r="D33" s="272">
        <v>4</v>
      </c>
      <c r="E33" s="273" t="s">
        <v>526</v>
      </c>
      <c r="F33" s="276"/>
      <c r="G33" s="275"/>
      <c r="H33" s="760">
        <f>výdavky!D82</f>
        <v>406</v>
      </c>
      <c r="I33" s="398">
        <f>výdavky!E82</f>
        <v>400</v>
      </c>
      <c r="J33" s="247">
        <f>výdavky!F82</f>
        <v>400</v>
      </c>
      <c r="K33" s="516">
        <f>výdavky!G82</f>
        <v>300</v>
      </c>
      <c r="L33" s="760">
        <f>výdavky!H82</f>
        <v>400</v>
      </c>
      <c r="M33" s="398">
        <f>výdavky!I82</f>
        <v>400</v>
      </c>
      <c r="N33" s="247">
        <f>výdavky!J82</f>
        <v>400</v>
      </c>
    </row>
    <row r="34" spans="1:14" s="262" customFormat="1" ht="12.75">
      <c r="A34" s="203">
        <v>28</v>
      </c>
      <c r="B34" s="261"/>
      <c r="C34" s="267" t="s">
        <v>211</v>
      </c>
      <c r="D34" s="243">
        <v>5</v>
      </c>
      <c r="E34" s="273" t="s">
        <v>218</v>
      </c>
      <c r="F34" s="276"/>
      <c r="G34" s="277">
        <f>ROUND(M34/30.126,1)</f>
        <v>116.2</v>
      </c>
      <c r="H34" s="835">
        <f>výdavky!D85</f>
        <v>2489</v>
      </c>
      <c r="I34" s="981">
        <f>výdavky!E85+výdavky!E74</f>
        <v>3600</v>
      </c>
      <c r="J34" s="278">
        <f>výdavky!F85+výdavky!F74</f>
        <v>3500</v>
      </c>
      <c r="K34" s="1201">
        <f>výdavky!G85</f>
        <v>3500</v>
      </c>
      <c r="L34" s="835">
        <f>výdavky!H85</f>
        <v>3500</v>
      </c>
      <c r="M34" s="981">
        <f>výdavky!I85</f>
        <v>3500</v>
      </c>
      <c r="N34" s="278">
        <f>výdavky!J85</f>
        <v>3500</v>
      </c>
    </row>
    <row r="35" spans="1:14" ht="12.75">
      <c r="A35" s="203">
        <f aca="true" t="shared" si="8" ref="A35:A52">A34+1</f>
        <v>29</v>
      </c>
      <c r="B35" s="208">
        <v>2</v>
      </c>
      <c r="C35" s="209" t="s">
        <v>219</v>
      </c>
      <c r="D35" s="210"/>
      <c r="E35" s="210"/>
      <c r="F35" s="211"/>
      <c r="G35" s="212">
        <f>G37</f>
        <v>192.5</v>
      </c>
      <c r="H35" s="756">
        <f>H36</f>
        <v>5288.06</v>
      </c>
      <c r="I35" s="399">
        <f aca="true" t="shared" si="9" ref="I35:N36">I36</f>
        <v>10417</v>
      </c>
      <c r="J35" s="214">
        <f>J36</f>
        <v>5000</v>
      </c>
      <c r="K35" s="509">
        <f t="shared" si="9"/>
        <v>7660</v>
      </c>
      <c r="L35" s="756">
        <f t="shared" si="9"/>
        <v>5800</v>
      </c>
      <c r="M35" s="399">
        <f t="shared" si="9"/>
        <v>5800</v>
      </c>
      <c r="N35" s="214">
        <f t="shared" si="9"/>
        <v>5800</v>
      </c>
    </row>
    <row r="36" spans="1:14" ht="12.75">
      <c r="A36" s="203">
        <f t="shared" si="8"/>
        <v>30</v>
      </c>
      <c r="B36" s="223"/>
      <c r="C36" s="224"/>
      <c r="D36" s="205" t="s">
        <v>186</v>
      </c>
      <c r="E36" s="225"/>
      <c r="F36" s="226"/>
      <c r="G36" s="227">
        <f>G37</f>
        <v>192.5</v>
      </c>
      <c r="H36" s="757">
        <f>H37</f>
        <v>5288.06</v>
      </c>
      <c r="I36" s="396">
        <f t="shared" si="9"/>
        <v>10417</v>
      </c>
      <c r="J36" s="228">
        <f>J37</f>
        <v>5000</v>
      </c>
      <c r="K36" s="511">
        <f t="shared" si="9"/>
        <v>7660</v>
      </c>
      <c r="L36" s="757">
        <f t="shared" si="9"/>
        <v>5800</v>
      </c>
      <c r="M36" s="396">
        <f t="shared" si="9"/>
        <v>5800</v>
      </c>
      <c r="N36" s="228">
        <f t="shared" si="9"/>
        <v>5800</v>
      </c>
    </row>
    <row r="37" spans="1:14" ht="12.75">
      <c r="A37" s="203">
        <f t="shared" si="8"/>
        <v>31</v>
      </c>
      <c r="B37" s="256"/>
      <c r="C37" s="263" t="s">
        <v>193</v>
      </c>
      <c r="D37" s="264" t="s">
        <v>194</v>
      </c>
      <c r="E37" s="232"/>
      <c r="F37" s="233"/>
      <c r="G37" s="279">
        <f>SUM(G38)</f>
        <v>192.5</v>
      </c>
      <c r="H37" s="762">
        <f>H38+H39</f>
        <v>5288.06</v>
      </c>
      <c r="I37" s="982">
        <f>SUM(I38:I39)</f>
        <v>10417</v>
      </c>
      <c r="J37" s="280">
        <f>J38+J39</f>
        <v>5000</v>
      </c>
      <c r="K37" s="751">
        <f>SUM(K38:K39)</f>
        <v>7660</v>
      </c>
      <c r="L37" s="762">
        <f>SUM(L38:L39)</f>
        <v>5800</v>
      </c>
      <c r="M37" s="982">
        <f>SUM(M38:M39)</f>
        <v>5800</v>
      </c>
      <c r="N37" s="280">
        <f>SUM(N38:N39)</f>
        <v>5800</v>
      </c>
    </row>
    <row r="38" spans="1:14" ht="12.75">
      <c r="A38" s="203">
        <f t="shared" si="8"/>
        <v>32</v>
      </c>
      <c r="B38" s="261"/>
      <c r="C38" s="267" t="s">
        <v>220</v>
      </c>
      <c r="D38" s="281" t="s">
        <v>221</v>
      </c>
      <c r="E38" s="239" t="s">
        <v>222</v>
      </c>
      <c r="F38" s="282"/>
      <c r="G38" s="283">
        <f>ROUND(M38/30.126,1)</f>
        <v>192.5</v>
      </c>
      <c r="H38" s="1170">
        <f>výdavky!D73</f>
        <v>5288.06</v>
      </c>
      <c r="I38" s="983">
        <f>výdavky!E73</f>
        <v>10417</v>
      </c>
      <c r="J38" s="284">
        <f>výdavky!F73</f>
        <v>5000</v>
      </c>
      <c r="K38" s="1202">
        <f>výdavky!G73</f>
        <v>7660</v>
      </c>
      <c r="L38" s="1170">
        <f>výdavky!H73</f>
        <v>5800</v>
      </c>
      <c r="M38" s="983">
        <f>výdavky!I73</f>
        <v>5800</v>
      </c>
      <c r="N38" s="284">
        <f>výdavky!J73</f>
        <v>5800</v>
      </c>
    </row>
    <row r="39" spans="1:14" ht="12.75">
      <c r="A39" s="203">
        <f t="shared" si="8"/>
        <v>33</v>
      </c>
      <c r="B39" s="261"/>
      <c r="C39" s="285" t="s">
        <v>220</v>
      </c>
      <c r="D39" s="286" t="s">
        <v>223</v>
      </c>
      <c r="E39" s="248" t="s">
        <v>224</v>
      </c>
      <c r="F39" s="254"/>
      <c r="G39" s="277"/>
      <c r="H39" s="835">
        <f>výdavky!D71+výdavky!D72</f>
        <v>0</v>
      </c>
      <c r="I39" s="981">
        <f>SUM(výdavky!E71)+výdavky!E72</f>
        <v>0</v>
      </c>
      <c r="J39" s="278">
        <f>výdavky!F71+výdavky!F72</f>
        <v>0</v>
      </c>
      <c r="K39" s="1201">
        <f>výdavky!G71+výdavky!G72</f>
        <v>0</v>
      </c>
      <c r="L39" s="835">
        <f>výdavky!H71+výdavky!H72</f>
        <v>0</v>
      </c>
      <c r="M39" s="981">
        <f>výdavky!I71+výdavky!I72</f>
        <v>0</v>
      </c>
      <c r="N39" s="278">
        <f>výdavky!J71+výdavky!J72</f>
        <v>0</v>
      </c>
    </row>
    <row r="40" spans="1:14" ht="12.75">
      <c r="A40" s="203">
        <f t="shared" si="8"/>
        <v>34</v>
      </c>
      <c r="B40" s="208">
        <v>3</v>
      </c>
      <c r="C40" s="209" t="s">
        <v>225</v>
      </c>
      <c r="D40" s="210"/>
      <c r="E40" s="210"/>
      <c r="F40" s="211"/>
      <c r="G40" s="212">
        <f>G42</f>
        <v>265.6</v>
      </c>
      <c r="H40" s="756">
        <f>H41+H49</f>
        <v>42962.4</v>
      </c>
      <c r="I40" s="399">
        <f>SUM(I41+I49)</f>
        <v>17140</v>
      </c>
      <c r="J40" s="214">
        <f>J41+J49</f>
        <v>6851800</v>
      </c>
      <c r="K40" s="509">
        <f>SUM(K41+K49)</f>
        <v>5636525</v>
      </c>
      <c r="L40" s="1774">
        <f>SUM(L41+L49)</f>
        <v>3970909</v>
      </c>
      <c r="M40" s="1775">
        <f>SUM(M41+M49)</f>
        <v>13500</v>
      </c>
      <c r="N40" s="214">
        <f>SUM(N41+N49)</f>
        <v>91680</v>
      </c>
    </row>
    <row r="41" spans="1:14" ht="12.75">
      <c r="A41" s="203">
        <f t="shared" si="8"/>
        <v>35</v>
      </c>
      <c r="B41" s="223"/>
      <c r="C41" s="224"/>
      <c r="D41" s="205" t="s">
        <v>186</v>
      </c>
      <c r="E41" s="225"/>
      <c r="F41" s="226"/>
      <c r="G41" s="227">
        <f>G42</f>
        <v>265.6</v>
      </c>
      <c r="H41" s="757">
        <f>H42+H44</f>
        <v>2962.4</v>
      </c>
      <c r="I41" s="396">
        <f>SUM(I42+I44)</f>
        <v>7940</v>
      </c>
      <c r="J41" s="228">
        <f>J42+J44</f>
        <v>45000</v>
      </c>
      <c r="K41" s="511">
        <f>SUM(K42+K44)</f>
        <v>18000</v>
      </c>
      <c r="L41" s="757">
        <f>SUM(L42+L44)</f>
        <v>15500</v>
      </c>
      <c r="M41" s="396">
        <f>SUM(M42+M44)</f>
        <v>13500</v>
      </c>
      <c r="N41" s="228">
        <f>SUM(N42+N44)</f>
        <v>13500</v>
      </c>
    </row>
    <row r="42" spans="1:14" ht="12.75">
      <c r="A42" s="203">
        <f t="shared" si="8"/>
        <v>36</v>
      </c>
      <c r="B42" s="229"/>
      <c r="C42" s="230" t="s">
        <v>226</v>
      </c>
      <c r="D42" s="231" t="s">
        <v>227</v>
      </c>
      <c r="E42" s="232"/>
      <c r="F42" s="233"/>
      <c r="G42" s="234">
        <f>SUM(G43:G43)</f>
        <v>265.6</v>
      </c>
      <c r="H42" s="758">
        <f aca="true" t="shared" si="10" ref="H42:N42">H43</f>
        <v>371.42</v>
      </c>
      <c r="I42" s="429">
        <f t="shared" si="10"/>
        <v>3020</v>
      </c>
      <c r="J42" s="235">
        <f t="shared" si="10"/>
        <v>40000</v>
      </c>
      <c r="K42" s="350">
        <f t="shared" si="10"/>
        <v>13000</v>
      </c>
      <c r="L42" s="758">
        <f t="shared" si="10"/>
        <v>10000</v>
      </c>
      <c r="M42" s="429">
        <f t="shared" si="10"/>
        <v>8000</v>
      </c>
      <c r="N42" s="235">
        <f t="shared" si="10"/>
        <v>8000</v>
      </c>
    </row>
    <row r="43" spans="1:14" ht="12.75">
      <c r="A43" s="203">
        <f t="shared" si="8"/>
        <v>37</v>
      </c>
      <c r="B43" s="229"/>
      <c r="C43" s="287" t="s">
        <v>228</v>
      </c>
      <c r="D43" s="281" t="s">
        <v>221</v>
      </c>
      <c r="E43" s="269" t="s">
        <v>229</v>
      </c>
      <c r="F43" s="270"/>
      <c r="G43" s="288">
        <f>ROUND(M43/30.126,1)</f>
        <v>265.6</v>
      </c>
      <c r="H43" s="759">
        <f>výdavky!D77</f>
        <v>371.42</v>
      </c>
      <c r="I43" s="397">
        <f>výdavky!E77</f>
        <v>3020</v>
      </c>
      <c r="J43" s="242">
        <f>výdavky!F77</f>
        <v>40000</v>
      </c>
      <c r="K43" s="750">
        <f>výdavky!G77</f>
        <v>13000</v>
      </c>
      <c r="L43" s="759">
        <f>výdavky!H77</f>
        <v>10000</v>
      </c>
      <c r="M43" s="397">
        <f>výdavky!I77</f>
        <v>8000</v>
      </c>
      <c r="N43" s="242">
        <f>výdavky!J77</f>
        <v>8000</v>
      </c>
    </row>
    <row r="44" spans="1:14" ht="12.75">
      <c r="A44" s="203">
        <f t="shared" si="8"/>
        <v>38</v>
      </c>
      <c r="B44" s="229"/>
      <c r="C44" s="230" t="s">
        <v>230</v>
      </c>
      <c r="D44" s="231" t="s">
        <v>231</v>
      </c>
      <c r="E44" s="232"/>
      <c r="F44" s="233"/>
      <c r="G44" s="234">
        <f>SUM(G45:G45)</f>
        <v>0</v>
      </c>
      <c r="H44" s="1157">
        <f aca="true" t="shared" si="11" ref="H44:N44">SUM(H45:H48)</f>
        <v>2590.98</v>
      </c>
      <c r="I44" s="429">
        <f t="shared" si="11"/>
        <v>4920</v>
      </c>
      <c r="J44" s="235">
        <f t="shared" si="11"/>
        <v>5000</v>
      </c>
      <c r="K44" s="350">
        <f t="shared" si="11"/>
        <v>5000</v>
      </c>
      <c r="L44" s="758">
        <f t="shared" si="11"/>
        <v>5500</v>
      </c>
      <c r="M44" s="429">
        <f t="shared" si="11"/>
        <v>5500</v>
      </c>
      <c r="N44" s="235">
        <f t="shared" si="11"/>
        <v>5500</v>
      </c>
    </row>
    <row r="45" spans="1:14" ht="12.75">
      <c r="A45" s="203">
        <f t="shared" si="8"/>
        <v>39</v>
      </c>
      <c r="B45" s="229"/>
      <c r="C45" s="287" t="s">
        <v>232</v>
      </c>
      <c r="D45" s="281" t="s">
        <v>223</v>
      </c>
      <c r="E45" s="239" t="s">
        <v>233</v>
      </c>
      <c r="F45" s="282"/>
      <c r="G45" s="288">
        <f>ROUND(M45/30.126,1)</f>
        <v>0</v>
      </c>
      <c r="H45" s="759">
        <v>0</v>
      </c>
      <c r="I45" s="397">
        <v>0</v>
      </c>
      <c r="J45" s="242">
        <v>0</v>
      </c>
      <c r="K45" s="750">
        <v>0</v>
      </c>
      <c r="L45" s="759">
        <v>0</v>
      </c>
      <c r="M45" s="397">
        <v>0</v>
      </c>
      <c r="N45" s="242">
        <v>0</v>
      </c>
    </row>
    <row r="46" spans="1:14" ht="12.75">
      <c r="A46" s="203">
        <f t="shared" si="8"/>
        <v>40</v>
      </c>
      <c r="B46" s="229"/>
      <c r="C46" s="287" t="s">
        <v>232</v>
      </c>
      <c r="D46" s="286" t="s">
        <v>234</v>
      </c>
      <c r="E46" s="248" t="s">
        <v>235</v>
      </c>
      <c r="F46" s="254"/>
      <c r="G46" s="255">
        <f>ROUND(M46/30.126,1)</f>
        <v>182.6</v>
      </c>
      <c r="H46" s="760">
        <f>výdavky!D86</f>
        <v>2400</v>
      </c>
      <c r="I46" s="398">
        <f>SUM(výdavky!E86)</f>
        <v>4800</v>
      </c>
      <c r="J46" s="247">
        <f>výdavky!F86</f>
        <v>5000</v>
      </c>
      <c r="K46" s="516">
        <f>výdavky!G86</f>
        <v>5000</v>
      </c>
      <c r="L46" s="760">
        <f>výdavky!H86</f>
        <v>5500</v>
      </c>
      <c r="M46" s="398">
        <f>výdavky!I86</f>
        <v>5500</v>
      </c>
      <c r="N46" s="247">
        <f>výdavky!J86</f>
        <v>5500</v>
      </c>
    </row>
    <row r="47" spans="1:14" s="292" customFormat="1" ht="11.25">
      <c r="A47" s="203">
        <f t="shared" si="8"/>
        <v>41</v>
      </c>
      <c r="B47" s="289"/>
      <c r="C47" s="287" t="s">
        <v>232</v>
      </c>
      <c r="D47" s="281" t="s">
        <v>236</v>
      </c>
      <c r="E47" s="290" t="s">
        <v>237</v>
      </c>
      <c r="F47" s="289"/>
      <c r="G47" s="289"/>
      <c r="H47" s="1184">
        <v>0</v>
      </c>
      <c r="I47" s="412">
        <v>0</v>
      </c>
      <c r="J47" s="291">
        <v>0</v>
      </c>
      <c r="K47" s="1203">
        <v>0</v>
      </c>
      <c r="L47" s="989">
        <v>0</v>
      </c>
      <c r="M47" s="412">
        <v>0</v>
      </c>
      <c r="N47" s="291">
        <v>0</v>
      </c>
    </row>
    <row r="48" spans="1:14" s="292" customFormat="1" ht="11.25">
      <c r="A48" s="203">
        <f t="shared" si="8"/>
        <v>42</v>
      </c>
      <c r="B48" s="289"/>
      <c r="C48" s="287" t="s">
        <v>232</v>
      </c>
      <c r="D48" s="286" t="s">
        <v>238</v>
      </c>
      <c r="E48" s="293" t="s">
        <v>239</v>
      </c>
      <c r="F48" s="294"/>
      <c r="G48" s="294"/>
      <c r="H48" s="1162">
        <f>výdavky!D78</f>
        <v>190.98</v>
      </c>
      <c r="I48" s="995">
        <f>výdavky!E78</f>
        <v>120</v>
      </c>
      <c r="J48" s="949">
        <f>výdavky!F78</f>
        <v>0</v>
      </c>
      <c r="K48" s="1204">
        <f>výdavky!G78</f>
        <v>0</v>
      </c>
      <c r="L48" s="990">
        <f>výdavky!H78</f>
        <v>0</v>
      </c>
      <c r="M48" s="447">
        <f>výdavky!I78</f>
        <v>0</v>
      </c>
      <c r="N48" s="295">
        <f>výdavky!J78</f>
        <v>0</v>
      </c>
    </row>
    <row r="49" spans="1:14" ht="12.75">
      <c r="A49" s="203">
        <f t="shared" si="8"/>
        <v>43</v>
      </c>
      <c r="B49" s="229"/>
      <c r="C49" s="296"/>
      <c r="D49" s="932" t="s">
        <v>240</v>
      </c>
      <c r="E49" s="933"/>
      <c r="F49" s="934"/>
      <c r="G49" s="935" t="e">
        <f aca="true" t="shared" si="12" ref="G49:N49">G50</f>
        <v>#REF!</v>
      </c>
      <c r="H49" s="1177">
        <f>H50</f>
        <v>40000</v>
      </c>
      <c r="I49" s="984">
        <f t="shared" si="12"/>
        <v>9200</v>
      </c>
      <c r="J49" s="936">
        <f>J50</f>
        <v>6806800</v>
      </c>
      <c r="K49" s="1205">
        <f t="shared" si="12"/>
        <v>5618525</v>
      </c>
      <c r="L49" s="1177">
        <f t="shared" si="12"/>
        <v>3955409</v>
      </c>
      <c r="M49" s="984">
        <f t="shared" si="12"/>
        <v>0</v>
      </c>
      <c r="N49" s="936">
        <f t="shared" si="12"/>
        <v>78180</v>
      </c>
    </row>
    <row r="50" spans="1:14" ht="12.75">
      <c r="A50" s="203">
        <f t="shared" si="8"/>
        <v>44</v>
      </c>
      <c r="B50" s="229"/>
      <c r="C50" s="230" t="s">
        <v>193</v>
      </c>
      <c r="D50" s="231" t="s">
        <v>231</v>
      </c>
      <c r="E50" s="232"/>
      <c r="F50" s="233"/>
      <c r="G50" s="297" t="e">
        <f>SUM(#REF!)</f>
        <v>#REF!</v>
      </c>
      <c r="H50" s="1190">
        <f>H51+H52</f>
        <v>40000</v>
      </c>
      <c r="I50" s="985">
        <f>SUM(I51:I52)</f>
        <v>9200</v>
      </c>
      <c r="J50" s="298">
        <f>J51+J52</f>
        <v>6806800</v>
      </c>
      <c r="K50" s="515">
        <f>SUM(K51:K52)</f>
        <v>5618525</v>
      </c>
      <c r="L50" s="1190">
        <f>SUM(L51:L52)</f>
        <v>3955409</v>
      </c>
      <c r="M50" s="985">
        <f>SUM(M51:M52)</f>
        <v>0</v>
      </c>
      <c r="N50" s="298">
        <f>SUM(N51:N52)</f>
        <v>78180</v>
      </c>
    </row>
    <row r="51" spans="1:14" s="292" customFormat="1" ht="11.25">
      <c r="A51" s="203">
        <f t="shared" si="8"/>
        <v>45</v>
      </c>
      <c r="B51" s="229"/>
      <c r="C51" s="237" t="s">
        <v>241</v>
      </c>
      <c r="D51" s="281" t="s">
        <v>242</v>
      </c>
      <c r="E51" s="269" t="s">
        <v>721</v>
      </c>
      <c r="F51" s="299"/>
      <c r="G51" s="300"/>
      <c r="H51" s="1188">
        <f>výdavky!D713</f>
        <v>20000</v>
      </c>
      <c r="I51" s="986">
        <f>výdavky!E713+výdavky!E716</f>
        <v>9200</v>
      </c>
      <c r="J51" s="301">
        <f>výdavky!F713</f>
        <v>6800</v>
      </c>
      <c r="K51" s="1206">
        <f>výdavky!G713</f>
        <v>3200</v>
      </c>
      <c r="L51" s="1188">
        <f>výdavky!H713</f>
        <v>34600</v>
      </c>
      <c r="M51" s="986">
        <f>výdavky!I713</f>
        <v>0</v>
      </c>
      <c r="N51" s="301">
        <f>výdavky!J713</f>
        <v>0</v>
      </c>
    </row>
    <row r="52" spans="1:14" s="292" customFormat="1" ht="11.25">
      <c r="A52" s="203">
        <f t="shared" si="8"/>
        <v>46</v>
      </c>
      <c r="B52" s="229"/>
      <c r="C52" s="237" t="s">
        <v>243</v>
      </c>
      <c r="D52" s="286" t="s">
        <v>244</v>
      </c>
      <c r="E52" s="273" t="s">
        <v>245</v>
      </c>
      <c r="F52" s="276"/>
      <c r="G52" s="302"/>
      <c r="H52" s="1189">
        <f>výdavky!D718</f>
        <v>20000</v>
      </c>
      <c r="I52" s="987">
        <f>výdavky!E718</f>
        <v>0</v>
      </c>
      <c r="J52" s="303">
        <f>výdavky!F718+výdavky!F717</f>
        <v>6800000</v>
      </c>
      <c r="K52" s="1207">
        <f>výdavky!G717</f>
        <v>5615325</v>
      </c>
      <c r="L52" s="1189">
        <f>výdavky!H718+výdavky!H717</f>
        <v>3920809</v>
      </c>
      <c r="M52" s="987" t="str">
        <f>výdavky!I717</f>
        <v>78180</v>
      </c>
      <c r="N52" s="303">
        <f>výdavky!J717</f>
        <v>78180</v>
      </c>
    </row>
    <row r="53" spans="1:14" ht="12.75">
      <c r="A53" s="203">
        <v>43</v>
      </c>
      <c r="B53" s="304">
        <v>4</v>
      </c>
      <c r="C53" s="305" t="s">
        <v>246</v>
      </c>
      <c r="D53" s="210"/>
      <c r="E53" s="210"/>
      <c r="F53" s="211"/>
      <c r="G53" s="212">
        <f>SUM(G55)</f>
        <v>610.8000000000001</v>
      </c>
      <c r="H53" s="756">
        <f>H54</f>
        <v>13518.960000000001</v>
      </c>
      <c r="I53" s="399">
        <f>SUM(I54)</f>
        <v>20402</v>
      </c>
      <c r="J53" s="214">
        <f>J54</f>
        <v>15270</v>
      </c>
      <c r="K53" s="509">
        <f>SUM(K54)</f>
        <v>16585</v>
      </c>
      <c r="L53" s="756">
        <f>SUM(L54)</f>
        <v>18140</v>
      </c>
      <c r="M53" s="399">
        <f>SUM(M54)</f>
        <v>18400</v>
      </c>
      <c r="N53" s="214">
        <f>SUM(N54)</f>
        <v>18400</v>
      </c>
    </row>
    <row r="54" spans="1:14" ht="12.75">
      <c r="A54" s="203">
        <v>49</v>
      </c>
      <c r="B54" s="306"/>
      <c r="C54" s="296"/>
      <c r="D54" s="205" t="s">
        <v>186</v>
      </c>
      <c r="E54" s="225"/>
      <c r="F54" s="226"/>
      <c r="G54" s="227">
        <f aca="true" t="shared" si="13" ref="G54:N54">G55</f>
        <v>610.8000000000001</v>
      </c>
      <c r="H54" s="757">
        <f>H55</f>
        <v>13518.960000000001</v>
      </c>
      <c r="I54" s="396">
        <f t="shared" si="13"/>
        <v>20402</v>
      </c>
      <c r="J54" s="228">
        <f>J55</f>
        <v>15270</v>
      </c>
      <c r="K54" s="511">
        <f t="shared" si="13"/>
        <v>16585</v>
      </c>
      <c r="L54" s="757">
        <f t="shared" si="13"/>
        <v>18140</v>
      </c>
      <c r="M54" s="396">
        <f t="shared" si="13"/>
        <v>18400</v>
      </c>
      <c r="N54" s="228">
        <f t="shared" si="13"/>
        <v>18400</v>
      </c>
    </row>
    <row r="55" spans="1:14" ht="12.75">
      <c r="A55" s="203">
        <f aca="true" t="shared" si="14" ref="A55:A61">A54+1</f>
        <v>50</v>
      </c>
      <c r="B55" s="229"/>
      <c r="C55" s="307" t="s">
        <v>247</v>
      </c>
      <c r="D55" s="264" t="s">
        <v>248</v>
      </c>
      <c r="E55" s="232"/>
      <c r="F55" s="233"/>
      <c r="G55" s="266">
        <f>SUM(G56:G61)</f>
        <v>610.8000000000001</v>
      </c>
      <c r="H55" s="758">
        <f>SUM(H56:H61)</f>
        <v>13518.960000000001</v>
      </c>
      <c r="I55" s="429">
        <f>I56+I57+I58+I59+I60+I61</f>
        <v>20402</v>
      </c>
      <c r="J55" s="235">
        <f>SUM(J56:J61)</f>
        <v>15270</v>
      </c>
      <c r="K55" s="350">
        <f>SUM(K56:K61)</f>
        <v>16585</v>
      </c>
      <c r="L55" s="758">
        <f>SUM(L56:L61)</f>
        <v>18140</v>
      </c>
      <c r="M55" s="429">
        <f>SUM(M56:M61)</f>
        <v>18400</v>
      </c>
      <c r="N55" s="235">
        <f>SUM(N56:N61)</f>
        <v>18400</v>
      </c>
    </row>
    <row r="56" spans="1:14" ht="12.75">
      <c r="A56" s="203">
        <f t="shared" si="14"/>
        <v>51</v>
      </c>
      <c r="B56" s="229"/>
      <c r="C56" s="287" t="s">
        <v>195</v>
      </c>
      <c r="D56" s="281" t="s">
        <v>221</v>
      </c>
      <c r="E56" s="239" t="s">
        <v>249</v>
      </c>
      <c r="F56" s="282"/>
      <c r="G56" s="288">
        <f aca="true" t="shared" si="15" ref="G56:G61">ROUND(M56/30.126,1)</f>
        <v>448.1</v>
      </c>
      <c r="H56" s="759">
        <f>výdavky!D89+výdavky!D90</f>
        <v>10077.45</v>
      </c>
      <c r="I56" s="397">
        <f>výdavky!E89+výdavky!E90</f>
        <v>16212</v>
      </c>
      <c r="J56" s="242">
        <f>výdavky!F89</f>
        <v>11000</v>
      </c>
      <c r="K56" s="750">
        <f>výdavky!G89</f>
        <v>12250</v>
      </c>
      <c r="L56" s="759">
        <f>výdavky!H89</f>
        <v>13400</v>
      </c>
      <c r="M56" s="397">
        <f>výdavky!I89</f>
        <v>13500</v>
      </c>
      <c r="N56" s="242">
        <f>výdavky!J89</f>
        <v>13500</v>
      </c>
    </row>
    <row r="57" spans="1:14" ht="12.75">
      <c r="A57" s="203">
        <f t="shared" si="14"/>
        <v>52</v>
      </c>
      <c r="B57" s="229"/>
      <c r="C57" s="287" t="s">
        <v>197</v>
      </c>
      <c r="D57" s="286" t="s">
        <v>223</v>
      </c>
      <c r="E57" s="248" t="s">
        <v>250</v>
      </c>
      <c r="F57" s="254"/>
      <c r="G57" s="255">
        <f t="shared" si="15"/>
        <v>143.7</v>
      </c>
      <c r="H57" s="760">
        <f>výdavky!D91+výdavky!D92</f>
        <v>3304.24</v>
      </c>
      <c r="I57" s="398">
        <f>výdavky!E91</f>
        <v>3570</v>
      </c>
      <c r="J57" s="247">
        <f>výdavky!F91+výdavky!F92</f>
        <v>3700</v>
      </c>
      <c r="K57" s="516">
        <f>výdavky!G91</f>
        <v>3825</v>
      </c>
      <c r="L57" s="760">
        <f>výdavky!H91</f>
        <v>4170</v>
      </c>
      <c r="M57" s="398">
        <f>výdavky!I91</f>
        <v>4330</v>
      </c>
      <c r="N57" s="247">
        <f>výdavky!J91</f>
        <v>4330</v>
      </c>
    </row>
    <row r="58" spans="1:14" ht="12.75">
      <c r="A58" s="203">
        <f t="shared" si="14"/>
        <v>53</v>
      </c>
      <c r="B58" s="229"/>
      <c r="C58" s="287" t="s">
        <v>232</v>
      </c>
      <c r="D58" s="281" t="s">
        <v>234</v>
      </c>
      <c r="E58" s="239" t="s">
        <v>251</v>
      </c>
      <c r="F58" s="282"/>
      <c r="G58" s="288">
        <f t="shared" si="15"/>
        <v>0.7</v>
      </c>
      <c r="H58" s="759">
        <f>výdavky!D93</f>
        <v>12.6</v>
      </c>
      <c r="I58" s="397">
        <f>výdavky!E93</f>
        <v>20</v>
      </c>
      <c r="J58" s="242">
        <f>výdavky!F93</f>
        <v>20</v>
      </c>
      <c r="K58" s="750">
        <f>výdavky!G93</f>
        <v>10</v>
      </c>
      <c r="L58" s="759">
        <f>výdavky!H93</f>
        <v>20</v>
      </c>
      <c r="M58" s="397">
        <f>výdavky!I93</f>
        <v>20</v>
      </c>
      <c r="N58" s="242">
        <f>výdavky!J93</f>
        <v>20</v>
      </c>
    </row>
    <row r="59" spans="1:14" ht="12.75">
      <c r="A59" s="203">
        <f t="shared" si="14"/>
        <v>54</v>
      </c>
      <c r="B59" s="229"/>
      <c r="C59" s="287" t="s">
        <v>232</v>
      </c>
      <c r="D59" s="286" t="s">
        <v>236</v>
      </c>
      <c r="E59" s="244" t="s">
        <v>252</v>
      </c>
      <c r="F59" s="274"/>
      <c r="G59" s="255">
        <f t="shared" si="15"/>
        <v>10</v>
      </c>
      <c r="H59" s="760">
        <f>výdavky!D94</f>
        <v>99.58</v>
      </c>
      <c r="I59" s="398">
        <f>výdavky!E94</f>
        <v>400</v>
      </c>
      <c r="J59" s="247">
        <f>výdavky!F94</f>
        <v>300</v>
      </c>
      <c r="K59" s="516">
        <f>výdavky!G94</f>
        <v>400</v>
      </c>
      <c r="L59" s="760">
        <f>výdavky!H94</f>
        <v>300</v>
      </c>
      <c r="M59" s="398">
        <f>výdavky!I94</f>
        <v>300</v>
      </c>
      <c r="N59" s="247">
        <f>výdavky!J94</f>
        <v>300</v>
      </c>
    </row>
    <row r="60" spans="1:14" ht="12.75">
      <c r="A60" s="203">
        <f t="shared" si="14"/>
        <v>55</v>
      </c>
      <c r="B60" s="229"/>
      <c r="C60" s="287" t="s">
        <v>232</v>
      </c>
      <c r="D60" s="281" t="s">
        <v>238</v>
      </c>
      <c r="E60" s="308" t="s">
        <v>491</v>
      </c>
      <c r="F60" s="270"/>
      <c r="G60" s="288">
        <f t="shared" si="15"/>
        <v>1.7</v>
      </c>
      <c r="H60" s="759">
        <f>výdavky!D99</f>
        <v>0</v>
      </c>
      <c r="I60" s="397">
        <f>výdavky!E99</f>
        <v>0</v>
      </c>
      <c r="J60" s="242">
        <f>výdavky!F99</f>
        <v>50</v>
      </c>
      <c r="K60" s="750">
        <f>výdavky!G99</f>
        <v>0</v>
      </c>
      <c r="L60" s="759">
        <f>výdavky!H99</f>
        <v>50</v>
      </c>
      <c r="M60" s="397">
        <f>výdavky!I99</f>
        <v>50</v>
      </c>
      <c r="N60" s="242">
        <f>výdavky!J99</f>
        <v>50</v>
      </c>
    </row>
    <row r="61" spans="1:14" ht="12.75">
      <c r="A61" s="203">
        <f t="shared" si="14"/>
        <v>56</v>
      </c>
      <c r="B61" s="229"/>
      <c r="C61" s="287" t="s">
        <v>232</v>
      </c>
      <c r="D61" s="286" t="s">
        <v>242</v>
      </c>
      <c r="E61" s="244" t="s">
        <v>212</v>
      </c>
      <c r="F61" s="274"/>
      <c r="G61" s="255">
        <f t="shared" si="15"/>
        <v>6.6</v>
      </c>
      <c r="H61" s="760">
        <f>výdavky!D98</f>
        <v>25.09</v>
      </c>
      <c r="I61" s="398">
        <f>výdavky!E98</f>
        <v>200</v>
      </c>
      <c r="J61" s="247">
        <f>výdavky!F98</f>
        <v>200</v>
      </c>
      <c r="K61" s="516">
        <f>výdavky!G98</f>
        <v>100</v>
      </c>
      <c r="L61" s="760">
        <f>výdavky!H98</f>
        <v>200</v>
      </c>
      <c r="M61" s="398">
        <f>výdavky!I98</f>
        <v>200</v>
      </c>
      <c r="N61" s="247">
        <f>výdavky!J98</f>
        <v>200</v>
      </c>
    </row>
    <row r="62" spans="1:14" ht="12.75">
      <c r="A62" s="203">
        <v>57</v>
      </c>
      <c r="B62" s="208">
        <v>5</v>
      </c>
      <c r="C62" s="309" t="s">
        <v>253</v>
      </c>
      <c r="D62" s="210"/>
      <c r="E62" s="210"/>
      <c r="F62" s="310"/>
      <c r="G62" s="212">
        <v>0</v>
      </c>
      <c r="H62" s="756">
        <f>H63</f>
        <v>1660</v>
      </c>
      <c r="I62" s="399">
        <f aca="true" t="shared" si="16" ref="I62:N63">I63</f>
        <v>1500</v>
      </c>
      <c r="J62" s="214">
        <f>J63</f>
        <v>3000</v>
      </c>
      <c r="K62" s="509">
        <f t="shared" si="16"/>
        <v>5124</v>
      </c>
      <c r="L62" s="756">
        <f t="shared" si="16"/>
        <v>1500</v>
      </c>
      <c r="M62" s="399">
        <f t="shared" si="16"/>
        <v>0</v>
      </c>
      <c r="N62" s="214">
        <f t="shared" si="16"/>
        <v>0</v>
      </c>
    </row>
    <row r="63" spans="1:14" ht="12.75">
      <c r="A63" s="203">
        <f>A62+1</f>
        <v>58</v>
      </c>
      <c r="B63" s="223"/>
      <c r="C63" s="224"/>
      <c r="D63" s="206" t="s">
        <v>186</v>
      </c>
      <c r="E63" s="225"/>
      <c r="F63" s="226"/>
      <c r="G63" s="227">
        <f>G64</f>
        <v>0</v>
      </c>
      <c r="H63" s="757">
        <f>H64</f>
        <v>1660</v>
      </c>
      <c r="I63" s="396">
        <f t="shared" si="16"/>
        <v>1500</v>
      </c>
      <c r="J63" s="228">
        <f>J64</f>
        <v>3000</v>
      </c>
      <c r="K63" s="511">
        <f t="shared" si="16"/>
        <v>5124</v>
      </c>
      <c r="L63" s="757">
        <f t="shared" si="16"/>
        <v>1500</v>
      </c>
      <c r="M63" s="396">
        <f t="shared" si="16"/>
        <v>0</v>
      </c>
      <c r="N63" s="228">
        <f t="shared" si="16"/>
        <v>0</v>
      </c>
    </row>
    <row r="64" spans="1:14" ht="12.75">
      <c r="A64" s="203">
        <f>A63+1</f>
        <v>59</v>
      </c>
      <c r="B64" s="223"/>
      <c r="C64" s="311" t="s">
        <v>254</v>
      </c>
      <c r="D64" s="264" t="s">
        <v>255</v>
      </c>
      <c r="E64" s="232"/>
      <c r="F64" s="265"/>
      <c r="G64" s="266">
        <f>SUM(G65:G65)</f>
        <v>0</v>
      </c>
      <c r="H64" s="758">
        <f>H65+H66</f>
        <v>1660</v>
      </c>
      <c r="I64" s="429">
        <f>SUM(I65:I66)</f>
        <v>1500</v>
      </c>
      <c r="J64" s="235">
        <f>J65+J66</f>
        <v>3000</v>
      </c>
      <c r="K64" s="350">
        <f>SUM(K65:K66)</f>
        <v>5124</v>
      </c>
      <c r="L64" s="758">
        <f>SUM(L65:L66)</f>
        <v>1500</v>
      </c>
      <c r="M64" s="429">
        <f>SUM(M65:M66)</f>
        <v>0</v>
      </c>
      <c r="N64" s="235">
        <f>SUM(N65:N66)</f>
        <v>0</v>
      </c>
    </row>
    <row r="65" spans="1:14" ht="12.75">
      <c r="A65" s="203">
        <f>A64+1</f>
        <v>60</v>
      </c>
      <c r="B65" s="223"/>
      <c r="C65" s="312">
        <v>630</v>
      </c>
      <c r="D65" s="272">
        <v>1</v>
      </c>
      <c r="E65" s="313" t="s">
        <v>256</v>
      </c>
      <c r="F65" s="314"/>
      <c r="G65" s="315"/>
      <c r="H65" s="1189">
        <f>výdavky!D10+výdavky!D11</f>
        <v>1660</v>
      </c>
      <c r="I65" s="987">
        <f>SUM(výdavky!E10)+výdavky!E11+výdavky!E16</f>
        <v>1500</v>
      </c>
      <c r="J65" s="303">
        <f>výdavky!F10</f>
        <v>3000</v>
      </c>
      <c r="K65" s="1207">
        <f>SUM(výdavky!G10,výdavky!G11,výdavky!G16)</f>
        <v>5124</v>
      </c>
      <c r="L65" s="1189">
        <v>0</v>
      </c>
      <c r="M65" s="987">
        <v>0</v>
      </c>
      <c r="N65" s="303">
        <v>0</v>
      </c>
    </row>
    <row r="66" spans="1:14" ht="13.5" thickBot="1">
      <c r="A66" s="316">
        <f>A65+1</f>
        <v>61</v>
      </c>
      <c r="B66" s="317"/>
      <c r="C66" s="318">
        <v>630</v>
      </c>
      <c r="D66" s="319">
        <v>2</v>
      </c>
      <c r="E66" s="320" t="s">
        <v>256</v>
      </c>
      <c r="F66" s="321"/>
      <c r="G66" s="322"/>
      <c r="H66" s="1191"/>
      <c r="I66" s="988">
        <v>0</v>
      </c>
      <c r="J66" s="323"/>
      <c r="K66" s="1208">
        <v>0</v>
      </c>
      <c r="L66" s="1191">
        <f>výdavky!H10</f>
        <v>1500</v>
      </c>
      <c r="M66" s="2095">
        <f>výdavky!I10</f>
        <v>0</v>
      </c>
      <c r="N66" s="323">
        <f>výdavky!J10</f>
        <v>0</v>
      </c>
    </row>
  </sheetData>
  <sheetProtection/>
  <mergeCells count="2">
    <mergeCell ref="G3:N3"/>
    <mergeCell ref="D4:F6"/>
  </mergeCells>
  <printOptions/>
  <pageMargins left="0.25" right="0.25" top="0.75" bottom="0.75" header="0.3" footer="0.3"/>
  <pageSetup fitToHeight="0" fitToWidth="1" horizontalDpi="300" verticalDpi="300" orientation="portrait" paperSize="9" scale="80" r:id="rId1"/>
  <headerFooter alignWithMargins="0">
    <oddHeader>&amp;C&amp;"Tahoma,Tučné"&amp;14&amp;KFF0000V Ý D A V K O V Á   Č A S Ť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R54" sqref="R54:R55"/>
    </sheetView>
  </sheetViews>
  <sheetFormatPr defaultColWidth="9.140625" defaultRowHeight="12.75"/>
  <cols>
    <col min="1" max="1" width="3.57421875" style="0" customWidth="1"/>
    <col min="2" max="2" width="4.140625" style="0" customWidth="1"/>
    <col min="3" max="3" width="7.57421875" style="0" customWidth="1"/>
    <col min="4" max="4" width="3.421875" style="0" customWidth="1"/>
    <col min="5" max="5" width="31.140625" style="0" customWidth="1"/>
    <col min="6" max="6" width="11.8515625" style="0" customWidth="1"/>
    <col min="7" max="7" width="0" style="0" hidden="1" customWidth="1"/>
    <col min="12" max="12" width="8.421875" style="0" customWidth="1"/>
  </cols>
  <sheetData>
    <row r="1" spans="1:14" ht="15.75">
      <c r="A1" s="167"/>
      <c r="B1" s="171" t="s">
        <v>257</v>
      </c>
      <c r="E1" s="171" t="s">
        <v>258</v>
      </c>
      <c r="F1" s="169"/>
      <c r="G1" s="324" t="e">
        <f>G2-G7</f>
        <v>#REF!</v>
      </c>
      <c r="H1" s="324"/>
      <c r="I1" s="324"/>
      <c r="J1" s="324"/>
      <c r="K1" s="324"/>
      <c r="L1" s="325">
        <f>L2-L7</f>
        <v>0</v>
      </c>
      <c r="M1" s="325">
        <f>M2-M7</f>
        <v>0</v>
      </c>
      <c r="N1" s="325">
        <f>N2-N7</f>
        <v>0</v>
      </c>
    </row>
    <row r="2" spans="1:14" ht="15.75">
      <c r="A2" s="167"/>
      <c r="B2" s="171"/>
      <c r="G2" s="326" t="e">
        <f>SUM(G8:G10)</f>
        <v>#REF!</v>
      </c>
      <c r="H2" s="326"/>
      <c r="I2" s="326"/>
      <c r="J2" s="326"/>
      <c r="K2" s="326"/>
      <c r="L2" s="179">
        <f>SUM(L8:L10)</f>
        <v>1160</v>
      </c>
      <c r="M2" s="179">
        <f>SUM(M8:M10)</f>
        <v>1170</v>
      </c>
      <c r="N2" s="179">
        <f>SUM(N8:N10)</f>
        <v>1470</v>
      </c>
    </row>
    <row r="3" spans="1:14" ht="16.5" thickBot="1">
      <c r="A3" s="180"/>
      <c r="B3" s="181"/>
      <c r="C3" s="182"/>
      <c r="D3" s="182"/>
      <c r="E3" s="183"/>
      <c r="F3" s="184"/>
      <c r="G3" s="3196" t="s">
        <v>173</v>
      </c>
      <c r="H3" s="3196"/>
      <c r="I3" s="3196"/>
      <c r="J3" s="3196"/>
      <c r="K3" s="3196"/>
      <c r="L3" s="3196"/>
      <c r="M3" s="3196"/>
      <c r="N3" s="3196"/>
    </row>
    <row r="4" spans="1:14" ht="13.5" thickBot="1">
      <c r="A4" s="185"/>
      <c r="B4" s="186" t="s">
        <v>174</v>
      </c>
      <c r="C4" s="187" t="s">
        <v>175</v>
      </c>
      <c r="D4" s="3199" t="s">
        <v>176</v>
      </c>
      <c r="E4" s="3199"/>
      <c r="F4" s="3199"/>
      <c r="G4" s="188"/>
      <c r="H4" s="975">
        <v>2016</v>
      </c>
      <c r="I4" s="189">
        <v>2017</v>
      </c>
      <c r="J4" s="189">
        <v>2018</v>
      </c>
      <c r="K4" s="189" t="s">
        <v>790</v>
      </c>
      <c r="L4" s="189">
        <v>2019</v>
      </c>
      <c r="M4" s="189">
        <v>2020</v>
      </c>
      <c r="N4" s="189">
        <v>2021</v>
      </c>
    </row>
    <row r="5" spans="1:14" ht="13.5" thickBot="1">
      <c r="A5" s="185"/>
      <c r="B5" s="186" t="s">
        <v>177</v>
      </c>
      <c r="C5" s="187" t="s">
        <v>178</v>
      </c>
      <c r="D5" s="3199"/>
      <c r="E5" s="3199"/>
      <c r="F5" s="3199"/>
      <c r="G5" s="190" t="s">
        <v>179</v>
      </c>
      <c r="H5" s="327" t="s">
        <v>180</v>
      </c>
      <c r="I5" s="327" t="s">
        <v>180</v>
      </c>
      <c r="J5" s="327" t="s">
        <v>180</v>
      </c>
      <c r="K5" s="191" t="s">
        <v>181</v>
      </c>
      <c r="L5" s="191" t="s">
        <v>181</v>
      </c>
      <c r="M5" s="191" t="s">
        <v>181</v>
      </c>
      <c r="N5" s="191" t="s">
        <v>181</v>
      </c>
    </row>
    <row r="6" spans="1:14" ht="13.5" thickBot="1">
      <c r="A6" s="328"/>
      <c r="B6" s="329" t="s">
        <v>182</v>
      </c>
      <c r="C6" s="330" t="s">
        <v>183</v>
      </c>
      <c r="D6" s="3199"/>
      <c r="E6" s="3199"/>
      <c r="F6" s="3199"/>
      <c r="G6" s="331">
        <v>1</v>
      </c>
      <c r="H6" s="193">
        <v>-3</v>
      </c>
      <c r="I6" s="331">
        <v>-2</v>
      </c>
      <c r="J6" s="193">
        <v>-1</v>
      </c>
      <c r="K6" s="332">
        <v>-1</v>
      </c>
      <c r="L6" s="332">
        <v>0</v>
      </c>
      <c r="M6" s="332">
        <v>1</v>
      </c>
      <c r="N6" s="332">
        <v>2</v>
      </c>
    </row>
    <row r="7" spans="1:14" ht="15">
      <c r="A7" s="203">
        <v>1</v>
      </c>
      <c r="B7" s="333" t="s">
        <v>257</v>
      </c>
      <c r="C7" s="334"/>
      <c r="D7" s="335"/>
      <c r="E7" s="336" t="s">
        <v>258</v>
      </c>
      <c r="F7" s="337"/>
      <c r="G7" s="338" t="e">
        <f>G11+#REF!</f>
        <v>#REF!</v>
      </c>
      <c r="H7" s="755">
        <f>H8+H9+H10</f>
        <v>927</v>
      </c>
      <c r="I7" s="339">
        <f>SUM(I8:I10)</f>
        <v>1240</v>
      </c>
      <c r="J7" s="755">
        <f>J8+J9+J10</f>
        <v>1240</v>
      </c>
      <c r="K7" s="976">
        <f>SUM(K8:K10)</f>
        <v>1025</v>
      </c>
      <c r="L7" s="202">
        <f>SUM(L8:L10)</f>
        <v>1160</v>
      </c>
      <c r="M7" s="202">
        <f>SUM(M8:M10)</f>
        <v>1170</v>
      </c>
      <c r="N7" s="202">
        <f>SUM(N8:N10)</f>
        <v>1470</v>
      </c>
    </row>
    <row r="8" spans="1:14" ht="12.75">
      <c r="A8" s="203">
        <f aca="true" t="shared" si="0" ref="A8:A14">A7+1</f>
        <v>2</v>
      </c>
      <c r="B8" s="340" t="s">
        <v>185</v>
      </c>
      <c r="C8" s="897" t="s">
        <v>186</v>
      </c>
      <c r="D8" s="898"/>
      <c r="E8" s="899"/>
      <c r="F8" s="900"/>
      <c r="G8" s="901" t="e">
        <f>G12+#REF!</f>
        <v>#REF!</v>
      </c>
      <c r="H8" s="1044">
        <f>H12</f>
        <v>927</v>
      </c>
      <c r="I8" s="1042">
        <f>SUM(I12)</f>
        <v>1240</v>
      </c>
      <c r="J8" s="1044">
        <f>J12</f>
        <v>1240</v>
      </c>
      <c r="K8" s="1000">
        <f>SUM(K12)</f>
        <v>1025</v>
      </c>
      <c r="L8" s="902">
        <f>SUM(L12)</f>
        <v>1160</v>
      </c>
      <c r="M8" s="902">
        <f>SUM(M12)</f>
        <v>1170</v>
      </c>
      <c r="N8" s="902">
        <f>SUM(N12)</f>
        <v>1470</v>
      </c>
    </row>
    <row r="9" spans="1:14" ht="12.75">
      <c r="A9" s="203">
        <f t="shared" si="0"/>
        <v>3</v>
      </c>
      <c r="B9" s="340" t="s">
        <v>187</v>
      </c>
      <c r="C9" s="1034" t="s">
        <v>188</v>
      </c>
      <c r="D9" s="1035"/>
      <c r="E9" s="1036"/>
      <c r="F9" s="1037"/>
      <c r="G9" s="1038" t="e">
        <f>#REF!</f>
        <v>#REF!</v>
      </c>
      <c r="H9" s="1054">
        <v>0</v>
      </c>
      <c r="I9" s="1041">
        <v>0</v>
      </c>
      <c r="J9" s="1054">
        <v>0</v>
      </c>
      <c r="K9" s="1039">
        <v>0</v>
      </c>
      <c r="L9" s="1040">
        <v>0</v>
      </c>
      <c r="M9" s="1040">
        <v>0</v>
      </c>
      <c r="N9" s="1040">
        <v>0</v>
      </c>
    </row>
    <row r="10" spans="1:14" ht="13.5" thickBot="1">
      <c r="A10" s="203">
        <f t="shared" si="0"/>
        <v>4</v>
      </c>
      <c r="B10" s="341"/>
      <c r="C10" s="1065" t="s">
        <v>189</v>
      </c>
      <c r="D10" s="1066"/>
      <c r="E10" s="1067"/>
      <c r="F10" s="1068"/>
      <c r="G10" s="1069">
        <v>0</v>
      </c>
      <c r="H10" s="1071">
        <v>0</v>
      </c>
      <c r="I10" s="1070">
        <v>0</v>
      </c>
      <c r="J10" s="1071">
        <v>0</v>
      </c>
      <c r="K10" s="1072">
        <v>0</v>
      </c>
      <c r="L10" s="1073">
        <v>0</v>
      </c>
      <c r="M10" s="1073">
        <v>0</v>
      </c>
      <c r="N10" s="1073">
        <v>0</v>
      </c>
    </row>
    <row r="11" spans="1:14" ht="13.5" thickTop="1">
      <c r="A11" s="203">
        <f t="shared" si="0"/>
        <v>5</v>
      </c>
      <c r="B11" s="342">
        <v>1</v>
      </c>
      <c r="C11" s="309" t="s">
        <v>259</v>
      </c>
      <c r="D11" s="210"/>
      <c r="E11" s="210"/>
      <c r="F11" s="211"/>
      <c r="G11" s="212" t="e">
        <f>SUM(G13)+#REF!</f>
        <v>#REF!</v>
      </c>
      <c r="H11" s="756">
        <f>H12</f>
        <v>927</v>
      </c>
      <c r="I11" s="343">
        <f aca="true" t="shared" si="1" ref="I11:N12">I12</f>
        <v>1240</v>
      </c>
      <c r="J11" s="756">
        <f>J12</f>
        <v>1240</v>
      </c>
      <c r="K11" s="399">
        <f t="shared" si="1"/>
        <v>1025</v>
      </c>
      <c r="L11" s="214">
        <f t="shared" si="1"/>
        <v>1160</v>
      </c>
      <c r="M11" s="214">
        <f t="shared" si="1"/>
        <v>1170</v>
      </c>
      <c r="N11" s="214">
        <f t="shared" si="1"/>
        <v>1470</v>
      </c>
    </row>
    <row r="12" spans="1:14" ht="12.75">
      <c r="A12" s="203">
        <f t="shared" si="0"/>
        <v>6</v>
      </c>
      <c r="B12" s="344"/>
      <c r="C12" s="224"/>
      <c r="D12" s="206" t="s">
        <v>186</v>
      </c>
      <c r="E12" s="225"/>
      <c r="F12" s="226"/>
      <c r="G12" s="227" t="e">
        <f>G13</f>
        <v>#REF!</v>
      </c>
      <c r="H12" s="757">
        <f>H13</f>
        <v>927</v>
      </c>
      <c r="I12" s="345">
        <f t="shared" si="1"/>
        <v>1240</v>
      </c>
      <c r="J12" s="757">
        <f>J13</f>
        <v>1240</v>
      </c>
      <c r="K12" s="396">
        <f t="shared" si="1"/>
        <v>1025</v>
      </c>
      <c r="L12" s="228">
        <f t="shared" si="1"/>
        <v>1160</v>
      </c>
      <c r="M12" s="228">
        <f t="shared" si="1"/>
        <v>1170</v>
      </c>
      <c r="N12" s="228">
        <f t="shared" si="1"/>
        <v>1470</v>
      </c>
    </row>
    <row r="13" spans="1:14" ht="12.75">
      <c r="A13" s="203">
        <f t="shared" si="0"/>
        <v>7</v>
      </c>
      <c r="B13" s="346"/>
      <c r="C13" s="347" t="s">
        <v>260</v>
      </c>
      <c r="D13" s="264" t="s">
        <v>259</v>
      </c>
      <c r="E13" s="348"/>
      <c r="F13" s="349"/>
      <c r="G13" s="266" t="e">
        <f>SUM(#REF!)</f>
        <v>#REF!</v>
      </c>
      <c r="H13" s="758">
        <f aca="true" t="shared" si="2" ref="H13:N13">SUM(H14:H16)</f>
        <v>927</v>
      </c>
      <c r="I13" s="480">
        <f t="shared" si="2"/>
        <v>1240</v>
      </c>
      <c r="J13" s="758">
        <f t="shared" si="2"/>
        <v>1240</v>
      </c>
      <c r="K13" s="429">
        <f t="shared" si="2"/>
        <v>1025</v>
      </c>
      <c r="L13" s="235">
        <f t="shared" si="2"/>
        <v>1160</v>
      </c>
      <c r="M13" s="235">
        <f t="shared" si="2"/>
        <v>1170</v>
      </c>
      <c r="N13" s="235">
        <f t="shared" si="2"/>
        <v>1470</v>
      </c>
    </row>
    <row r="14" spans="1:14" ht="12.75">
      <c r="A14" s="203">
        <f t="shared" si="0"/>
        <v>8</v>
      </c>
      <c r="B14" s="346"/>
      <c r="C14" s="285" t="s">
        <v>201</v>
      </c>
      <c r="D14" s="286" t="s">
        <v>221</v>
      </c>
      <c r="E14" s="244" t="s">
        <v>261</v>
      </c>
      <c r="F14" s="274"/>
      <c r="G14" s="275"/>
      <c r="H14" s="1156">
        <f>výdavky!D110</f>
        <v>151</v>
      </c>
      <c r="I14" s="351">
        <f>výdavky!E110</f>
        <v>300</v>
      </c>
      <c r="J14" s="760">
        <f>výdavky!F110</f>
        <v>300</v>
      </c>
      <c r="K14" s="398">
        <f>výdavky!G110</f>
        <v>200</v>
      </c>
      <c r="L14" s="247">
        <f>výdavky!H110</f>
        <v>200</v>
      </c>
      <c r="M14" s="247">
        <f>výdavky!I110</f>
        <v>200</v>
      </c>
      <c r="N14" s="247">
        <f>výdavky!J110</f>
        <v>200</v>
      </c>
    </row>
    <row r="15" spans="1:14" ht="12.75">
      <c r="A15" s="203"/>
      <c r="B15" s="346"/>
      <c r="C15" s="285" t="s">
        <v>211</v>
      </c>
      <c r="D15" s="286" t="s">
        <v>223</v>
      </c>
      <c r="E15" s="244" t="s">
        <v>212</v>
      </c>
      <c r="F15" s="274"/>
      <c r="G15" s="275"/>
      <c r="H15" s="1156">
        <f>výdavky!D111</f>
        <v>506</v>
      </c>
      <c r="I15" s="351">
        <f>SUM(výdavky!E111)</f>
        <v>640</v>
      </c>
      <c r="J15" s="760">
        <f>výdavky!F111</f>
        <v>640</v>
      </c>
      <c r="K15" s="398">
        <f>výdavky!G111</f>
        <v>525</v>
      </c>
      <c r="L15" s="247">
        <f>výdavky!H111</f>
        <v>640</v>
      </c>
      <c r="M15" s="247">
        <f>výdavky!I111</f>
        <v>640</v>
      </c>
      <c r="N15" s="247">
        <f>výdavky!J111</f>
        <v>940</v>
      </c>
    </row>
    <row r="16" spans="1:14" ht="13.5" thickBot="1">
      <c r="A16" s="316">
        <f>A14+1</f>
        <v>9</v>
      </c>
      <c r="B16" s="352"/>
      <c r="C16" s="353" t="s">
        <v>211</v>
      </c>
      <c r="D16" s="354" t="s">
        <v>234</v>
      </c>
      <c r="E16" s="355" t="s">
        <v>262</v>
      </c>
      <c r="F16" s="356"/>
      <c r="G16" s="357"/>
      <c r="H16" s="1180">
        <f>výdavky!D112</f>
        <v>270</v>
      </c>
      <c r="I16" s="358">
        <f>výdavky!E112</f>
        <v>300</v>
      </c>
      <c r="J16" s="992">
        <f>výdavky!F112</f>
        <v>300</v>
      </c>
      <c r="K16" s="426">
        <f>výdavky!G112</f>
        <v>300</v>
      </c>
      <c r="L16" s="359">
        <f>výdavky!H112</f>
        <v>320</v>
      </c>
      <c r="M16" s="359">
        <f>výdavky!I112</f>
        <v>330</v>
      </c>
      <c r="N16" s="359">
        <f>výdavky!J112</f>
        <v>330</v>
      </c>
    </row>
  </sheetData>
  <sheetProtection/>
  <mergeCells count="2">
    <mergeCell ref="G3:N3"/>
    <mergeCell ref="D4:F6"/>
  </mergeCells>
  <printOptions/>
  <pageMargins left="0.25" right="0.25" top="0.75" bottom="0.75" header="0.3" footer="0.3"/>
  <pageSetup fitToHeight="0" fitToWidth="1"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PageLayoutView="0" workbookViewId="0" topLeftCell="A1">
      <selection activeCell="R54" sqref="R54:R55"/>
    </sheetView>
  </sheetViews>
  <sheetFormatPr defaultColWidth="9.140625" defaultRowHeight="12.75"/>
  <cols>
    <col min="1" max="1" width="3.57421875" style="167" customWidth="1"/>
    <col min="2" max="2" width="4.140625" style="1" customWidth="1"/>
    <col min="3" max="3" width="7.57421875" style="0" customWidth="1"/>
    <col min="4" max="4" width="3.421875" style="0" customWidth="1"/>
    <col min="5" max="5" width="31.421875" style="0" customWidth="1"/>
    <col min="6" max="6" width="15.57421875" style="0" customWidth="1"/>
    <col min="7" max="7" width="0" style="0" hidden="1" customWidth="1"/>
    <col min="8" max="8" width="8.421875" style="0" customWidth="1"/>
    <col min="9" max="9" width="8.28125" style="0" customWidth="1"/>
    <col min="10" max="10" width="7.7109375" style="0" customWidth="1"/>
    <col min="11" max="11" width="7.140625" style="0" customWidth="1"/>
    <col min="12" max="12" width="8.57421875" style="0" customWidth="1"/>
    <col min="13" max="14" width="7.28125" style="0" customWidth="1"/>
  </cols>
  <sheetData>
    <row r="1" spans="1:14" ht="15.75">
      <c r="A1" s="229"/>
      <c r="B1" s="360" t="s">
        <v>263</v>
      </c>
      <c r="C1" s="168"/>
      <c r="D1" s="168"/>
      <c r="E1" s="361" t="s">
        <v>264</v>
      </c>
      <c r="F1" s="168"/>
      <c r="G1" s="362" t="e">
        <f>G2-G7</f>
        <v>#REF!</v>
      </c>
      <c r="H1" s="362"/>
      <c r="I1" s="362"/>
      <c r="J1" s="362"/>
      <c r="K1" s="362"/>
      <c r="L1" s="363">
        <f>L2-L7</f>
        <v>0</v>
      </c>
      <c r="M1" s="363">
        <f>M2-M7</f>
        <v>0</v>
      </c>
      <c r="N1" s="363">
        <f>N2-N7</f>
        <v>0</v>
      </c>
    </row>
    <row r="2" spans="1:14" ht="15.75">
      <c r="A2" s="229"/>
      <c r="B2" s="360"/>
      <c r="C2" s="168"/>
      <c r="D2" s="168"/>
      <c r="E2" s="168"/>
      <c r="F2" s="168"/>
      <c r="G2" s="324" t="e">
        <f>SUM(G8:G10)</f>
        <v>#REF!</v>
      </c>
      <c r="H2" s="324"/>
      <c r="I2" s="324"/>
      <c r="J2" s="324"/>
      <c r="K2" s="324"/>
      <c r="L2" s="364">
        <f>SUM(L8:L10)</f>
        <v>109531</v>
      </c>
      <c r="M2" s="364">
        <f>SUM(M8:M10)</f>
        <v>109325</v>
      </c>
      <c r="N2" s="364">
        <f>SUM(N8:N10)</f>
        <v>109325</v>
      </c>
    </row>
    <row r="3" spans="1:14" ht="15.75">
      <c r="A3" s="180"/>
      <c r="B3" s="181"/>
      <c r="C3" s="182"/>
      <c r="D3" s="182"/>
      <c r="E3" s="183"/>
      <c r="F3" s="184"/>
      <c r="G3" s="3196" t="s">
        <v>173</v>
      </c>
      <c r="H3" s="3196"/>
      <c r="I3" s="3196"/>
      <c r="J3" s="3196"/>
      <c r="K3" s="3196"/>
      <c r="L3" s="3196"/>
      <c r="M3" s="3196"/>
      <c r="N3" s="3196"/>
    </row>
    <row r="4" spans="1:14" ht="12.75" customHeight="1">
      <c r="A4" s="185"/>
      <c r="B4" s="186" t="s">
        <v>174</v>
      </c>
      <c r="C4" s="187" t="s">
        <v>175</v>
      </c>
      <c r="D4" s="3198" t="s">
        <v>176</v>
      </c>
      <c r="E4" s="3198"/>
      <c r="F4" s="3198"/>
      <c r="G4" s="188"/>
      <c r="H4" s="975">
        <v>2016</v>
      </c>
      <c r="I4" s="189">
        <v>2017</v>
      </c>
      <c r="J4" s="189">
        <v>2018</v>
      </c>
      <c r="K4" s="189" t="s">
        <v>790</v>
      </c>
      <c r="L4" s="189">
        <v>2019</v>
      </c>
      <c r="M4" s="189">
        <v>2020</v>
      </c>
      <c r="N4" s="189">
        <v>2021</v>
      </c>
    </row>
    <row r="5" spans="1:14" ht="11.25" customHeight="1">
      <c r="A5" s="185"/>
      <c r="B5" s="186" t="s">
        <v>177</v>
      </c>
      <c r="C5" s="187" t="s">
        <v>178</v>
      </c>
      <c r="D5" s="3198"/>
      <c r="E5" s="3198"/>
      <c r="F5" s="3198"/>
      <c r="G5" s="190" t="s">
        <v>179</v>
      </c>
      <c r="H5" s="327" t="s">
        <v>180</v>
      </c>
      <c r="I5" s="191" t="s">
        <v>180</v>
      </c>
      <c r="J5" s="191" t="s">
        <v>180</v>
      </c>
      <c r="K5" s="191" t="s">
        <v>180</v>
      </c>
      <c r="L5" s="191" t="s">
        <v>180</v>
      </c>
      <c r="M5" s="192" t="s">
        <v>181</v>
      </c>
      <c r="N5" s="192" t="s">
        <v>181</v>
      </c>
    </row>
    <row r="6" spans="1:14" ht="12.75">
      <c r="A6" s="185"/>
      <c r="B6" s="186" t="s">
        <v>182</v>
      </c>
      <c r="C6" s="187" t="s">
        <v>183</v>
      </c>
      <c r="D6" s="3198"/>
      <c r="E6" s="3198"/>
      <c r="F6" s="3198"/>
      <c r="G6" s="193">
        <v>1</v>
      </c>
      <c r="H6" s="193">
        <v>-3</v>
      </c>
      <c r="I6" s="332">
        <v>-2</v>
      </c>
      <c r="J6" s="332">
        <v>-1</v>
      </c>
      <c r="K6" s="332">
        <v>-1</v>
      </c>
      <c r="L6" s="332">
        <v>0</v>
      </c>
      <c r="M6" s="195">
        <v>1</v>
      </c>
      <c r="N6" s="195">
        <v>2</v>
      </c>
    </row>
    <row r="7" spans="1:14" ht="15">
      <c r="A7" s="196">
        <v>1</v>
      </c>
      <c r="B7" s="365" t="s">
        <v>263</v>
      </c>
      <c r="C7" s="366"/>
      <c r="D7" s="367"/>
      <c r="E7" s="199" t="s">
        <v>264</v>
      </c>
      <c r="F7" s="368"/>
      <c r="G7" s="201" t="e">
        <f>G11+#REF!+#REF!+#REF!+#REF!+#REF!+G31+#REF!</f>
        <v>#REF!</v>
      </c>
      <c r="H7" s="2220">
        <f>H8+H9+H10</f>
        <v>107654.18000000002</v>
      </c>
      <c r="I7" s="2221">
        <f>SUM(I8:I10)</f>
        <v>105194</v>
      </c>
      <c r="J7" s="2096">
        <f>J8+J9+J10</f>
        <v>95450</v>
      </c>
      <c r="K7" s="2223">
        <f>SUM(K8:K10)</f>
        <v>112326</v>
      </c>
      <c r="L7" s="2223">
        <f>SUM(L8:L10)</f>
        <v>109531</v>
      </c>
      <c r="M7" s="2222">
        <f>SUM(M8:M10)</f>
        <v>109325</v>
      </c>
      <c r="N7" s="2220">
        <f>SUM(N8:N10)</f>
        <v>109325</v>
      </c>
    </row>
    <row r="8" spans="1:14" ht="12.75">
      <c r="A8" s="203">
        <f aca="true" t="shared" si="0" ref="A8:A17">A7+1</f>
        <v>2</v>
      </c>
      <c r="B8" s="340" t="s">
        <v>185</v>
      </c>
      <c r="C8" s="897" t="s">
        <v>186</v>
      </c>
      <c r="D8" s="898"/>
      <c r="E8" s="899"/>
      <c r="F8" s="900"/>
      <c r="G8" s="901" t="e">
        <f>G12+#REF!+#REF!+#REF!+#REF!+#REF!+#REF!+G32</f>
        <v>#REF!</v>
      </c>
      <c r="H8" s="1044">
        <f>H12+H32</f>
        <v>87654.18000000002</v>
      </c>
      <c r="I8" s="1000">
        <f>SUM(I12,I32)</f>
        <v>92694</v>
      </c>
      <c r="J8" s="902">
        <f>J12+J32</f>
        <v>95450</v>
      </c>
      <c r="K8" s="902">
        <f>SUM(K12,K32)</f>
        <v>112326</v>
      </c>
      <c r="L8" s="902">
        <f>SUM(L12,L32)</f>
        <v>109531</v>
      </c>
      <c r="M8" s="1043">
        <f>SUM(M12,M32)</f>
        <v>109325</v>
      </c>
      <c r="N8" s="1044">
        <f>SUM(N12,N32)</f>
        <v>109325</v>
      </c>
    </row>
    <row r="9" spans="1:14" ht="12.75">
      <c r="A9" s="203">
        <f t="shared" si="0"/>
        <v>3</v>
      </c>
      <c r="B9" s="340" t="s">
        <v>187</v>
      </c>
      <c r="C9" s="1034" t="s">
        <v>188</v>
      </c>
      <c r="D9" s="1074"/>
      <c r="E9" s="1075"/>
      <c r="F9" s="1076"/>
      <c r="G9" s="1077" t="e">
        <f>'Program 1'!#REF!+#REF!+#REF!</f>
        <v>#REF!</v>
      </c>
      <c r="H9" s="1054">
        <f aca="true" t="shared" si="1" ref="H9:N9">H28</f>
        <v>0</v>
      </c>
      <c r="I9" s="1039">
        <f t="shared" si="1"/>
        <v>12500</v>
      </c>
      <c r="J9" s="1040">
        <f t="shared" si="1"/>
        <v>0</v>
      </c>
      <c r="K9" s="1040">
        <f t="shared" si="1"/>
        <v>0</v>
      </c>
      <c r="L9" s="1040">
        <f t="shared" si="1"/>
        <v>0</v>
      </c>
      <c r="M9" s="1078">
        <f t="shared" si="1"/>
        <v>0</v>
      </c>
      <c r="N9" s="1054">
        <f t="shared" si="1"/>
        <v>0</v>
      </c>
    </row>
    <row r="10" spans="1:14" ht="12.75">
      <c r="A10" s="203">
        <f t="shared" si="0"/>
        <v>4</v>
      </c>
      <c r="B10" s="341"/>
      <c r="C10" s="1065" t="s">
        <v>189</v>
      </c>
      <c r="D10" s="1066"/>
      <c r="E10" s="1067"/>
      <c r="F10" s="1068"/>
      <c r="G10" s="1069" t="e">
        <f>#REF!</f>
        <v>#REF!</v>
      </c>
      <c r="H10" s="1071">
        <f>H24</f>
        <v>20000</v>
      </c>
      <c r="I10" s="1072">
        <v>0</v>
      </c>
      <c r="J10" s="1073">
        <f>J24</f>
        <v>0</v>
      </c>
      <c r="K10" s="1073">
        <v>0</v>
      </c>
      <c r="L10" s="1070">
        <f>L24</f>
        <v>0</v>
      </c>
      <c r="M10" s="1079">
        <v>0</v>
      </c>
      <c r="N10" s="1071">
        <v>0</v>
      </c>
    </row>
    <row r="11" spans="1:14" ht="12.75">
      <c r="A11" s="203">
        <f t="shared" si="0"/>
        <v>5</v>
      </c>
      <c r="B11" s="369">
        <v>1</v>
      </c>
      <c r="C11" s="305" t="s">
        <v>265</v>
      </c>
      <c r="D11" s="210"/>
      <c r="E11" s="210"/>
      <c r="F11" s="211"/>
      <c r="G11" s="212" t="e">
        <f>G13+G29+#REF!</f>
        <v>#REF!</v>
      </c>
      <c r="H11" s="756">
        <f>H12+H24</f>
        <v>100062.22000000002</v>
      </c>
      <c r="I11" s="399">
        <f>SUM(I12+I28)</f>
        <v>95467</v>
      </c>
      <c r="J11" s="214">
        <f>J12+J24</f>
        <v>85600</v>
      </c>
      <c r="K11" s="214">
        <f>SUM(K12+K28)</f>
        <v>101068</v>
      </c>
      <c r="L11" s="214">
        <f>SUM(L12+L28)</f>
        <v>100686</v>
      </c>
      <c r="M11" s="509">
        <f>SUM(M12+M28)</f>
        <v>100780</v>
      </c>
      <c r="N11" s="756">
        <f>SUM(N12+N28)</f>
        <v>100780</v>
      </c>
    </row>
    <row r="12" spans="1:14" s="262" customFormat="1" ht="12.75">
      <c r="A12" s="203">
        <f t="shared" si="0"/>
        <v>6</v>
      </c>
      <c r="B12" s="370"/>
      <c r="C12" s="296"/>
      <c r="D12" s="205" t="s">
        <v>186</v>
      </c>
      <c r="E12" s="225"/>
      <c r="F12" s="226"/>
      <c r="G12" s="227">
        <f aca="true" t="shared" si="2" ref="G12:N12">G13</f>
        <v>3341.9999999999995</v>
      </c>
      <c r="H12" s="757">
        <f>H13</f>
        <v>80062.22000000002</v>
      </c>
      <c r="I12" s="396">
        <f t="shared" si="2"/>
        <v>82967</v>
      </c>
      <c r="J12" s="228">
        <f>J13</f>
        <v>85600</v>
      </c>
      <c r="K12" s="228">
        <f t="shared" si="2"/>
        <v>101068</v>
      </c>
      <c r="L12" s="228">
        <f t="shared" si="2"/>
        <v>100686</v>
      </c>
      <c r="M12" s="511">
        <f t="shared" si="2"/>
        <v>100780</v>
      </c>
      <c r="N12" s="757">
        <f t="shared" si="2"/>
        <v>100780</v>
      </c>
    </row>
    <row r="13" spans="1:14" ht="12.75">
      <c r="A13" s="203">
        <f t="shared" si="0"/>
        <v>7</v>
      </c>
      <c r="B13" s="371"/>
      <c r="C13" s="372" t="s">
        <v>266</v>
      </c>
      <c r="D13" s="264" t="s">
        <v>267</v>
      </c>
      <c r="E13" s="232"/>
      <c r="F13" s="233"/>
      <c r="G13" s="266">
        <f>SUM(G14:G21)</f>
        <v>3341.9999999999995</v>
      </c>
      <c r="H13" s="758">
        <f>SUM(H14:H23)</f>
        <v>80062.22000000002</v>
      </c>
      <c r="I13" s="429">
        <f>SUM(I14,I15,I16,I17,I18,I19,I20,I21,I22,I23)</f>
        <v>82967</v>
      </c>
      <c r="J13" s="235">
        <f>SUM(J14:J23)</f>
        <v>85600</v>
      </c>
      <c r="K13" s="235">
        <f>SUM(K14,K15,K16,K17,K18,K19,K20,K21,K22,K23)</f>
        <v>101068</v>
      </c>
      <c r="L13" s="235">
        <f>SUM(L14,L15,L16,L17,L18,L19,L20,L21,L22,L23)</f>
        <v>100686</v>
      </c>
      <c r="M13" s="350">
        <f>SUM(M14,M15,M16,M17,M18,M19,M20,M21,M22,M23)</f>
        <v>100780</v>
      </c>
      <c r="N13" s="758">
        <f>SUM(N14,N15,N16,N17,N18,N19,N20,N21,N22,N23)</f>
        <v>100780</v>
      </c>
    </row>
    <row r="14" spans="1:14" ht="12.75">
      <c r="A14" s="203">
        <f t="shared" si="0"/>
        <v>8</v>
      </c>
      <c r="B14" s="371"/>
      <c r="C14" s="287" t="s">
        <v>195</v>
      </c>
      <c r="D14" s="281" t="s">
        <v>221</v>
      </c>
      <c r="E14" s="373" t="s">
        <v>249</v>
      </c>
      <c r="F14" s="282"/>
      <c r="G14" s="288">
        <f aca="true" t="shared" si="3" ref="G14:G22">ROUND(M14/30.126,1)</f>
        <v>2240.6</v>
      </c>
      <c r="H14" s="759">
        <f>výdavky!D120</f>
        <v>49934.25</v>
      </c>
      <c r="I14" s="397">
        <f>výdavky!E120</f>
        <v>53000</v>
      </c>
      <c r="J14" s="242">
        <f>výdavky!F120</f>
        <v>55000</v>
      </c>
      <c r="K14" s="242">
        <f>výdavky!G120</f>
        <v>67416</v>
      </c>
      <c r="L14" s="374">
        <f>výdavky!H120</f>
        <v>67416</v>
      </c>
      <c r="M14" s="750">
        <f>výdavky!I120</f>
        <v>67500</v>
      </c>
      <c r="N14" s="759">
        <f>výdavky!J120</f>
        <v>67500</v>
      </c>
    </row>
    <row r="15" spans="1:14" ht="12.75">
      <c r="A15" s="203">
        <f t="shared" si="0"/>
        <v>9</v>
      </c>
      <c r="B15" s="371"/>
      <c r="C15" s="287" t="s">
        <v>197</v>
      </c>
      <c r="D15" s="286" t="s">
        <v>223</v>
      </c>
      <c r="E15" s="375" t="s">
        <v>198</v>
      </c>
      <c r="F15" s="254"/>
      <c r="G15" s="255">
        <f t="shared" si="3"/>
        <v>770.1</v>
      </c>
      <c r="H15" s="760">
        <f>výdavky!D121</f>
        <v>17910.27</v>
      </c>
      <c r="I15" s="398">
        <f>výdavky!E121</f>
        <v>19455</v>
      </c>
      <c r="J15" s="247">
        <f>výdavky!F121</f>
        <v>20000</v>
      </c>
      <c r="K15" s="247">
        <f>výdavky!G121</f>
        <v>23190</v>
      </c>
      <c r="L15" s="351">
        <f>výdavky!H121</f>
        <v>23190</v>
      </c>
      <c r="M15" s="516">
        <f>výdavky!I121</f>
        <v>23200</v>
      </c>
      <c r="N15" s="760">
        <f>výdavky!J121</f>
        <v>23200</v>
      </c>
    </row>
    <row r="16" spans="1:14" ht="12.75">
      <c r="A16" s="203">
        <f t="shared" si="0"/>
        <v>10</v>
      </c>
      <c r="B16" s="371"/>
      <c r="C16" s="287" t="s">
        <v>199</v>
      </c>
      <c r="D16" s="281" t="s">
        <v>234</v>
      </c>
      <c r="E16" s="373" t="s">
        <v>268</v>
      </c>
      <c r="F16" s="282"/>
      <c r="G16" s="288">
        <f t="shared" si="3"/>
        <v>1.7</v>
      </c>
      <c r="H16" s="759">
        <f>výdavky!D122</f>
        <v>0</v>
      </c>
      <c r="I16" s="397">
        <f>výdavky!E122</f>
        <v>50</v>
      </c>
      <c r="J16" s="242">
        <f>výdavky!F122</f>
        <v>50</v>
      </c>
      <c r="K16" s="242">
        <f>výdavky!G122</f>
        <v>0</v>
      </c>
      <c r="L16" s="374">
        <f>výdavky!H122</f>
        <v>50</v>
      </c>
      <c r="M16" s="750">
        <f>výdavky!I122</f>
        <v>50</v>
      </c>
      <c r="N16" s="759">
        <f>výdavky!J122</f>
        <v>50</v>
      </c>
    </row>
    <row r="17" spans="1:14" ht="12.75">
      <c r="A17" s="203">
        <f t="shared" si="0"/>
        <v>11</v>
      </c>
      <c r="B17" s="371"/>
      <c r="C17" s="287" t="s">
        <v>201</v>
      </c>
      <c r="D17" s="286" t="s">
        <v>236</v>
      </c>
      <c r="E17" s="375" t="s">
        <v>202</v>
      </c>
      <c r="F17" s="254"/>
      <c r="G17" s="255">
        <f t="shared" si="3"/>
        <v>29.2</v>
      </c>
      <c r="H17" s="760">
        <f>výdavky!D123</f>
        <v>871.45</v>
      </c>
      <c r="I17" s="398">
        <f>výdavky!E123</f>
        <v>890</v>
      </c>
      <c r="J17" s="247">
        <f>výdavky!F123</f>
        <v>1000</v>
      </c>
      <c r="K17" s="247">
        <f>výdavky!G123</f>
        <v>830</v>
      </c>
      <c r="L17" s="351">
        <f>výdavky!H123</f>
        <v>880</v>
      </c>
      <c r="M17" s="516">
        <f>výdavky!I123</f>
        <v>880</v>
      </c>
      <c r="N17" s="760">
        <f>výdavky!J123</f>
        <v>880</v>
      </c>
    </row>
    <row r="18" spans="1:14" ht="12.75">
      <c r="A18" s="203">
        <v>12</v>
      </c>
      <c r="B18" s="371"/>
      <c r="C18" s="287" t="s">
        <v>203</v>
      </c>
      <c r="D18" s="281" t="s">
        <v>238</v>
      </c>
      <c r="E18" s="373" t="s">
        <v>269</v>
      </c>
      <c r="F18" s="282"/>
      <c r="G18" s="288">
        <f t="shared" si="3"/>
        <v>101.2</v>
      </c>
      <c r="H18" s="759">
        <f>výdavky!D124</f>
        <v>3783.24</v>
      </c>
      <c r="I18" s="397">
        <f>výdavky!E124</f>
        <v>3356</v>
      </c>
      <c r="J18" s="242">
        <f>výdavky!F124</f>
        <v>3200</v>
      </c>
      <c r="K18" s="242">
        <f>výdavky!G124</f>
        <v>2962</v>
      </c>
      <c r="L18" s="374">
        <f>výdavky!H124</f>
        <v>3050</v>
      </c>
      <c r="M18" s="750">
        <f>výdavky!I124</f>
        <v>3050</v>
      </c>
      <c r="N18" s="759">
        <f>výdavky!J124</f>
        <v>3050</v>
      </c>
    </row>
    <row r="19" spans="1:14" ht="12.75">
      <c r="A19" s="203">
        <f>A18+1</f>
        <v>13</v>
      </c>
      <c r="B19" s="371"/>
      <c r="C19" s="287" t="s">
        <v>205</v>
      </c>
      <c r="D19" s="286" t="s">
        <v>242</v>
      </c>
      <c r="E19" s="375" t="s">
        <v>270</v>
      </c>
      <c r="F19" s="254"/>
      <c r="G19" s="255">
        <f t="shared" si="3"/>
        <v>185.9</v>
      </c>
      <c r="H19" s="760">
        <f>výdavky!D132</f>
        <v>6977.4400000000005</v>
      </c>
      <c r="I19" s="398">
        <f>výdavky!E132</f>
        <v>5350</v>
      </c>
      <c r="J19" s="247">
        <f>výdavky!F132</f>
        <v>5850</v>
      </c>
      <c r="K19" s="247">
        <f>výdavky!G132</f>
        <v>5837</v>
      </c>
      <c r="L19" s="351">
        <f>výdavky!H132</f>
        <v>5600</v>
      </c>
      <c r="M19" s="516">
        <f>výdavky!I132</f>
        <v>5600</v>
      </c>
      <c r="N19" s="760">
        <f>výdavky!J132</f>
        <v>5600</v>
      </c>
    </row>
    <row r="20" spans="1:14" ht="12.75">
      <c r="A20" s="203">
        <f>A19+1</f>
        <v>14</v>
      </c>
      <c r="B20" s="371"/>
      <c r="C20" s="287" t="s">
        <v>207</v>
      </c>
      <c r="D20" s="281" t="s">
        <v>244</v>
      </c>
      <c r="E20" s="373" t="s">
        <v>271</v>
      </c>
      <c r="F20" s="282"/>
      <c r="G20" s="288">
        <f t="shared" si="3"/>
        <v>3.3</v>
      </c>
      <c r="H20" s="759">
        <f>výdavky!D136</f>
        <v>93.97</v>
      </c>
      <c r="I20" s="397">
        <f>výdavky!E136</f>
        <v>400</v>
      </c>
      <c r="J20" s="242">
        <f>výdavky!F136</f>
        <v>100</v>
      </c>
      <c r="K20" s="242">
        <f>výdavky!G136</f>
        <v>235</v>
      </c>
      <c r="L20" s="374">
        <f>výdavky!H136</f>
        <v>100</v>
      </c>
      <c r="M20" s="750">
        <f>výdavky!I136</f>
        <v>100</v>
      </c>
      <c r="N20" s="759">
        <f>výdavky!J136</f>
        <v>100</v>
      </c>
    </row>
    <row r="21" spans="1:14" ht="12.75">
      <c r="A21" s="203">
        <f>A20+1</f>
        <v>15</v>
      </c>
      <c r="B21" s="371"/>
      <c r="C21" s="287" t="s">
        <v>211</v>
      </c>
      <c r="D21" s="286" t="s">
        <v>272</v>
      </c>
      <c r="E21" s="375" t="s">
        <v>273</v>
      </c>
      <c r="F21" s="254"/>
      <c r="G21" s="255">
        <f t="shared" si="3"/>
        <v>10</v>
      </c>
      <c r="H21" s="760">
        <f>výdavky!D137</f>
        <v>425.6</v>
      </c>
      <c r="I21" s="398">
        <f>výdavky!E137</f>
        <v>400</v>
      </c>
      <c r="J21" s="247">
        <f>výdavky!F137</f>
        <v>300</v>
      </c>
      <c r="K21" s="247">
        <f>výdavky!G137</f>
        <v>532</v>
      </c>
      <c r="L21" s="351">
        <f>výdavky!H137</f>
        <v>300</v>
      </c>
      <c r="M21" s="516">
        <f>výdavky!I137</f>
        <v>300</v>
      </c>
      <c r="N21" s="760">
        <f>výdavky!J137</f>
        <v>300</v>
      </c>
    </row>
    <row r="22" spans="1:14" ht="12.75">
      <c r="A22" s="203">
        <v>16</v>
      </c>
      <c r="B22" s="371"/>
      <c r="C22" s="287" t="s">
        <v>220</v>
      </c>
      <c r="D22" s="286" t="s">
        <v>274</v>
      </c>
      <c r="E22" s="375" t="s">
        <v>275</v>
      </c>
      <c r="F22" s="254"/>
      <c r="G22" s="255">
        <f t="shared" si="3"/>
        <v>3.3</v>
      </c>
      <c r="H22" s="760">
        <f>výdavky!D138</f>
        <v>66</v>
      </c>
      <c r="I22" s="398">
        <f>výdavky!E138</f>
        <v>66</v>
      </c>
      <c r="J22" s="247">
        <f>výdavky!F138</f>
        <v>100</v>
      </c>
      <c r="K22" s="247">
        <f>výdavky!G138</f>
        <v>66</v>
      </c>
      <c r="L22" s="351">
        <f>výdavky!H138</f>
        <v>100</v>
      </c>
      <c r="M22" s="516">
        <f>výdavky!I138</f>
        <v>100</v>
      </c>
      <c r="N22" s="760">
        <f>výdavky!J138</f>
        <v>100</v>
      </c>
    </row>
    <row r="23" spans="1:14" ht="12.75">
      <c r="A23" s="203"/>
      <c r="B23" s="371"/>
      <c r="C23" s="287" t="s">
        <v>211</v>
      </c>
      <c r="D23" s="286" t="s">
        <v>276</v>
      </c>
      <c r="E23" s="375" t="s">
        <v>277</v>
      </c>
      <c r="F23" s="254"/>
      <c r="G23" s="255"/>
      <c r="H23" s="760">
        <f>výdavky!D139</f>
        <v>0</v>
      </c>
      <c r="I23" s="398">
        <f>SUM(výdavky!E139)</f>
        <v>0</v>
      </c>
      <c r="J23" s="247">
        <f>výdavky!F139</f>
        <v>0</v>
      </c>
      <c r="K23" s="247">
        <f>výdavky!G139</f>
        <v>0</v>
      </c>
      <c r="L23" s="351">
        <f>výdavky!H139</f>
        <v>0</v>
      </c>
      <c r="M23" s="516">
        <f>výdavky!I139</f>
        <v>0</v>
      </c>
      <c r="N23" s="760">
        <f>výdavky!J139</f>
        <v>0</v>
      </c>
    </row>
    <row r="24" spans="1:14" ht="12.75">
      <c r="A24" s="203"/>
      <c r="B24" s="371"/>
      <c r="C24" s="237"/>
      <c r="D24" s="1080" t="s">
        <v>189</v>
      </c>
      <c r="E24" s="1081"/>
      <c r="F24" s="1082"/>
      <c r="G24" s="1082"/>
      <c r="H24" s="1177">
        <f aca="true" t="shared" si="4" ref="H24:J25">H25</f>
        <v>20000</v>
      </c>
      <c r="I24" s="1172">
        <f t="shared" si="4"/>
        <v>0</v>
      </c>
      <c r="J24" s="1084">
        <f t="shared" si="4"/>
        <v>0</v>
      </c>
      <c r="K24" s="1084"/>
      <c r="L24" s="1085">
        <f>L25</f>
        <v>0</v>
      </c>
      <c r="M24" s="1086"/>
      <c r="N24" s="1087"/>
    </row>
    <row r="25" spans="1:14" ht="12.75">
      <c r="A25" s="203"/>
      <c r="B25" s="371"/>
      <c r="C25" s="1045" t="s">
        <v>266</v>
      </c>
      <c r="D25" s="1046" t="s">
        <v>267</v>
      </c>
      <c r="E25" s="1047"/>
      <c r="F25" s="1048"/>
      <c r="G25" s="1049"/>
      <c r="H25" s="1178">
        <f t="shared" si="4"/>
        <v>20000</v>
      </c>
      <c r="I25" s="1173">
        <f t="shared" si="4"/>
        <v>0</v>
      </c>
      <c r="J25" s="1050">
        <f t="shared" si="4"/>
        <v>0</v>
      </c>
      <c r="K25" s="1050">
        <f>K26</f>
        <v>0</v>
      </c>
      <c r="L25" s="1051">
        <f>L26</f>
        <v>0</v>
      </c>
      <c r="M25" s="1052">
        <f>M26</f>
        <v>0</v>
      </c>
      <c r="N25" s="1053">
        <f>N26</f>
        <v>0</v>
      </c>
    </row>
    <row r="26" spans="1:14" ht="12.75">
      <c r="A26" s="203"/>
      <c r="B26" s="371"/>
      <c r="C26" s="237"/>
      <c r="D26" s="945" t="s">
        <v>368</v>
      </c>
      <c r="E26" s="849" t="s">
        <v>692</v>
      </c>
      <c r="F26" s="944"/>
      <c r="G26" s="747"/>
      <c r="H26" s="764">
        <f>výdavky!D713</f>
        <v>20000</v>
      </c>
      <c r="I26" s="1174">
        <v>0</v>
      </c>
      <c r="J26" s="748">
        <v>0</v>
      </c>
      <c r="K26" s="748">
        <v>0</v>
      </c>
      <c r="L26" s="749">
        <v>0</v>
      </c>
      <c r="M26" s="753">
        <v>0</v>
      </c>
      <c r="N26" s="943">
        <v>0</v>
      </c>
    </row>
    <row r="27" spans="1:14" ht="12.75">
      <c r="A27" s="203"/>
      <c r="B27" s="376">
        <v>2</v>
      </c>
      <c r="C27" s="3200" t="s">
        <v>278</v>
      </c>
      <c r="D27" s="3200"/>
      <c r="E27" s="3200"/>
      <c r="F27" s="377"/>
      <c r="G27" s="378"/>
      <c r="H27" s="1179">
        <f>H28</f>
        <v>0</v>
      </c>
      <c r="I27" s="1175">
        <f>SUM(I28)</f>
        <v>12500</v>
      </c>
      <c r="J27" s="379">
        <f>J28</f>
        <v>0</v>
      </c>
      <c r="K27" s="379">
        <f>SUM(K28)</f>
        <v>0</v>
      </c>
      <c r="L27" s="380">
        <f>SUM(L28)</f>
        <v>0</v>
      </c>
      <c r="M27" s="519">
        <f>SUM(M28)</f>
        <v>0</v>
      </c>
      <c r="N27" s="761">
        <f>SUM(N28)</f>
        <v>0</v>
      </c>
    </row>
    <row r="28" spans="1:14" ht="12.75">
      <c r="A28" s="203">
        <v>17</v>
      </c>
      <c r="B28" s="381"/>
      <c r="C28" s="382"/>
      <c r="D28" s="818" t="s">
        <v>188</v>
      </c>
      <c r="E28" s="882"/>
      <c r="F28" s="827"/>
      <c r="G28" s="828" t="e">
        <f>'Program 3'!#REF!</f>
        <v>#REF!</v>
      </c>
      <c r="H28" s="834">
        <f>H29</f>
        <v>0</v>
      </c>
      <c r="I28" s="830">
        <f aca="true" t="shared" si="5" ref="I28:N29">I29</f>
        <v>12500</v>
      </c>
      <c r="J28" s="829">
        <f>J29</f>
        <v>0</v>
      </c>
      <c r="K28" s="829">
        <f t="shared" si="5"/>
        <v>0</v>
      </c>
      <c r="L28" s="829">
        <f t="shared" si="5"/>
        <v>0</v>
      </c>
      <c r="M28" s="838">
        <f t="shared" si="5"/>
        <v>0</v>
      </c>
      <c r="N28" s="834">
        <f t="shared" si="5"/>
        <v>0</v>
      </c>
    </row>
    <row r="29" spans="1:14" ht="12.75">
      <c r="A29" s="203">
        <f>A28+1</f>
        <v>18</v>
      </c>
      <c r="B29" s="371"/>
      <c r="C29" s="372" t="s">
        <v>266</v>
      </c>
      <c r="D29" s="264" t="s">
        <v>267</v>
      </c>
      <c r="E29" s="232"/>
      <c r="F29" s="233"/>
      <c r="G29" s="279">
        <f>SUM(G30:G30)</f>
        <v>0</v>
      </c>
      <c r="H29" s="762">
        <f>H30</f>
        <v>0</v>
      </c>
      <c r="I29" s="982">
        <f t="shared" si="5"/>
        <v>12500</v>
      </c>
      <c r="J29" s="280">
        <f>J30</f>
        <v>0</v>
      </c>
      <c r="K29" s="280">
        <f t="shared" si="5"/>
        <v>0</v>
      </c>
      <c r="L29" s="280">
        <f t="shared" si="5"/>
        <v>0</v>
      </c>
      <c r="M29" s="751">
        <f t="shared" si="5"/>
        <v>0</v>
      </c>
      <c r="N29" s="762">
        <f t="shared" si="5"/>
        <v>0</v>
      </c>
    </row>
    <row r="30" spans="1:14" ht="12.75">
      <c r="A30" s="203">
        <f>A29+1</f>
        <v>19</v>
      </c>
      <c r="B30" s="371"/>
      <c r="C30" s="287" t="s">
        <v>279</v>
      </c>
      <c r="D30" s="286" t="s">
        <v>374</v>
      </c>
      <c r="E30" s="375" t="s">
        <v>280</v>
      </c>
      <c r="F30" s="254"/>
      <c r="G30" s="255">
        <f>ROUND(M30/30.126,1)</f>
        <v>0</v>
      </c>
      <c r="H30" s="760">
        <f>výdavky!D626</f>
        <v>0</v>
      </c>
      <c r="I30" s="398">
        <f>výdavky!E626</f>
        <v>12500</v>
      </c>
      <c r="J30" s="247">
        <f>výdavky!F626</f>
        <v>0</v>
      </c>
      <c r="K30" s="247">
        <f>výdavky!G625</f>
        <v>0</v>
      </c>
      <c r="L30" s="351">
        <f>výdavky!H625</f>
        <v>0</v>
      </c>
      <c r="M30" s="516">
        <f>výdavky!I625</f>
        <v>0</v>
      </c>
      <c r="N30" s="760">
        <f>výdavky!J625</f>
        <v>0</v>
      </c>
    </row>
    <row r="31" spans="1:14" ht="12.75">
      <c r="A31" s="203">
        <v>20</v>
      </c>
      <c r="B31" s="369">
        <v>3</v>
      </c>
      <c r="C31" s="305" t="s">
        <v>281</v>
      </c>
      <c r="D31" s="210"/>
      <c r="E31" s="210"/>
      <c r="F31" s="211"/>
      <c r="G31" s="212">
        <f>SUM(G33)</f>
        <v>263.70000000000005</v>
      </c>
      <c r="H31" s="756">
        <f>H32</f>
        <v>7591.959999999999</v>
      </c>
      <c r="I31" s="399">
        <f aca="true" t="shared" si="6" ref="I31:N32">I32</f>
        <v>9727</v>
      </c>
      <c r="J31" s="214">
        <f>J32</f>
        <v>9850</v>
      </c>
      <c r="K31" s="214">
        <f t="shared" si="6"/>
        <v>11258</v>
      </c>
      <c r="L31" s="214">
        <f t="shared" si="6"/>
        <v>8845</v>
      </c>
      <c r="M31" s="509">
        <f t="shared" si="6"/>
        <v>8545</v>
      </c>
      <c r="N31" s="756">
        <f t="shared" si="6"/>
        <v>8545</v>
      </c>
    </row>
    <row r="32" spans="1:14" s="262" customFormat="1" ht="12.75">
      <c r="A32" s="203">
        <f aca="true" t="shared" si="7" ref="A32:A37">A31+1</f>
        <v>21</v>
      </c>
      <c r="B32" s="370"/>
      <c r="C32" s="296"/>
      <c r="D32" s="205" t="s">
        <v>186</v>
      </c>
      <c r="E32" s="225"/>
      <c r="F32" s="226"/>
      <c r="G32" s="227">
        <f>G33</f>
        <v>263.70000000000005</v>
      </c>
      <c r="H32" s="757">
        <f>H33</f>
        <v>7591.959999999999</v>
      </c>
      <c r="I32" s="396">
        <f t="shared" si="6"/>
        <v>9727</v>
      </c>
      <c r="J32" s="228">
        <f>J33</f>
        <v>9850</v>
      </c>
      <c r="K32" s="228">
        <f t="shared" si="6"/>
        <v>11258</v>
      </c>
      <c r="L32" s="228">
        <f t="shared" si="6"/>
        <v>8845</v>
      </c>
      <c r="M32" s="511">
        <f t="shared" si="6"/>
        <v>8545</v>
      </c>
      <c r="N32" s="757">
        <f t="shared" si="6"/>
        <v>8545</v>
      </c>
    </row>
    <row r="33" spans="1:14" ht="12.75">
      <c r="A33" s="203">
        <f t="shared" si="7"/>
        <v>22</v>
      </c>
      <c r="B33" s="371"/>
      <c r="C33" s="372" t="s">
        <v>282</v>
      </c>
      <c r="D33" s="264" t="s">
        <v>283</v>
      </c>
      <c r="E33" s="348"/>
      <c r="F33" s="349"/>
      <c r="G33" s="266">
        <f aca="true" t="shared" si="8" ref="G33:N33">SUM(G34:G39)</f>
        <v>263.70000000000005</v>
      </c>
      <c r="H33" s="758">
        <f>SUM(H34:H39)</f>
        <v>7591.959999999999</v>
      </c>
      <c r="I33" s="429">
        <f t="shared" si="8"/>
        <v>9727</v>
      </c>
      <c r="J33" s="235">
        <f>SUM(J34:J39)</f>
        <v>9850</v>
      </c>
      <c r="K33" s="235">
        <f t="shared" si="8"/>
        <v>11258</v>
      </c>
      <c r="L33" s="235">
        <f t="shared" si="8"/>
        <v>8845</v>
      </c>
      <c r="M33" s="350">
        <f t="shared" si="8"/>
        <v>8545</v>
      </c>
      <c r="N33" s="758">
        <f t="shared" si="8"/>
        <v>8545</v>
      </c>
    </row>
    <row r="34" spans="1:14" ht="12.75">
      <c r="A34" s="203">
        <f t="shared" si="7"/>
        <v>23</v>
      </c>
      <c r="B34" s="383"/>
      <c r="C34" s="287" t="s">
        <v>201</v>
      </c>
      <c r="D34" s="384">
        <v>1</v>
      </c>
      <c r="E34" s="248" t="s">
        <v>284</v>
      </c>
      <c r="F34" s="254"/>
      <c r="G34" s="255">
        <f>ROUND(M34/30.126,1)</f>
        <v>62.9</v>
      </c>
      <c r="H34" s="760">
        <f>výdavky!D142</f>
        <v>1293.66</v>
      </c>
      <c r="I34" s="398">
        <f>výdavky!E142</f>
        <v>2270</v>
      </c>
      <c r="J34" s="247">
        <f>výdavky!F142</f>
        <v>2000</v>
      </c>
      <c r="K34" s="247">
        <f>výdavky!G142</f>
        <v>1382</v>
      </c>
      <c r="L34" s="351">
        <f>výdavky!H142</f>
        <v>1895</v>
      </c>
      <c r="M34" s="516">
        <f>výdavky!I142</f>
        <v>1895</v>
      </c>
      <c r="N34" s="760">
        <f>výdavky!J142</f>
        <v>1895</v>
      </c>
    </row>
    <row r="35" spans="1:14" ht="12.75">
      <c r="A35" s="203">
        <f t="shared" si="7"/>
        <v>24</v>
      </c>
      <c r="B35" s="383"/>
      <c r="C35" s="287" t="s">
        <v>203</v>
      </c>
      <c r="D35" s="385">
        <v>2</v>
      </c>
      <c r="E35" s="239" t="s">
        <v>204</v>
      </c>
      <c r="F35" s="282"/>
      <c r="G35" s="288">
        <f>ROUND(M35/30.126,1)</f>
        <v>139.4</v>
      </c>
      <c r="H35" s="759">
        <f>výdavky!D143</f>
        <v>3370.59</v>
      </c>
      <c r="I35" s="397">
        <f>výdavky!E143</f>
        <v>4301</v>
      </c>
      <c r="J35" s="242">
        <f>výdavky!F143</f>
        <v>4500</v>
      </c>
      <c r="K35" s="242">
        <f>výdavky!G143</f>
        <v>5987</v>
      </c>
      <c r="L35" s="374">
        <f>výdavky!H143</f>
        <v>4500</v>
      </c>
      <c r="M35" s="750">
        <f>výdavky!I143</f>
        <v>4200</v>
      </c>
      <c r="N35" s="759">
        <f>výdavky!J143</f>
        <v>4200</v>
      </c>
    </row>
    <row r="36" spans="1:14" ht="12.75">
      <c r="A36" s="203">
        <f t="shared" si="7"/>
        <v>25</v>
      </c>
      <c r="B36" s="383"/>
      <c r="C36" s="287" t="s">
        <v>205</v>
      </c>
      <c r="D36" s="384">
        <v>3</v>
      </c>
      <c r="E36" s="248" t="s">
        <v>270</v>
      </c>
      <c r="F36" s="254"/>
      <c r="G36" s="255">
        <f>ROUND(M36/30.126,1)</f>
        <v>44.8</v>
      </c>
      <c r="H36" s="760">
        <f>výdavky!D149</f>
        <v>1728.31</v>
      </c>
      <c r="I36" s="398">
        <f>výdavky!E149</f>
        <v>1360</v>
      </c>
      <c r="J36" s="247">
        <f>výdavky!F149</f>
        <v>1350</v>
      </c>
      <c r="K36" s="247">
        <f>výdavky!G149</f>
        <v>870</v>
      </c>
      <c r="L36" s="351">
        <f>výdavky!H149</f>
        <v>1350</v>
      </c>
      <c r="M36" s="516">
        <f>výdavky!I149</f>
        <v>1350</v>
      </c>
      <c r="N36" s="760">
        <f>výdavky!J149</f>
        <v>1350</v>
      </c>
    </row>
    <row r="37" spans="1:14" ht="12.75">
      <c r="A37" s="203">
        <f t="shared" si="7"/>
        <v>26</v>
      </c>
      <c r="B37" s="383"/>
      <c r="C37" s="287" t="s">
        <v>207</v>
      </c>
      <c r="D37" s="740">
        <v>4</v>
      </c>
      <c r="E37" s="741" t="s">
        <v>285</v>
      </c>
      <c r="F37" s="437"/>
      <c r="G37" s="742">
        <f>ROUND(M37/30.126,1)</f>
        <v>16.6</v>
      </c>
      <c r="H37" s="763">
        <f>výdavky!D154</f>
        <v>0</v>
      </c>
      <c r="I37" s="439">
        <f>výdavky!E154</f>
        <v>500</v>
      </c>
      <c r="J37" s="253">
        <f>výdavky!F154</f>
        <v>500</v>
      </c>
      <c r="K37" s="253">
        <f>výdavky!G154</f>
        <v>110</v>
      </c>
      <c r="L37" s="743">
        <f>výdavky!H154</f>
        <v>500</v>
      </c>
      <c r="M37" s="752">
        <f>výdavky!I154</f>
        <v>500</v>
      </c>
      <c r="N37" s="763">
        <f>výdavky!J154</f>
        <v>500</v>
      </c>
    </row>
    <row r="38" spans="1:14" ht="12.75">
      <c r="A38" s="203">
        <v>27</v>
      </c>
      <c r="B38" s="383"/>
      <c r="C38" s="237" t="s">
        <v>211</v>
      </c>
      <c r="D38" s="744">
        <v>5</v>
      </c>
      <c r="E38" s="745" t="s">
        <v>286</v>
      </c>
      <c r="F38" s="746"/>
      <c r="G38" s="747"/>
      <c r="H38" s="764">
        <f>výdavky!D156</f>
        <v>1199.4</v>
      </c>
      <c r="I38" s="1174">
        <f>SUM(výdavky!E156)</f>
        <v>1296</v>
      </c>
      <c r="J38" s="748">
        <f>výdavky!F156</f>
        <v>500</v>
      </c>
      <c r="K38" s="748">
        <f>SUM(výdavky!G156)</f>
        <v>2909</v>
      </c>
      <c r="L38" s="749">
        <f>výdavky!H156</f>
        <v>600</v>
      </c>
      <c r="M38" s="753">
        <f>výdavky!I156</f>
        <v>600</v>
      </c>
      <c r="N38" s="764">
        <f>výdavky!J156</f>
        <v>600</v>
      </c>
    </row>
    <row r="39" spans="1:14" ht="12.75">
      <c r="A39" s="316">
        <v>28</v>
      </c>
      <c r="B39" s="386"/>
      <c r="C39" s="387" t="s">
        <v>220</v>
      </c>
      <c r="D39" s="388">
        <v>6</v>
      </c>
      <c r="E39" s="389" t="s">
        <v>643</v>
      </c>
      <c r="F39" s="390"/>
      <c r="G39" s="391">
        <f>ROUND(M39/30.126,1)</f>
        <v>0</v>
      </c>
      <c r="H39" s="765">
        <f>výdavky!D157</f>
        <v>0</v>
      </c>
      <c r="I39" s="1176">
        <f>výdavky!E157</f>
        <v>0</v>
      </c>
      <c r="J39" s="392">
        <f>výdavky!F157</f>
        <v>1000</v>
      </c>
      <c r="K39" s="392">
        <f>výdavky!G157</f>
        <v>0</v>
      </c>
      <c r="L39" s="393">
        <f>výdavky!H157</f>
        <v>0</v>
      </c>
      <c r="M39" s="754">
        <f>výdavky!I157</f>
        <v>0</v>
      </c>
      <c r="N39" s="765">
        <f>výdavky!J157</f>
        <v>0</v>
      </c>
    </row>
    <row r="40" ht="12.75">
      <c r="F40" s="168"/>
    </row>
    <row r="41" ht="12.75">
      <c r="F41" s="168"/>
    </row>
  </sheetData>
  <sheetProtection/>
  <mergeCells count="3">
    <mergeCell ref="G3:N3"/>
    <mergeCell ref="D4:F6"/>
    <mergeCell ref="C27:E27"/>
  </mergeCells>
  <printOptions/>
  <pageMargins left="0.25" right="0.25" top="0.75" bottom="0.75" header="0.3" footer="0.3"/>
  <pageSetup fitToHeight="0" fitToWidth="1" horizontalDpi="300" verticalDpi="300" orientation="portrait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PageLayoutView="0" workbookViewId="0" topLeftCell="A1">
      <selection activeCell="R54" sqref="R54:R55"/>
    </sheetView>
  </sheetViews>
  <sheetFormatPr defaultColWidth="9.140625" defaultRowHeight="12.75"/>
  <cols>
    <col min="1" max="1" width="2.8515625" style="167" customWidth="1"/>
    <col min="2" max="2" width="4.140625" style="1" customWidth="1"/>
    <col min="3" max="3" width="8.00390625" style="0" customWidth="1"/>
    <col min="4" max="4" width="3.421875" style="0" customWidth="1"/>
    <col min="5" max="5" width="31.57421875" style="0" customWidth="1"/>
    <col min="6" max="6" width="8.8515625" style="0" customWidth="1"/>
    <col min="7" max="7" width="0" style="0" hidden="1" customWidth="1"/>
    <col min="12" max="14" width="8.421875" style="0" customWidth="1"/>
  </cols>
  <sheetData>
    <row r="1" spans="1:14" ht="15.75">
      <c r="A1" s="171" t="s">
        <v>287</v>
      </c>
      <c r="D1" s="171" t="s">
        <v>288</v>
      </c>
      <c r="E1" s="169"/>
      <c r="F1" s="169"/>
      <c r="G1" s="324" t="e">
        <f>G2-G7</f>
        <v>#REF!</v>
      </c>
      <c r="H1" s="324"/>
      <c r="I1" s="324"/>
      <c r="J1" s="324"/>
      <c r="K1" s="324"/>
      <c r="L1" s="325">
        <f>L2-L7</f>
        <v>0</v>
      </c>
      <c r="M1" s="325">
        <f>M2-M7</f>
        <v>0</v>
      </c>
      <c r="N1" s="325">
        <f>N2-N7</f>
        <v>0</v>
      </c>
    </row>
    <row r="2" spans="2:14" ht="15.75">
      <c r="B2" s="171"/>
      <c r="G2" s="326" t="e">
        <f>SUM(G8:G10)</f>
        <v>#REF!</v>
      </c>
      <c r="H2" s="326"/>
      <c r="I2" s="326"/>
      <c r="J2" s="326"/>
      <c r="K2" s="326"/>
      <c r="L2" s="179">
        <f>SUM(L8:L10)</f>
        <v>135660</v>
      </c>
      <c r="M2" s="179">
        <f>SUM(M8:M10)</f>
        <v>118890</v>
      </c>
      <c r="N2" s="179">
        <f>SUM(N8:N10)</f>
        <v>118890</v>
      </c>
    </row>
    <row r="3" spans="1:14" ht="15.75">
      <c r="A3" s="180"/>
      <c r="B3" s="181"/>
      <c r="C3" s="182"/>
      <c r="D3" s="182"/>
      <c r="E3" s="183"/>
      <c r="F3" s="184"/>
      <c r="G3" s="3196" t="s">
        <v>173</v>
      </c>
      <c r="H3" s="3196"/>
      <c r="I3" s="3196"/>
      <c r="J3" s="3196"/>
      <c r="K3" s="3196"/>
      <c r="L3" s="3196"/>
      <c r="M3" s="3196"/>
      <c r="N3" s="3196"/>
    </row>
    <row r="4" spans="1:14" ht="15.75" customHeight="1">
      <c r="A4" s="185"/>
      <c r="B4" s="186" t="s">
        <v>174</v>
      </c>
      <c r="C4" s="187" t="s">
        <v>175</v>
      </c>
      <c r="D4" s="3199" t="s">
        <v>176</v>
      </c>
      <c r="E4" s="3199"/>
      <c r="F4" s="3199"/>
      <c r="G4" s="188"/>
      <c r="H4" s="975">
        <v>2016</v>
      </c>
      <c r="I4" s="189">
        <v>2017</v>
      </c>
      <c r="J4" s="189">
        <v>2018</v>
      </c>
      <c r="K4" s="189" t="s">
        <v>790</v>
      </c>
      <c r="L4" s="189">
        <v>2019</v>
      </c>
      <c r="M4" s="189">
        <v>2020</v>
      </c>
      <c r="N4" s="189">
        <v>2021</v>
      </c>
    </row>
    <row r="5" spans="1:14" ht="12" customHeight="1">
      <c r="A5" s="185"/>
      <c r="B5" s="186" t="s">
        <v>177</v>
      </c>
      <c r="C5" s="187" t="s">
        <v>178</v>
      </c>
      <c r="D5" s="3199"/>
      <c r="E5" s="3199"/>
      <c r="F5" s="3199"/>
      <c r="G5" s="190" t="s">
        <v>179</v>
      </c>
      <c r="H5" s="327" t="s">
        <v>180</v>
      </c>
      <c r="I5" s="191" t="s">
        <v>181</v>
      </c>
      <c r="J5" s="191" t="s">
        <v>180</v>
      </c>
      <c r="K5" s="191" t="s">
        <v>181</v>
      </c>
      <c r="L5" s="192" t="s">
        <v>180</v>
      </c>
      <c r="M5" s="191" t="s">
        <v>181</v>
      </c>
      <c r="N5" s="191" t="s">
        <v>181</v>
      </c>
    </row>
    <row r="6" spans="1:14" ht="12.75">
      <c r="A6" s="328"/>
      <c r="B6" s="329" t="s">
        <v>182</v>
      </c>
      <c r="C6" s="330" t="s">
        <v>183</v>
      </c>
      <c r="D6" s="3199"/>
      <c r="E6" s="3199"/>
      <c r="F6" s="3199"/>
      <c r="G6" s="331">
        <v>1</v>
      </c>
      <c r="H6" s="193">
        <v>-3</v>
      </c>
      <c r="I6" s="332">
        <v>-2</v>
      </c>
      <c r="J6" s="332">
        <v>-1</v>
      </c>
      <c r="K6" s="332">
        <v>-1</v>
      </c>
      <c r="L6" s="394">
        <v>0</v>
      </c>
      <c r="M6" s="332">
        <v>1</v>
      </c>
      <c r="N6" s="332">
        <v>2</v>
      </c>
    </row>
    <row r="7" spans="1:14" ht="15">
      <c r="A7" s="196">
        <v>1</v>
      </c>
      <c r="B7" s="197" t="s">
        <v>289</v>
      </c>
      <c r="C7" s="198"/>
      <c r="D7" s="367"/>
      <c r="E7" s="199" t="s">
        <v>288</v>
      </c>
      <c r="F7" s="368"/>
      <c r="G7" s="395" t="e">
        <f>G11+G20</f>
        <v>#REF!</v>
      </c>
      <c r="H7" s="2220">
        <f>H8+H9+H10</f>
        <v>101482.88999999998</v>
      </c>
      <c r="I7" s="2221">
        <f>SUM(I8:I10)</f>
        <v>129925</v>
      </c>
      <c r="J7" s="2096">
        <f>J8+J9+J10</f>
        <v>149250</v>
      </c>
      <c r="K7" s="2096">
        <f>SUM(K8:K10)</f>
        <v>130345</v>
      </c>
      <c r="L7" s="2096">
        <f>SUM(L8:L10)</f>
        <v>135660</v>
      </c>
      <c r="M7" s="2096">
        <f>SUM(M8:M10)</f>
        <v>118890</v>
      </c>
      <c r="N7" s="2096">
        <f>SUM(N8:N10)</f>
        <v>118890</v>
      </c>
    </row>
    <row r="8" spans="1:14" ht="12.75">
      <c r="A8" s="203">
        <f aca="true" t="shared" si="0" ref="A8:A13">A7+1</f>
        <v>2</v>
      </c>
      <c r="B8" s="204" t="s">
        <v>185</v>
      </c>
      <c r="C8" s="897" t="s">
        <v>186</v>
      </c>
      <c r="D8" s="898"/>
      <c r="E8" s="899"/>
      <c r="F8" s="900"/>
      <c r="G8" s="901" t="e">
        <f>G12+#REF!</f>
        <v>#REF!</v>
      </c>
      <c r="H8" s="1044">
        <f>H12+H25+H30+H35</f>
        <v>101482.88999999998</v>
      </c>
      <c r="I8" s="1000">
        <f>SUM(I12,I25,I35,I30)</f>
        <v>129925</v>
      </c>
      <c r="J8" s="902">
        <f>J12+J25+J30+J35</f>
        <v>149250</v>
      </c>
      <c r="K8" s="902">
        <f>SUM(K12,K25,K35,K30)</f>
        <v>130345</v>
      </c>
      <c r="L8" s="902">
        <f>SUM(L12,L25,L30,L35)</f>
        <v>135660</v>
      </c>
      <c r="M8" s="902">
        <f>SUM(M12,M25,M35,M30)</f>
        <v>118890</v>
      </c>
      <c r="N8" s="902">
        <f>SUM(N12,N25,N35,N30)</f>
        <v>118890</v>
      </c>
    </row>
    <row r="9" spans="1:14" ht="12.75">
      <c r="A9" s="203">
        <f t="shared" si="0"/>
        <v>3</v>
      </c>
      <c r="B9" s="204" t="s">
        <v>187</v>
      </c>
      <c r="C9" s="1034" t="s">
        <v>188</v>
      </c>
      <c r="D9" s="1035"/>
      <c r="E9" s="1036"/>
      <c r="F9" s="1037"/>
      <c r="G9" s="1038" t="e">
        <f>G21</f>
        <v>#REF!</v>
      </c>
      <c r="H9" s="1054">
        <f>H21+H46</f>
        <v>0</v>
      </c>
      <c r="I9" s="1039">
        <f>SUM(I21,I46)</f>
        <v>0</v>
      </c>
      <c r="J9" s="1040">
        <f>J21+J46</f>
        <v>0</v>
      </c>
      <c r="K9" s="1040">
        <f>SUM(K21,K46)</f>
        <v>0</v>
      </c>
      <c r="L9" s="1040">
        <f>SUM(L21,L46)</f>
        <v>0</v>
      </c>
      <c r="M9" s="1040">
        <f>SUM(M21,M46)</f>
        <v>0</v>
      </c>
      <c r="N9" s="1040">
        <f>SUM(N21,N46)</f>
        <v>0</v>
      </c>
    </row>
    <row r="10" spans="1:14" ht="12.75">
      <c r="A10" s="203">
        <f t="shared" si="0"/>
        <v>4</v>
      </c>
      <c r="B10" s="207"/>
      <c r="C10" s="1065" t="s">
        <v>189</v>
      </c>
      <c r="D10" s="1066"/>
      <c r="E10" s="1067"/>
      <c r="F10" s="1068"/>
      <c r="G10" s="1069">
        <v>0</v>
      </c>
      <c r="H10" s="1071">
        <v>0</v>
      </c>
      <c r="I10" s="1072">
        <v>0</v>
      </c>
      <c r="J10" s="1073">
        <v>0</v>
      </c>
      <c r="K10" s="1073">
        <v>0</v>
      </c>
      <c r="L10" s="1072">
        <v>0</v>
      </c>
      <c r="M10" s="1073">
        <v>0</v>
      </c>
      <c r="N10" s="1073">
        <v>0</v>
      </c>
    </row>
    <row r="11" spans="1:14" ht="12.75">
      <c r="A11" s="203">
        <f t="shared" si="0"/>
        <v>5</v>
      </c>
      <c r="B11" s="304">
        <v>1</v>
      </c>
      <c r="C11" s="305" t="s">
        <v>290</v>
      </c>
      <c r="D11" s="210"/>
      <c r="E11" s="210"/>
      <c r="F11" s="211"/>
      <c r="G11" s="212">
        <f>G13</f>
        <v>0</v>
      </c>
      <c r="H11" s="756">
        <f>H12</f>
        <v>15348.260000000002</v>
      </c>
      <c r="I11" s="399">
        <f aca="true" t="shared" si="1" ref="I11:N12">I12</f>
        <v>12695</v>
      </c>
      <c r="J11" s="214">
        <f>J12</f>
        <v>12600</v>
      </c>
      <c r="K11" s="214">
        <f t="shared" si="1"/>
        <v>16263</v>
      </c>
      <c r="L11" s="214">
        <f t="shared" si="1"/>
        <v>15900</v>
      </c>
      <c r="M11" s="214">
        <f t="shared" si="1"/>
        <v>0</v>
      </c>
      <c r="N11" s="214">
        <f t="shared" si="1"/>
        <v>0</v>
      </c>
    </row>
    <row r="12" spans="1:14" s="262" customFormat="1" ht="12.75">
      <c r="A12" s="203">
        <f t="shared" si="0"/>
        <v>6</v>
      </c>
      <c r="B12" s="306"/>
      <c r="C12" s="296"/>
      <c r="D12" s="206" t="s">
        <v>186</v>
      </c>
      <c r="E12" s="225"/>
      <c r="F12" s="226"/>
      <c r="G12" s="227">
        <f>G13</f>
        <v>0</v>
      </c>
      <c r="H12" s="757">
        <f>H13</f>
        <v>15348.260000000002</v>
      </c>
      <c r="I12" s="396">
        <f t="shared" si="1"/>
        <v>12695</v>
      </c>
      <c r="J12" s="228">
        <f>J13</f>
        <v>12600</v>
      </c>
      <c r="K12" s="228">
        <f t="shared" si="1"/>
        <v>16263</v>
      </c>
      <c r="L12" s="396">
        <f t="shared" si="1"/>
        <v>15900</v>
      </c>
      <c r="M12" s="228">
        <f t="shared" si="1"/>
        <v>0</v>
      </c>
      <c r="N12" s="228">
        <f t="shared" si="1"/>
        <v>0</v>
      </c>
    </row>
    <row r="13" spans="1:14" ht="12.75">
      <c r="A13" s="203">
        <f t="shared" si="0"/>
        <v>7</v>
      </c>
      <c r="B13" s="229"/>
      <c r="C13" s="307" t="s">
        <v>291</v>
      </c>
      <c r="D13" s="264" t="s">
        <v>292</v>
      </c>
      <c r="E13" s="232"/>
      <c r="F13" s="233"/>
      <c r="G13" s="266">
        <f>SUM(G17:G17)</f>
        <v>0</v>
      </c>
      <c r="H13" s="758">
        <f>SUM(H14:H19)</f>
        <v>15348.260000000002</v>
      </c>
      <c r="I13" s="429">
        <f>SUM(I14,I15,I17,I18,I19)+I16</f>
        <v>12695</v>
      </c>
      <c r="J13" s="235">
        <f>SUM(J14:J19)</f>
        <v>12600</v>
      </c>
      <c r="K13" s="235">
        <f>SUM(K14,K15,K17,K18,K19)+K16</f>
        <v>16263</v>
      </c>
      <c r="L13" s="235">
        <f>SUM(L14,L15,L17,L18,L19)+L16</f>
        <v>15900</v>
      </c>
      <c r="M13" s="235">
        <f>SUM(M14,M15,M17,M18,M19)+M16</f>
        <v>0</v>
      </c>
      <c r="N13" s="235">
        <f>SUM(N14,N15,N17,N18,N19)+N16</f>
        <v>0</v>
      </c>
    </row>
    <row r="14" spans="1:14" ht="12.75">
      <c r="A14" s="203">
        <v>8</v>
      </c>
      <c r="B14" s="229"/>
      <c r="C14" s="237" t="s">
        <v>195</v>
      </c>
      <c r="D14" s="268">
        <v>1</v>
      </c>
      <c r="E14" s="269" t="s">
        <v>293</v>
      </c>
      <c r="F14" s="270"/>
      <c r="G14" s="288"/>
      <c r="H14" s="759">
        <f>výdavky!D198</f>
        <v>7993.08</v>
      </c>
      <c r="I14" s="397">
        <f>výdavky!E198</f>
        <v>8700</v>
      </c>
      <c r="J14" s="242">
        <f>výdavky!F198</f>
        <v>8700</v>
      </c>
      <c r="K14" s="242">
        <f>výdavky!G198</f>
        <v>9720</v>
      </c>
      <c r="L14" s="397">
        <f>výdavky!H198</f>
        <v>11000</v>
      </c>
      <c r="M14" s="242">
        <f>výdavky!I198</f>
        <v>0</v>
      </c>
      <c r="N14" s="242">
        <f>výdavky!J198</f>
        <v>0</v>
      </c>
    </row>
    <row r="15" spans="1:14" ht="12.75">
      <c r="A15" s="203">
        <v>9</v>
      </c>
      <c r="B15" s="229"/>
      <c r="C15" s="237" t="s">
        <v>197</v>
      </c>
      <c r="D15" s="272">
        <v>2</v>
      </c>
      <c r="E15" s="273" t="s">
        <v>198</v>
      </c>
      <c r="F15" s="274"/>
      <c r="G15" s="255"/>
      <c r="H15" s="760">
        <f>výdavky!D200+výdavky!D201</f>
        <v>3024.05</v>
      </c>
      <c r="I15" s="398">
        <f>výdavky!E200</f>
        <v>3085</v>
      </c>
      <c r="J15" s="247">
        <f>výdavky!F200</f>
        <v>2800</v>
      </c>
      <c r="K15" s="247">
        <f>výdavky!G200</f>
        <v>6233</v>
      </c>
      <c r="L15" s="398">
        <f>výdavky!H200</f>
        <v>3800</v>
      </c>
      <c r="M15" s="247">
        <f>výdavky!I200</f>
        <v>0</v>
      </c>
      <c r="N15" s="247">
        <f>výdavky!J200</f>
        <v>0</v>
      </c>
    </row>
    <row r="16" spans="1:14" ht="12.75">
      <c r="A16" s="203"/>
      <c r="B16" s="229"/>
      <c r="C16" s="237" t="s">
        <v>201</v>
      </c>
      <c r="D16" s="914">
        <v>3</v>
      </c>
      <c r="E16" s="915" t="s">
        <v>202</v>
      </c>
      <c r="F16" s="916"/>
      <c r="G16" s="917"/>
      <c r="H16" s="1168">
        <f>výdavky!D202</f>
        <v>99</v>
      </c>
      <c r="I16" s="919">
        <f>výdavky!E202</f>
        <v>110</v>
      </c>
      <c r="J16" s="918">
        <f>výdavky!F202</f>
        <v>100</v>
      </c>
      <c r="K16" s="918">
        <f>výdavky!G202</f>
        <v>110</v>
      </c>
      <c r="L16" s="919">
        <f>výdavky!H202</f>
        <v>100</v>
      </c>
      <c r="M16" s="918">
        <f>výdavky!I202</f>
        <v>0</v>
      </c>
      <c r="N16" s="918">
        <f>výdavky!J202</f>
        <v>0</v>
      </c>
    </row>
    <row r="17" spans="1:14" ht="12.75">
      <c r="A17" s="203">
        <v>10</v>
      </c>
      <c r="B17" s="229"/>
      <c r="C17" s="237" t="s">
        <v>203</v>
      </c>
      <c r="D17" s="281" t="s">
        <v>236</v>
      </c>
      <c r="E17" s="239" t="s">
        <v>204</v>
      </c>
      <c r="F17" s="282"/>
      <c r="G17" s="288">
        <f>ROUND(M17/30.126,1)</f>
        <v>0</v>
      </c>
      <c r="H17" s="759">
        <f>výdavky!D203+výdavky!D204</f>
        <v>4232.13</v>
      </c>
      <c r="I17" s="397">
        <f>výdavky!E204+výdavky!E203</f>
        <v>800</v>
      </c>
      <c r="J17" s="242">
        <f>výdavky!F204+výdavky!F203</f>
        <v>1000</v>
      </c>
      <c r="K17" s="242">
        <f>výdavky!G204+výdavky!G203</f>
        <v>200</v>
      </c>
      <c r="L17" s="397">
        <f>výdavky!H204+výdavky!H203</f>
        <v>1000</v>
      </c>
      <c r="M17" s="242">
        <f>výdavky!I204+výdavky!I203</f>
        <v>0</v>
      </c>
      <c r="N17" s="242">
        <f>výdavky!J204+výdavky!J203</f>
        <v>0</v>
      </c>
    </row>
    <row r="18" spans="1:14" ht="12.75">
      <c r="A18" s="203">
        <f>A17+1</f>
        <v>11</v>
      </c>
      <c r="B18" s="229"/>
      <c r="C18" s="237" t="s">
        <v>205</v>
      </c>
      <c r="D18" s="286" t="s">
        <v>238</v>
      </c>
      <c r="E18" s="248" t="s">
        <v>294</v>
      </c>
      <c r="F18" s="254"/>
      <c r="G18" s="255"/>
      <c r="H18" s="760">
        <f>výdavky!D205</f>
        <v>0</v>
      </c>
      <c r="I18" s="398">
        <f>výdavky!E205</f>
        <v>0</v>
      </c>
      <c r="J18" s="247">
        <f>výdavky!F205</f>
        <v>0</v>
      </c>
      <c r="K18" s="247">
        <f>výdavky!G205</f>
        <v>0</v>
      </c>
      <c r="L18" s="398">
        <f>výdavky!H205</f>
        <v>0</v>
      </c>
      <c r="M18" s="247">
        <f>výdavky!I205</f>
        <v>0</v>
      </c>
      <c r="N18" s="247">
        <f>výdavky!J205</f>
        <v>0</v>
      </c>
    </row>
    <row r="19" spans="1:14" ht="12.75">
      <c r="A19" s="203">
        <f>A18+1</f>
        <v>12</v>
      </c>
      <c r="B19" s="229"/>
      <c r="C19" s="237" t="s">
        <v>211</v>
      </c>
      <c r="D19" s="286" t="s">
        <v>242</v>
      </c>
      <c r="E19" s="248" t="s">
        <v>212</v>
      </c>
      <c r="F19" s="254"/>
      <c r="G19" s="255"/>
      <c r="H19" s="760">
        <f>výdavky!D206</f>
        <v>0</v>
      </c>
      <c r="I19" s="398">
        <f>výdavky!E206</f>
        <v>0</v>
      </c>
      <c r="J19" s="247">
        <f>výdavky!F206</f>
        <v>0</v>
      </c>
      <c r="K19" s="247">
        <f>výdavky!G206</f>
        <v>0</v>
      </c>
      <c r="L19" s="398">
        <f>výdavky!H206</f>
        <v>0</v>
      </c>
      <c r="M19" s="247">
        <f>výdavky!I206</f>
        <v>0</v>
      </c>
      <c r="N19" s="247">
        <f>výdavky!J206</f>
        <v>0</v>
      </c>
    </row>
    <row r="20" spans="1:14" ht="12.75">
      <c r="A20" s="203">
        <v>13</v>
      </c>
      <c r="B20" s="304">
        <v>2</v>
      </c>
      <c r="C20" s="305" t="s">
        <v>295</v>
      </c>
      <c r="D20" s="210"/>
      <c r="E20" s="210"/>
      <c r="F20" s="211"/>
      <c r="G20" s="212" t="e">
        <f>#REF!+G22</f>
        <v>#REF!</v>
      </c>
      <c r="H20" s="756">
        <f>H21+H25</f>
        <v>682</v>
      </c>
      <c r="I20" s="399">
        <f>I21+SUM(I21,I25)</f>
        <v>2500</v>
      </c>
      <c r="J20" s="214">
        <f>J21+J25</f>
        <v>21000</v>
      </c>
      <c r="K20" s="214">
        <f>K21+SUM(K21,K25)</f>
        <v>3000</v>
      </c>
      <c r="L20" s="399">
        <f>L21+SUM(L21,L25)</f>
        <v>3000</v>
      </c>
      <c r="M20" s="214">
        <f>M21+SUM(M21,M25)</f>
        <v>0</v>
      </c>
      <c r="N20" s="214">
        <f>N21+SUM(N21,N25)</f>
        <v>0</v>
      </c>
    </row>
    <row r="21" spans="1:14" ht="12.75">
      <c r="A21" s="203">
        <f aca="true" t="shared" si="2" ref="A21:A32">A20+1</f>
        <v>14</v>
      </c>
      <c r="B21" s="229"/>
      <c r="C21" s="237"/>
      <c r="D21" s="818" t="s">
        <v>188</v>
      </c>
      <c r="E21" s="822"/>
      <c r="F21" s="827"/>
      <c r="G21" s="828" t="e">
        <f aca="true" t="shared" si="3" ref="G21:N21">G22</f>
        <v>#REF!</v>
      </c>
      <c r="H21" s="834">
        <f>H22</f>
        <v>0</v>
      </c>
      <c r="I21" s="830">
        <f t="shared" si="3"/>
        <v>0</v>
      </c>
      <c r="J21" s="829">
        <f>J22</f>
        <v>0</v>
      </c>
      <c r="K21" s="829">
        <f t="shared" si="3"/>
        <v>0</v>
      </c>
      <c r="L21" s="830">
        <f t="shared" si="3"/>
        <v>0</v>
      </c>
      <c r="M21" s="829">
        <f t="shared" si="3"/>
        <v>0</v>
      </c>
      <c r="N21" s="829">
        <f t="shared" si="3"/>
        <v>0</v>
      </c>
    </row>
    <row r="22" spans="1:14" ht="12.75">
      <c r="A22" s="203">
        <f t="shared" si="2"/>
        <v>15</v>
      </c>
      <c r="B22" s="229"/>
      <c r="C22" s="307" t="s">
        <v>296</v>
      </c>
      <c r="D22" s="264" t="s">
        <v>297</v>
      </c>
      <c r="E22" s="232"/>
      <c r="F22" s="400"/>
      <c r="G22" s="279" t="e">
        <f>SUM(G25:G32)</f>
        <v>#REF!</v>
      </c>
      <c r="H22" s="762">
        <f>H23+H24</f>
        <v>0</v>
      </c>
      <c r="I22" s="982">
        <f>SUM(I23,I24)</f>
        <v>0</v>
      </c>
      <c r="J22" s="280">
        <f>J23+J24</f>
        <v>0</v>
      </c>
      <c r="K22" s="280">
        <f>SUM(K23,K24)</f>
        <v>0</v>
      </c>
      <c r="L22" s="280">
        <f>SUM(L23,L24)</f>
        <v>0</v>
      </c>
      <c r="M22" s="280">
        <f>SUM(M23,M24)</f>
        <v>0</v>
      </c>
      <c r="N22" s="280">
        <f>SUM(N23,N24)</f>
        <v>0</v>
      </c>
    </row>
    <row r="23" spans="1:14" ht="12.75">
      <c r="A23" s="203">
        <f t="shared" si="2"/>
        <v>16</v>
      </c>
      <c r="B23" s="229"/>
      <c r="C23" s="287" t="s">
        <v>298</v>
      </c>
      <c r="D23" s="281" t="s">
        <v>221</v>
      </c>
      <c r="E23" s="269" t="s">
        <v>696</v>
      </c>
      <c r="F23" s="270"/>
      <c r="G23" s="288"/>
      <c r="H23" s="759">
        <f>výdavky!D636</f>
        <v>0</v>
      </c>
      <c r="I23" s="397">
        <v>0</v>
      </c>
      <c r="J23" s="242">
        <f>výdavky!F636</f>
        <v>0</v>
      </c>
      <c r="K23" s="242">
        <f>výdavky!G635</f>
        <v>0</v>
      </c>
      <c r="L23" s="401">
        <v>0</v>
      </c>
      <c r="M23" s="242">
        <v>0</v>
      </c>
      <c r="N23" s="242">
        <v>0</v>
      </c>
    </row>
    <row r="24" spans="1:14" ht="12.75">
      <c r="A24" s="203">
        <f t="shared" si="2"/>
        <v>17</v>
      </c>
      <c r="B24" s="229"/>
      <c r="C24" s="287" t="s">
        <v>298</v>
      </c>
      <c r="D24" s="286" t="s">
        <v>223</v>
      </c>
      <c r="E24" s="273" t="s">
        <v>299</v>
      </c>
      <c r="F24" s="274"/>
      <c r="G24" s="255"/>
      <c r="H24" s="760">
        <v>0</v>
      </c>
      <c r="I24" s="398">
        <v>0</v>
      </c>
      <c r="J24" s="247">
        <v>0</v>
      </c>
      <c r="K24" s="247">
        <v>0</v>
      </c>
      <c r="L24" s="402">
        <f>výdavky!H636</f>
        <v>0</v>
      </c>
      <c r="M24" s="247">
        <v>0</v>
      </c>
      <c r="N24" s="247">
        <v>0</v>
      </c>
    </row>
    <row r="25" spans="1:14" ht="12.75">
      <c r="A25" s="203">
        <f t="shared" si="2"/>
        <v>18</v>
      </c>
      <c r="B25" s="236"/>
      <c r="C25" s="237"/>
      <c r="D25" s="3201" t="s">
        <v>186</v>
      </c>
      <c r="E25" s="3201"/>
      <c r="F25" s="403"/>
      <c r="G25" s="404"/>
      <c r="H25" s="1169">
        <f>H26</f>
        <v>682</v>
      </c>
      <c r="I25" s="993">
        <f>SUM(I26)</f>
        <v>2500</v>
      </c>
      <c r="J25" s="405">
        <f>J26</f>
        <v>21000</v>
      </c>
      <c r="K25" s="405">
        <f>SUM(K26)</f>
        <v>3000</v>
      </c>
      <c r="L25" s="396">
        <f>SUM(L26)</f>
        <v>3000</v>
      </c>
      <c r="M25" s="405">
        <f>SUM(M26)</f>
        <v>0</v>
      </c>
      <c r="N25" s="405">
        <f>SUM(N26)</f>
        <v>0</v>
      </c>
    </row>
    <row r="26" spans="1:14" ht="12.75">
      <c r="A26" s="203">
        <f t="shared" si="2"/>
        <v>19</v>
      </c>
      <c r="B26" s="236"/>
      <c r="C26" s="307" t="s">
        <v>296</v>
      </c>
      <c r="D26" s="264" t="s">
        <v>297</v>
      </c>
      <c r="E26" s="232"/>
      <c r="F26" s="400"/>
      <c r="G26" s="279" t="e">
        <f>SUM(G29:G32)</f>
        <v>#REF!</v>
      </c>
      <c r="H26" s="762">
        <f>H27+H28</f>
        <v>682</v>
      </c>
      <c r="I26" s="982">
        <f>SUM(I27,I28)</f>
        <v>2500</v>
      </c>
      <c r="J26" s="280">
        <f>J27+J28</f>
        <v>21000</v>
      </c>
      <c r="K26" s="280">
        <f>SUM(K27,K28)</f>
        <v>3000</v>
      </c>
      <c r="L26" s="280">
        <f>SUM(L27,L28)</f>
        <v>3000</v>
      </c>
      <c r="M26" s="280">
        <f>SUM(M27,M28)</f>
        <v>0</v>
      </c>
      <c r="N26" s="280">
        <f>SUM(N27,N28)</f>
        <v>0</v>
      </c>
    </row>
    <row r="27" spans="1:14" ht="12.75">
      <c r="A27" s="203">
        <f t="shared" si="2"/>
        <v>20</v>
      </c>
      <c r="B27" s="236"/>
      <c r="C27" s="406">
        <v>633</v>
      </c>
      <c r="D27" s="281" t="s">
        <v>234</v>
      </c>
      <c r="E27" s="269" t="s">
        <v>204</v>
      </c>
      <c r="F27" s="269"/>
      <c r="G27" s="269"/>
      <c r="H27" s="1170">
        <f>výdavky!D213</f>
        <v>682</v>
      </c>
      <c r="I27" s="397">
        <f>výdavky!E213</f>
        <v>0</v>
      </c>
      <c r="J27" s="242">
        <f>výdavky!F213+výdavky!F214</f>
        <v>18000</v>
      </c>
      <c r="K27" s="242">
        <f>výdavky!G213</f>
        <v>3000</v>
      </c>
      <c r="L27" s="401">
        <f>výdavky!H213</f>
        <v>0</v>
      </c>
      <c r="M27" s="242">
        <f>výdavky!I213</f>
        <v>0</v>
      </c>
      <c r="N27" s="242">
        <f>výdavky!J213</f>
        <v>0</v>
      </c>
    </row>
    <row r="28" spans="1:14" ht="12.75">
      <c r="A28" s="203">
        <f t="shared" si="2"/>
        <v>21</v>
      </c>
      <c r="B28" s="236"/>
      <c r="C28" s="406">
        <v>635</v>
      </c>
      <c r="D28" s="286" t="s">
        <v>236</v>
      </c>
      <c r="E28" s="273" t="s">
        <v>300</v>
      </c>
      <c r="F28" s="407"/>
      <c r="G28" s="255"/>
      <c r="H28" s="760">
        <f>výdavky!D215</f>
        <v>0</v>
      </c>
      <c r="I28" s="398">
        <f>výdavky!E215</f>
        <v>2500</v>
      </c>
      <c r="J28" s="247">
        <f>výdavky!F215</f>
        <v>3000</v>
      </c>
      <c r="K28" s="247">
        <f>výdavky!G215</f>
        <v>0</v>
      </c>
      <c r="L28" s="402">
        <f>výdavky!H215+výdavky!H214</f>
        <v>3000</v>
      </c>
      <c r="M28" s="247">
        <f>výdavky!I215</f>
        <v>0</v>
      </c>
      <c r="N28" s="247">
        <f>výdavky!J215</f>
        <v>0</v>
      </c>
    </row>
    <row r="29" spans="1:14" ht="12.75">
      <c r="A29" s="203">
        <f t="shared" si="2"/>
        <v>22</v>
      </c>
      <c r="B29" s="304">
        <v>3</v>
      </c>
      <c r="C29" s="305" t="s">
        <v>301</v>
      </c>
      <c r="D29" s="210"/>
      <c r="E29" s="210"/>
      <c r="F29" s="211"/>
      <c r="G29" s="212" t="e">
        <f>#REF!+G32</f>
        <v>#REF!</v>
      </c>
      <c r="H29" s="756">
        <f>H30</f>
        <v>277</v>
      </c>
      <c r="I29" s="399">
        <f>SUM(I30)</f>
        <v>3500</v>
      </c>
      <c r="J29" s="214">
        <f>J30</f>
        <v>3500</v>
      </c>
      <c r="K29" s="214">
        <f>SUM(K30)</f>
        <v>502</v>
      </c>
      <c r="L29" s="214">
        <f>SUM(L30)</f>
        <v>1000</v>
      </c>
      <c r="M29" s="214">
        <f>SUM(M30)</f>
        <v>1000</v>
      </c>
      <c r="N29" s="214">
        <f>SUM(N30)</f>
        <v>1000</v>
      </c>
    </row>
    <row r="30" spans="1:14" ht="12.75">
      <c r="A30" s="203">
        <f t="shared" si="2"/>
        <v>23</v>
      </c>
      <c r="B30" s="306"/>
      <c r="C30" s="296"/>
      <c r="D30" s="206" t="s">
        <v>186</v>
      </c>
      <c r="E30" s="225"/>
      <c r="F30" s="226"/>
      <c r="G30" s="227">
        <f aca="true" t="shared" si="4" ref="G30:N30">G31</f>
        <v>0</v>
      </c>
      <c r="H30" s="757">
        <f>H31</f>
        <v>277</v>
      </c>
      <c r="I30" s="396">
        <f t="shared" si="4"/>
        <v>3500</v>
      </c>
      <c r="J30" s="228">
        <f>J31</f>
        <v>3500</v>
      </c>
      <c r="K30" s="228">
        <f t="shared" si="4"/>
        <v>502</v>
      </c>
      <c r="L30" s="396">
        <f t="shared" si="4"/>
        <v>1000</v>
      </c>
      <c r="M30" s="228">
        <f t="shared" si="4"/>
        <v>1000</v>
      </c>
      <c r="N30" s="228">
        <f t="shared" si="4"/>
        <v>1000</v>
      </c>
    </row>
    <row r="31" spans="1:14" s="410" customFormat="1" ht="12.75">
      <c r="A31" s="203">
        <f t="shared" si="2"/>
        <v>24</v>
      </c>
      <c r="B31" s="408"/>
      <c r="C31" s="307" t="s">
        <v>302</v>
      </c>
      <c r="D31" s="264" t="s">
        <v>301</v>
      </c>
      <c r="E31" s="232"/>
      <c r="F31" s="409"/>
      <c r="G31" s="266"/>
      <c r="H31" s="758">
        <f>H32+H33</f>
        <v>277</v>
      </c>
      <c r="I31" s="429">
        <f>SUM(I32:I32)</f>
        <v>3500</v>
      </c>
      <c r="J31" s="235">
        <f>J32+J33</f>
        <v>3500</v>
      </c>
      <c r="K31" s="235">
        <f>SUM(K32:K32)</f>
        <v>502</v>
      </c>
      <c r="L31" s="235">
        <f>SUM(L32:L32)</f>
        <v>1000</v>
      </c>
      <c r="M31" s="235">
        <f>SUM(M32:M32)</f>
        <v>1000</v>
      </c>
      <c r="N31" s="235">
        <f>SUM(N32:N32)</f>
        <v>1000</v>
      </c>
    </row>
    <row r="32" spans="1:14" ht="12.75">
      <c r="A32" s="203">
        <f t="shared" si="2"/>
        <v>25</v>
      </c>
      <c r="B32" s="411"/>
      <c r="C32" s="287" t="s">
        <v>211</v>
      </c>
      <c r="D32" s="281" t="s">
        <v>221</v>
      </c>
      <c r="E32" s="373" t="s">
        <v>303</v>
      </c>
      <c r="F32" s="412"/>
      <c r="G32" s="288">
        <f>ROUND(M32/30.126,1)</f>
        <v>33.2</v>
      </c>
      <c r="H32" s="759">
        <f>výdavky!D209</f>
        <v>0</v>
      </c>
      <c r="I32" s="397">
        <f>výdavky!E210</f>
        <v>3500</v>
      </c>
      <c r="J32" s="242">
        <f>výdavky!F210</f>
        <v>3500</v>
      </c>
      <c r="K32" s="242">
        <f>výdavky!G210</f>
        <v>502</v>
      </c>
      <c r="L32" s="401">
        <f>výdavky!H210</f>
        <v>1000</v>
      </c>
      <c r="M32" s="242">
        <f>výdavky!I210</f>
        <v>1000</v>
      </c>
      <c r="N32" s="242">
        <f>výdavky!J210</f>
        <v>1000</v>
      </c>
    </row>
    <row r="33" spans="1:14" ht="12.75">
      <c r="A33" s="203"/>
      <c r="B33" s="413"/>
      <c r="C33" s="414">
        <v>637</v>
      </c>
      <c r="D33" s="243">
        <v>2</v>
      </c>
      <c r="E33" s="415" t="s">
        <v>333</v>
      </c>
      <c r="F33" s="416"/>
      <c r="G33" s="255"/>
      <c r="H33" s="760">
        <f>výdavky!D210</f>
        <v>277</v>
      </c>
      <c r="I33" s="398"/>
      <c r="J33" s="247"/>
      <c r="K33" s="247"/>
      <c r="L33" s="402"/>
      <c r="M33" s="247"/>
      <c r="N33" s="247"/>
    </row>
    <row r="34" spans="1:14" ht="12.75">
      <c r="A34" s="203">
        <v>30</v>
      </c>
      <c r="B34" s="417">
        <v>4</v>
      </c>
      <c r="C34" s="305" t="s">
        <v>304</v>
      </c>
      <c r="D34" s="418"/>
      <c r="E34" s="418"/>
      <c r="F34" s="419"/>
      <c r="G34" s="420" t="e">
        <f>#REF!+#REF!</f>
        <v>#REF!</v>
      </c>
      <c r="H34" s="1171">
        <f>H35+H46</f>
        <v>85175.62999999999</v>
      </c>
      <c r="I34" s="399">
        <f>SUM(I35+I46)</f>
        <v>111230</v>
      </c>
      <c r="J34" s="214">
        <f>J35+J46</f>
        <v>112150</v>
      </c>
      <c r="K34" s="214">
        <f>SUM(K35+K46)</f>
        <v>110580</v>
      </c>
      <c r="L34" s="399">
        <f>SUM(L35+L46)</f>
        <v>115760</v>
      </c>
      <c r="M34" s="214">
        <f>SUM(M35+M46)</f>
        <v>117890</v>
      </c>
      <c r="N34" s="214">
        <f>SUM(N35+N46)</f>
        <v>117890</v>
      </c>
    </row>
    <row r="35" spans="1:14" ht="12.75">
      <c r="A35" s="203">
        <f aca="true" t="shared" si="5" ref="A35:A44">A34+1</f>
        <v>31</v>
      </c>
      <c r="B35" s="306"/>
      <c r="C35" s="296"/>
      <c r="D35" s="206" t="s">
        <v>186</v>
      </c>
      <c r="E35" s="225"/>
      <c r="F35" s="226"/>
      <c r="G35" s="227" t="e">
        <f>G36+G47</f>
        <v>#REF!</v>
      </c>
      <c r="H35" s="757">
        <f aca="true" t="shared" si="6" ref="H35:N35">H36</f>
        <v>85175.62999999999</v>
      </c>
      <c r="I35" s="396">
        <f t="shared" si="6"/>
        <v>111230</v>
      </c>
      <c r="J35" s="228">
        <f t="shared" si="6"/>
        <v>112150</v>
      </c>
      <c r="K35" s="228">
        <f t="shared" si="6"/>
        <v>110580</v>
      </c>
      <c r="L35" s="396">
        <f t="shared" si="6"/>
        <v>115760</v>
      </c>
      <c r="M35" s="228">
        <f t="shared" si="6"/>
        <v>117890</v>
      </c>
      <c r="N35" s="228">
        <f t="shared" si="6"/>
        <v>117890</v>
      </c>
    </row>
    <row r="36" spans="1:14" ht="12.75">
      <c r="A36" s="203">
        <f t="shared" si="5"/>
        <v>32</v>
      </c>
      <c r="B36" s="229"/>
      <c r="C36" s="307" t="s">
        <v>305</v>
      </c>
      <c r="D36" s="231" t="s">
        <v>306</v>
      </c>
      <c r="E36" s="232"/>
      <c r="F36" s="233"/>
      <c r="G36" s="266">
        <f>SUM(G37:G44)</f>
        <v>2481.2000000000003</v>
      </c>
      <c r="H36" s="758">
        <f>SUM(H37:H45)</f>
        <v>85175.62999999999</v>
      </c>
      <c r="I36" s="429">
        <f>SUM(I37:I44)+I45</f>
        <v>111230</v>
      </c>
      <c r="J36" s="235">
        <f>SUM(J37:J45)</f>
        <v>112150</v>
      </c>
      <c r="K36" s="235">
        <f>SUM(K37:K44)+K45</f>
        <v>110580</v>
      </c>
      <c r="L36" s="235">
        <f>SUM(L37:L44)+L45</f>
        <v>115760</v>
      </c>
      <c r="M36" s="235">
        <f>SUM(M37:M44)+M45</f>
        <v>117890</v>
      </c>
      <c r="N36" s="235">
        <f>SUM(N37:N44)+N45</f>
        <v>117890</v>
      </c>
    </row>
    <row r="37" spans="1:14" ht="12.75">
      <c r="A37" s="203">
        <f t="shared" si="5"/>
        <v>33</v>
      </c>
      <c r="B37" s="236"/>
      <c r="C37" s="287" t="s">
        <v>195</v>
      </c>
      <c r="D37" s="281" t="s">
        <v>221</v>
      </c>
      <c r="E37" s="239" t="s">
        <v>293</v>
      </c>
      <c r="F37" s="282"/>
      <c r="G37" s="288">
        <f>ROUND(M37/30.126,1)</f>
        <v>2456.3</v>
      </c>
      <c r="H37" s="759">
        <f>výdavky!D178+výdavky!D179</f>
        <v>48317.55</v>
      </c>
      <c r="I37" s="397">
        <f>výdavky!E178+výdavky!E179</f>
        <v>73000</v>
      </c>
      <c r="J37" s="242">
        <f>výdavky!F178+výdavky!F179</f>
        <v>70000</v>
      </c>
      <c r="K37" s="242">
        <f>výdavky!G178+výdavky!G179</f>
        <v>60000</v>
      </c>
      <c r="L37" s="397">
        <f>výdavky!H178+výdavky!H179</f>
        <v>73000</v>
      </c>
      <c r="M37" s="242">
        <f>výdavky!I178</f>
        <v>74000</v>
      </c>
      <c r="N37" s="242">
        <f>výdavky!J178</f>
        <v>74000</v>
      </c>
    </row>
    <row r="38" spans="1:14" ht="12.75">
      <c r="A38" s="203">
        <f t="shared" si="5"/>
        <v>34</v>
      </c>
      <c r="B38" s="236"/>
      <c r="C38" s="287" t="s">
        <v>197</v>
      </c>
      <c r="D38" s="286" t="s">
        <v>223</v>
      </c>
      <c r="E38" s="248" t="s">
        <v>198</v>
      </c>
      <c r="F38" s="254"/>
      <c r="G38" s="255"/>
      <c r="H38" s="760">
        <f>výdavky!D180</f>
        <v>17667.35</v>
      </c>
      <c r="I38" s="398">
        <f>výdavky!E180</f>
        <v>18000</v>
      </c>
      <c r="J38" s="247">
        <f>výdavky!F180</f>
        <v>25000</v>
      </c>
      <c r="K38" s="247">
        <f>výdavky!G180</f>
        <v>20700</v>
      </c>
      <c r="L38" s="398">
        <f>výdavky!H180</f>
        <v>26050</v>
      </c>
      <c r="M38" s="247">
        <f>výdavky!I180</f>
        <v>27180</v>
      </c>
      <c r="N38" s="247">
        <f>výdavky!J180</f>
        <v>27180</v>
      </c>
    </row>
    <row r="39" spans="1:14" ht="12.75">
      <c r="A39" s="203">
        <f t="shared" si="5"/>
        <v>35</v>
      </c>
      <c r="B39" s="236"/>
      <c r="C39" s="287" t="s">
        <v>201</v>
      </c>
      <c r="D39" s="281" t="s">
        <v>234</v>
      </c>
      <c r="E39" s="239" t="s">
        <v>202</v>
      </c>
      <c r="F39" s="282"/>
      <c r="G39" s="288">
        <f>ROUND(M39/30.126,1)</f>
        <v>24.9</v>
      </c>
      <c r="H39" s="759">
        <f>výdavky!D181</f>
        <v>1422.5</v>
      </c>
      <c r="I39" s="397">
        <f>výdavky!E181</f>
        <v>1600</v>
      </c>
      <c r="J39" s="242">
        <f>výdavky!F181</f>
        <v>1600</v>
      </c>
      <c r="K39" s="242">
        <f>výdavky!G181</f>
        <v>670</v>
      </c>
      <c r="L39" s="397">
        <f>výdavky!H181</f>
        <v>750</v>
      </c>
      <c r="M39" s="242">
        <f>výdavky!I181</f>
        <v>750</v>
      </c>
      <c r="N39" s="242">
        <f>výdavky!J181</f>
        <v>750</v>
      </c>
    </row>
    <row r="40" spans="1:14" ht="12.75">
      <c r="A40" s="203">
        <f t="shared" si="5"/>
        <v>36</v>
      </c>
      <c r="B40" s="236"/>
      <c r="C40" s="287" t="s">
        <v>203</v>
      </c>
      <c r="D40" s="286" t="s">
        <v>236</v>
      </c>
      <c r="E40" s="248" t="s">
        <v>204</v>
      </c>
      <c r="F40" s="254"/>
      <c r="G40" s="255"/>
      <c r="H40" s="760">
        <f>výdavky!D182</f>
        <v>12172.42</v>
      </c>
      <c r="I40" s="398">
        <f>výdavky!E182</f>
        <v>14050</v>
      </c>
      <c r="J40" s="247">
        <f>výdavky!F182</f>
        <v>9200</v>
      </c>
      <c r="K40" s="247">
        <f>výdavky!G182</f>
        <v>15300</v>
      </c>
      <c r="L40" s="398">
        <f>výdavky!H182</f>
        <v>9400</v>
      </c>
      <c r="M40" s="247">
        <f>výdavky!I182</f>
        <v>9400</v>
      </c>
      <c r="N40" s="247">
        <f>výdavky!J182</f>
        <v>9400</v>
      </c>
    </row>
    <row r="41" spans="1:14" ht="12.75">
      <c r="A41" s="203">
        <f t="shared" si="5"/>
        <v>37</v>
      </c>
      <c r="B41" s="236"/>
      <c r="C41" s="287" t="s">
        <v>205</v>
      </c>
      <c r="D41" s="281" t="s">
        <v>238</v>
      </c>
      <c r="E41" s="239" t="s">
        <v>206</v>
      </c>
      <c r="F41" s="282"/>
      <c r="G41" s="288"/>
      <c r="H41" s="759">
        <f>výdavky!D188</f>
        <v>1627.6200000000001</v>
      </c>
      <c r="I41" s="397">
        <f>výdavky!E188</f>
        <v>2718</v>
      </c>
      <c r="J41" s="242">
        <f>výdavky!F188</f>
        <v>2100</v>
      </c>
      <c r="K41" s="242">
        <f>výdavky!G188</f>
        <v>5600</v>
      </c>
      <c r="L41" s="397">
        <f>výdavky!H188</f>
        <v>2100</v>
      </c>
      <c r="M41" s="242">
        <f>výdavky!I188</f>
        <v>2100</v>
      </c>
      <c r="N41" s="242">
        <f>výdavky!J188</f>
        <v>2100</v>
      </c>
    </row>
    <row r="42" spans="1:14" ht="12.75">
      <c r="A42" s="203">
        <f t="shared" si="5"/>
        <v>38</v>
      </c>
      <c r="B42" s="236"/>
      <c r="C42" s="287" t="s">
        <v>207</v>
      </c>
      <c r="D42" s="286" t="s">
        <v>242</v>
      </c>
      <c r="E42" s="248" t="s">
        <v>307</v>
      </c>
      <c r="F42" s="254"/>
      <c r="G42" s="255"/>
      <c r="H42" s="760">
        <f>výdavky!D193</f>
        <v>2718.16</v>
      </c>
      <c r="I42" s="398">
        <f>výdavky!E193</f>
        <v>1000</v>
      </c>
      <c r="J42" s="247">
        <f>výdavky!F193</f>
        <v>3500</v>
      </c>
      <c r="K42" s="247">
        <f>výdavky!G193</f>
        <v>2500</v>
      </c>
      <c r="L42" s="398">
        <f>výdavky!H193</f>
        <v>3500</v>
      </c>
      <c r="M42" s="247">
        <f>výdavky!I193</f>
        <v>3500</v>
      </c>
      <c r="N42" s="247">
        <f>výdavky!J193</f>
        <v>3500</v>
      </c>
    </row>
    <row r="43" spans="1:14" ht="12.75">
      <c r="A43" s="203">
        <f t="shared" si="5"/>
        <v>39</v>
      </c>
      <c r="B43" s="236"/>
      <c r="C43" s="287" t="s">
        <v>211</v>
      </c>
      <c r="D43" s="281" t="s">
        <v>244</v>
      </c>
      <c r="E43" s="239" t="s">
        <v>273</v>
      </c>
      <c r="F43" s="282"/>
      <c r="G43" s="288"/>
      <c r="H43" s="759">
        <f>výdavky!D194</f>
        <v>904.26</v>
      </c>
      <c r="I43" s="397">
        <f>výdavky!E194</f>
        <v>862</v>
      </c>
      <c r="J43" s="242">
        <f>výdavky!F194</f>
        <v>750</v>
      </c>
      <c r="K43" s="242">
        <f>výdavky!G194</f>
        <v>5810</v>
      </c>
      <c r="L43" s="397">
        <f>výdavky!H194</f>
        <v>960</v>
      </c>
      <c r="M43" s="242">
        <f>výdavky!I194</f>
        <v>960</v>
      </c>
      <c r="N43" s="242">
        <f>výdavky!J194</f>
        <v>960</v>
      </c>
    </row>
    <row r="44" spans="1:14" ht="12.75">
      <c r="A44" s="203">
        <f t="shared" si="5"/>
        <v>40</v>
      </c>
      <c r="B44" s="236"/>
      <c r="C44" s="287" t="s">
        <v>220</v>
      </c>
      <c r="D44" s="286" t="s">
        <v>272</v>
      </c>
      <c r="E44" s="248" t="s">
        <v>308</v>
      </c>
      <c r="F44" s="254"/>
      <c r="G44" s="255"/>
      <c r="H44" s="760">
        <f>výdavky!D195</f>
        <v>0</v>
      </c>
      <c r="I44" s="398">
        <f>výdavky!E195</f>
        <v>0</v>
      </c>
      <c r="J44" s="247">
        <f>výdavky!F195</f>
        <v>0</v>
      </c>
      <c r="K44" s="247">
        <f>výdavky!G195</f>
        <v>0</v>
      </c>
      <c r="L44" s="398">
        <f>výdavky!H195</f>
        <v>0</v>
      </c>
      <c r="M44" s="247">
        <f>výdavky!I195</f>
        <v>0</v>
      </c>
      <c r="N44" s="247">
        <f>výdavky!J195</f>
        <v>0</v>
      </c>
    </row>
    <row r="45" spans="1:14" ht="12.75">
      <c r="A45" s="203"/>
      <c r="B45" s="236"/>
      <c r="C45" s="287" t="s">
        <v>220</v>
      </c>
      <c r="D45" s="286" t="s">
        <v>274</v>
      </c>
      <c r="E45" s="248" t="s">
        <v>309</v>
      </c>
      <c r="F45" s="254"/>
      <c r="G45" s="255"/>
      <c r="H45" s="760">
        <f>výdavky!D196</f>
        <v>345.77</v>
      </c>
      <c r="I45" s="398">
        <f>SUM(výdavky!E196)</f>
        <v>0</v>
      </c>
      <c r="J45" s="247">
        <f>výdavky!F196</f>
        <v>0</v>
      </c>
      <c r="K45" s="247">
        <f>výdavky!G196</f>
        <v>0</v>
      </c>
      <c r="L45" s="398">
        <f>výdavky!H196</f>
        <v>0</v>
      </c>
      <c r="M45" s="247">
        <f>výdavky!I196</f>
        <v>0</v>
      </c>
      <c r="N45" s="247">
        <f>výdavky!J196</f>
        <v>0</v>
      </c>
    </row>
    <row r="46" spans="1:14" ht="12.75">
      <c r="A46" s="203">
        <v>41</v>
      </c>
      <c r="B46" s="236"/>
      <c r="C46" s="237"/>
      <c r="D46" s="818" t="s">
        <v>188</v>
      </c>
      <c r="E46" s="822"/>
      <c r="F46" s="827"/>
      <c r="G46" s="828" t="e">
        <f aca="true" t="shared" si="7" ref="G46:N46">G47</f>
        <v>#REF!</v>
      </c>
      <c r="H46" s="834">
        <f>H47</f>
        <v>0</v>
      </c>
      <c r="I46" s="830">
        <f t="shared" si="7"/>
        <v>0</v>
      </c>
      <c r="J46" s="829">
        <f>J47</f>
        <v>0</v>
      </c>
      <c r="K46" s="829">
        <f t="shared" si="7"/>
        <v>0</v>
      </c>
      <c r="L46" s="830">
        <f t="shared" si="7"/>
        <v>0</v>
      </c>
      <c r="M46" s="829">
        <f t="shared" si="7"/>
        <v>0</v>
      </c>
      <c r="N46" s="829">
        <f t="shared" si="7"/>
        <v>0</v>
      </c>
    </row>
    <row r="47" spans="1:14" ht="12.75">
      <c r="A47" s="203">
        <f>A46+1</f>
        <v>42</v>
      </c>
      <c r="B47" s="236"/>
      <c r="C47" s="307" t="s">
        <v>310</v>
      </c>
      <c r="D47" s="231" t="s">
        <v>306</v>
      </c>
      <c r="E47" s="232"/>
      <c r="F47" s="233"/>
      <c r="G47" s="266" t="e">
        <f>SUM(#REF!)</f>
        <v>#REF!</v>
      </c>
      <c r="H47" s="758">
        <f>H48</f>
        <v>0</v>
      </c>
      <c r="I47" s="429">
        <f>SUM(I48:I48)</f>
        <v>0</v>
      </c>
      <c r="J47" s="235">
        <f>J48</f>
        <v>0</v>
      </c>
      <c r="K47" s="235">
        <f>SUM(K48:K48)</f>
        <v>0</v>
      </c>
      <c r="L47" s="235">
        <f>SUM(L48:L48)</f>
        <v>0</v>
      </c>
      <c r="M47" s="235">
        <f>SUM(M48:M48)</f>
        <v>0</v>
      </c>
      <c r="N47" s="235">
        <f>SUM(N48:N48)</f>
        <v>0</v>
      </c>
    </row>
    <row r="48" spans="1:14" s="262" customFormat="1" ht="12.75">
      <c r="A48" s="316">
        <v>43</v>
      </c>
      <c r="B48" s="421"/>
      <c r="C48" s="422" t="s">
        <v>298</v>
      </c>
      <c r="D48" s="354" t="s">
        <v>276</v>
      </c>
      <c r="E48" s="423" t="s">
        <v>716</v>
      </c>
      <c r="F48" s="424"/>
      <c r="G48" s="425"/>
      <c r="H48" s="992"/>
      <c r="I48" s="426">
        <v>0</v>
      </c>
      <c r="J48" s="359"/>
      <c r="K48" s="359">
        <v>0</v>
      </c>
      <c r="L48" s="426">
        <v>0</v>
      </c>
      <c r="M48" s="359">
        <v>0</v>
      </c>
      <c r="N48" s="359">
        <v>0</v>
      </c>
    </row>
  </sheetData>
  <sheetProtection/>
  <mergeCells count="3">
    <mergeCell ref="G3:N3"/>
    <mergeCell ref="D4:F6"/>
    <mergeCell ref="D25:E25"/>
  </mergeCells>
  <printOptions/>
  <pageMargins left="0.25" right="0.25" top="0.75" bottom="0.75" header="0.3" footer="0.3"/>
  <pageSetup fitToHeight="0" fitToWidth="1" horizontalDpi="300" verticalDpi="3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view="pageLayout" workbookViewId="0" topLeftCell="A10">
      <selection activeCell="R54" sqref="R54:R55"/>
    </sheetView>
  </sheetViews>
  <sheetFormatPr defaultColWidth="9.140625" defaultRowHeight="12.75"/>
  <cols>
    <col min="1" max="1" width="3.57421875" style="167" customWidth="1"/>
    <col min="2" max="2" width="4.140625" style="1" customWidth="1"/>
    <col min="3" max="3" width="7.57421875" style="0" customWidth="1"/>
    <col min="4" max="4" width="3.421875" style="0" customWidth="1"/>
    <col min="5" max="5" width="31.421875" style="0" customWidth="1"/>
    <col min="6" max="6" width="9.8515625" style="0" customWidth="1"/>
    <col min="7" max="7" width="0" style="0" hidden="1" customWidth="1"/>
    <col min="10" max="10" width="9.7109375" style="0" bestFit="1" customWidth="1"/>
    <col min="12" max="12" width="9.7109375" style="0" customWidth="1"/>
    <col min="13" max="14" width="8.421875" style="0" customWidth="1"/>
  </cols>
  <sheetData>
    <row r="1" spans="2:14" ht="15.75">
      <c r="B1" s="171" t="s">
        <v>311</v>
      </c>
      <c r="E1" s="171" t="s">
        <v>312</v>
      </c>
      <c r="F1" s="169"/>
      <c r="G1" s="324" t="e">
        <f>G2-G7</f>
        <v>#REF!</v>
      </c>
      <c r="H1" s="324"/>
      <c r="I1" s="324"/>
      <c r="J1" s="324"/>
      <c r="K1" s="324"/>
      <c r="L1" s="325">
        <f>L2-L7</f>
        <v>0</v>
      </c>
      <c r="M1" s="325">
        <f>M2-M7</f>
        <v>0</v>
      </c>
      <c r="N1" s="325">
        <f>N2-N7</f>
        <v>0</v>
      </c>
    </row>
    <row r="2" spans="2:14" ht="15.75">
      <c r="B2" s="171"/>
      <c r="G2" s="326" t="e">
        <f>SUM(G8:G10)</f>
        <v>#REF!</v>
      </c>
      <c r="H2" s="326"/>
      <c r="I2" s="326"/>
      <c r="J2" s="326"/>
      <c r="K2" s="326"/>
      <c r="L2" s="179">
        <f>SUM(L8:L10)</f>
        <v>2921324</v>
      </c>
      <c r="M2" s="179">
        <f>SUM(M8:M10)</f>
        <v>156685</v>
      </c>
      <c r="N2" s="179">
        <f>SUM(N8:N10)</f>
        <v>157185</v>
      </c>
    </row>
    <row r="3" spans="1:14" ht="15.75">
      <c r="A3" s="180"/>
      <c r="B3" s="181"/>
      <c r="C3" s="182"/>
      <c r="D3" s="182"/>
      <c r="E3" s="183"/>
      <c r="F3" s="184"/>
      <c r="G3" s="3196" t="s">
        <v>173</v>
      </c>
      <c r="H3" s="3196"/>
      <c r="I3" s="3196"/>
      <c r="J3" s="3196"/>
      <c r="K3" s="3196"/>
      <c r="L3" s="3196"/>
      <c r="M3" s="3196"/>
      <c r="N3" s="3196"/>
    </row>
    <row r="4" spans="1:14" ht="11.25" customHeight="1">
      <c r="A4" s="185"/>
      <c r="B4" s="186" t="s">
        <v>174</v>
      </c>
      <c r="C4" s="187" t="s">
        <v>175</v>
      </c>
      <c r="D4" s="3199" t="s">
        <v>176</v>
      </c>
      <c r="E4" s="3199"/>
      <c r="F4" s="3199"/>
      <c r="G4" s="188"/>
      <c r="H4" s="975">
        <v>2016</v>
      </c>
      <c r="I4" s="189">
        <v>2017</v>
      </c>
      <c r="J4" s="189">
        <v>2018</v>
      </c>
      <c r="K4" s="189" t="s">
        <v>790</v>
      </c>
      <c r="L4" s="189">
        <v>2019</v>
      </c>
      <c r="M4" s="189">
        <v>2020</v>
      </c>
      <c r="N4" s="189">
        <v>2021</v>
      </c>
    </row>
    <row r="5" spans="1:14" ht="15" customHeight="1">
      <c r="A5" s="185"/>
      <c r="B5" s="186" t="s">
        <v>177</v>
      </c>
      <c r="C5" s="187" t="s">
        <v>178</v>
      </c>
      <c r="D5" s="3199"/>
      <c r="E5" s="3199"/>
      <c r="F5" s="3199"/>
      <c r="G5" s="190" t="s">
        <v>179</v>
      </c>
      <c r="H5" s="327" t="s">
        <v>180</v>
      </c>
      <c r="I5" s="191" t="s">
        <v>181</v>
      </c>
      <c r="J5" s="191" t="s">
        <v>180</v>
      </c>
      <c r="K5" s="191" t="s">
        <v>181</v>
      </c>
      <c r="L5" s="191" t="s">
        <v>180</v>
      </c>
      <c r="M5" s="191" t="s">
        <v>181</v>
      </c>
      <c r="N5" s="191" t="s">
        <v>181</v>
      </c>
    </row>
    <row r="6" spans="1:14" ht="13.5" thickBot="1">
      <c r="A6" s="185"/>
      <c r="B6" s="329" t="s">
        <v>182</v>
      </c>
      <c r="C6" s="330" t="s">
        <v>183</v>
      </c>
      <c r="D6" s="3199"/>
      <c r="E6" s="3199"/>
      <c r="F6" s="3199"/>
      <c r="G6" s="331">
        <v>1</v>
      </c>
      <c r="H6" s="193">
        <v>-3</v>
      </c>
      <c r="I6" s="332">
        <v>-2</v>
      </c>
      <c r="J6" s="332">
        <v>-1</v>
      </c>
      <c r="K6" s="332">
        <v>-1</v>
      </c>
      <c r="L6" s="332">
        <v>0</v>
      </c>
      <c r="M6" s="332">
        <v>1</v>
      </c>
      <c r="N6" s="332">
        <v>2</v>
      </c>
    </row>
    <row r="7" spans="1:14" ht="15">
      <c r="A7" s="196">
        <v>1</v>
      </c>
      <c r="B7" s="427" t="s">
        <v>311</v>
      </c>
      <c r="C7" s="334"/>
      <c r="D7" s="335"/>
      <c r="E7" s="336" t="s">
        <v>312</v>
      </c>
      <c r="F7" s="337"/>
      <c r="G7" s="338" t="e">
        <f>G11+G27</f>
        <v>#REF!</v>
      </c>
      <c r="H7" s="755">
        <f>H8+H9+H10</f>
        <v>156727.58</v>
      </c>
      <c r="I7" s="976">
        <f>SUM(I8,I9,I10)</f>
        <v>157905</v>
      </c>
      <c r="J7" s="2223">
        <f>J8+J9+J10</f>
        <v>7309600</v>
      </c>
      <c r="K7" s="2223">
        <f>SUM(K8,K9,K10)</f>
        <v>6511730</v>
      </c>
      <c r="L7" s="2097">
        <f>SUM(L8,L9,L10)</f>
        <v>2921324</v>
      </c>
      <c r="M7" s="1760">
        <f>SUM(M8,M9,M10)</f>
        <v>156685</v>
      </c>
      <c r="N7" s="202">
        <f>SUM(N8,N9,N10)</f>
        <v>157185</v>
      </c>
    </row>
    <row r="8" spans="1:14" ht="12.75">
      <c r="A8" s="203">
        <f aca="true" t="shared" si="0" ref="A8:A21">A7+1</f>
        <v>2</v>
      </c>
      <c r="B8" s="204" t="s">
        <v>185</v>
      </c>
      <c r="C8" s="897" t="s">
        <v>186</v>
      </c>
      <c r="D8" s="898"/>
      <c r="E8" s="899"/>
      <c r="F8" s="900"/>
      <c r="G8" s="901" t="e">
        <f>G12+G28</f>
        <v>#REF!</v>
      </c>
      <c r="H8" s="1044">
        <f>H12+H28+H43</f>
        <v>156727.58</v>
      </c>
      <c r="I8" s="1000">
        <f>SUM(I12+I28+I43)</f>
        <v>157905</v>
      </c>
      <c r="J8" s="902">
        <f>J13+J29+J44</f>
        <v>159600</v>
      </c>
      <c r="K8" s="902">
        <f>SUM(K12+K28+K43)</f>
        <v>183904</v>
      </c>
      <c r="L8" s="1042">
        <f>SUM(L12+L28)</f>
        <v>190110</v>
      </c>
      <c r="M8" s="902">
        <f>SUM(M12+M28)</f>
        <v>156685</v>
      </c>
      <c r="N8" s="902">
        <f>SUM(N12+N28)</f>
        <v>157185</v>
      </c>
    </row>
    <row r="9" spans="1:14" ht="12.75">
      <c r="A9" s="203">
        <f t="shared" si="0"/>
        <v>3</v>
      </c>
      <c r="B9" s="204" t="s">
        <v>187</v>
      </c>
      <c r="C9" s="1034" t="s">
        <v>188</v>
      </c>
      <c r="D9" s="1035"/>
      <c r="E9" s="1036"/>
      <c r="F9" s="1037"/>
      <c r="G9" s="1038" t="e">
        <f>#REF!</f>
        <v>#REF!</v>
      </c>
      <c r="H9" s="1054">
        <f aca="true" t="shared" si="1" ref="H9:M9">H23+H37</f>
        <v>0</v>
      </c>
      <c r="I9" s="1039">
        <f t="shared" si="1"/>
        <v>0</v>
      </c>
      <c r="J9" s="1759">
        <f t="shared" si="1"/>
        <v>7150000</v>
      </c>
      <c r="K9" s="1040">
        <f t="shared" si="1"/>
        <v>6327826</v>
      </c>
      <c r="L9" s="1040">
        <f t="shared" si="1"/>
        <v>2731214</v>
      </c>
      <c r="M9" s="1759">
        <f t="shared" si="1"/>
        <v>0</v>
      </c>
      <c r="N9" s="1040">
        <f>N23</f>
        <v>0</v>
      </c>
    </row>
    <row r="10" spans="1:14" ht="13.5" thickBot="1">
      <c r="A10" s="203">
        <f t="shared" si="0"/>
        <v>4</v>
      </c>
      <c r="B10" s="207"/>
      <c r="C10" s="1065" t="s">
        <v>189</v>
      </c>
      <c r="D10" s="1066"/>
      <c r="E10" s="1067"/>
      <c r="F10" s="1068"/>
      <c r="G10" s="1069">
        <v>0</v>
      </c>
      <c r="H10" s="1138">
        <v>0</v>
      </c>
      <c r="I10" s="1088">
        <v>0</v>
      </c>
      <c r="J10" s="1089">
        <v>0</v>
      </c>
      <c r="K10" s="1089">
        <v>0</v>
      </c>
      <c r="L10" s="1090">
        <v>0</v>
      </c>
      <c r="M10" s="1089">
        <v>0</v>
      </c>
      <c r="N10" s="1089">
        <v>0</v>
      </c>
    </row>
    <row r="11" spans="1:14" ht="13.5" thickTop="1">
      <c r="A11" s="203">
        <f t="shared" si="0"/>
        <v>5</v>
      </c>
      <c r="B11" s="208">
        <v>1</v>
      </c>
      <c r="C11" s="309" t="s">
        <v>313</v>
      </c>
      <c r="D11" s="210"/>
      <c r="E11" s="210"/>
      <c r="F11" s="211"/>
      <c r="G11" s="212" t="e">
        <f>SUM(G13)+#REF!</f>
        <v>#REF!</v>
      </c>
      <c r="H11" s="831">
        <f>H12+H23</f>
        <v>125132.07999999999</v>
      </c>
      <c r="I11" s="428">
        <f aca="true" t="shared" si="2" ref="I11:N12">I12</f>
        <v>118520</v>
      </c>
      <c r="J11" s="213">
        <f>J12+J23</f>
        <v>126000</v>
      </c>
      <c r="K11" s="213">
        <f t="shared" si="2"/>
        <v>140130</v>
      </c>
      <c r="L11" s="213">
        <f t="shared" si="2"/>
        <v>140860</v>
      </c>
      <c r="M11" s="213">
        <f t="shared" si="2"/>
        <v>134685</v>
      </c>
      <c r="N11" s="428">
        <f t="shared" si="2"/>
        <v>139685</v>
      </c>
    </row>
    <row r="12" spans="1:14" s="262" customFormat="1" ht="12.75">
      <c r="A12" s="203">
        <f t="shared" si="0"/>
        <v>6</v>
      </c>
      <c r="B12" s="223"/>
      <c r="C12" s="224"/>
      <c r="D12" s="206" t="s">
        <v>186</v>
      </c>
      <c r="E12" s="225"/>
      <c r="F12" s="226"/>
      <c r="G12" s="227" t="e">
        <f>G13</f>
        <v>#REF!</v>
      </c>
      <c r="H12" s="757">
        <f>H13</f>
        <v>125132.07999999999</v>
      </c>
      <c r="I12" s="396">
        <f t="shared" si="2"/>
        <v>118520</v>
      </c>
      <c r="J12" s="228">
        <f>J13</f>
        <v>126000</v>
      </c>
      <c r="K12" s="228">
        <f t="shared" si="2"/>
        <v>140130</v>
      </c>
      <c r="L12" s="228">
        <f t="shared" si="2"/>
        <v>140860</v>
      </c>
      <c r="M12" s="228">
        <f t="shared" si="2"/>
        <v>134685</v>
      </c>
      <c r="N12" s="396">
        <f t="shared" si="2"/>
        <v>139685</v>
      </c>
    </row>
    <row r="13" spans="1:14" ht="12.75">
      <c r="A13" s="203">
        <f t="shared" si="0"/>
        <v>7</v>
      </c>
      <c r="B13" s="256"/>
      <c r="C13" s="347" t="s">
        <v>314</v>
      </c>
      <c r="D13" s="264" t="s">
        <v>315</v>
      </c>
      <c r="E13" s="348"/>
      <c r="F13" s="349"/>
      <c r="G13" s="266" t="e">
        <f>SUM(#REF!)</f>
        <v>#REF!</v>
      </c>
      <c r="H13" s="758">
        <f>SUM(H14:H22)</f>
        <v>125132.07999999999</v>
      </c>
      <c r="I13" s="429">
        <f>SUM(I17,I18,I20,I21,I22)+I14+I15+I16+I19</f>
        <v>118520</v>
      </c>
      <c r="J13" s="235">
        <f>SUM(J14:J22)</f>
        <v>126000</v>
      </c>
      <c r="K13" s="235">
        <f>SUM(K14:K22)</f>
        <v>140130</v>
      </c>
      <c r="L13" s="235">
        <f>SUM(L17,L18,L20,L21,L22)+L14+L15+L16+L19</f>
        <v>140860</v>
      </c>
      <c r="M13" s="235">
        <f>SUM(M14:M22)</f>
        <v>134685</v>
      </c>
      <c r="N13" s="429">
        <f>SUM(N14:N22)</f>
        <v>139685</v>
      </c>
    </row>
    <row r="14" spans="1:14" ht="12.75">
      <c r="A14" s="203"/>
      <c r="B14" s="256"/>
      <c r="C14" s="912"/>
      <c r="D14" s="913">
        <v>1</v>
      </c>
      <c r="E14" s="273" t="s">
        <v>196</v>
      </c>
      <c r="F14" s="274"/>
      <c r="G14" s="255"/>
      <c r="H14" s="760">
        <f>výdavky!D228</f>
        <v>27847</v>
      </c>
      <c r="I14" s="398">
        <f>výdavky!E228</f>
        <v>23800</v>
      </c>
      <c r="J14" s="247">
        <f>výdavky!F228</f>
        <v>25000</v>
      </c>
      <c r="K14" s="247">
        <f>výdavky!G228</f>
        <v>26200</v>
      </c>
      <c r="L14" s="247">
        <f>výdavky!H228</f>
        <v>30400</v>
      </c>
      <c r="M14" s="247">
        <f>výdavky!I228</f>
        <v>31500</v>
      </c>
      <c r="N14" s="398">
        <f>výdavky!J228</f>
        <v>31500</v>
      </c>
    </row>
    <row r="15" spans="1:14" ht="12.75">
      <c r="A15" s="203"/>
      <c r="B15" s="256"/>
      <c r="C15" s="912"/>
      <c r="D15" s="913">
        <v>2</v>
      </c>
      <c r="E15" s="273" t="s">
        <v>672</v>
      </c>
      <c r="F15" s="274"/>
      <c r="G15" s="255"/>
      <c r="H15" s="760">
        <f>výdavky!D230</f>
        <v>6371.6</v>
      </c>
      <c r="I15" s="398">
        <f>výdavky!E230+výdavky!E243</f>
        <v>8250</v>
      </c>
      <c r="J15" s="247">
        <f>výdavky!F230</f>
        <v>8500</v>
      </c>
      <c r="K15" s="247">
        <f>výdavky!G230</f>
        <v>9610</v>
      </c>
      <c r="L15" s="247">
        <f>výdavky!H230</f>
        <v>10710</v>
      </c>
      <c r="M15" s="247">
        <f>výdavky!I230</f>
        <v>11435</v>
      </c>
      <c r="N15" s="398">
        <f>výdavky!J230</f>
        <v>11435</v>
      </c>
    </row>
    <row r="16" spans="1:14" ht="12.75">
      <c r="A16" s="203"/>
      <c r="B16" s="256"/>
      <c r="C16" s="912"/>
      <c r="D16" s="913">
        <v>3</v>
      </c>
      <c r="E16" s="273" t="s">
        <v>202</v>
      </c>
      <c r="F16" s="274"/>
      <c r="G16" s="255"/>
      <c r="H16" s="760">
        <f>výdavky!D232</f>
        <v>780</v>
      </c>
      <c r="I16" s="398">
        <f>výdavky!E232</f>
        <v>450</v>
      </c>
      <c r="J16" s="247">
        <f>výdavky!F232</f>
        <v>500</v>
      </c>
      <c r="K16" s="247">
        <f>výdavky!G232</f>
        <v>510</v>
      </c>
      <c r="L16" s="247">
        <f>výdavky!H232</f>
        <v>550</v>
      </c>
      <c r="M16" s="247">
        <f>výdavky!I232</f>
        <v>550</v>
      </c>
      <c r="N16" s="398">
        <f>výdavky!J232</f>
        <v>550</v>
      </c>
    </row>
    <row r="17" spans="1:14" ht="12.75">
      <c r="A17" s="203">
        <f>A13+1</f>
        <v>8</v>
      </c>
      <c r="B17" s="256"/>
      <c r="C17" s="285" t="s">
        <v>203</v>
      </c>
      <c r="D17" s="286" t="s">
        <v>236</v>
      </c>
      <c r="E17" s="244" t="s">
        <v>204</v>
      </c>
      <c r="F17" s="274"/>
      <c r="G17" s="275"/>
      <c r="H17" s="760">
        <f>výdavky!D233</f>
        <v>2824.05</v>
      </c>
      <c r="I17" s="398">
        <f>výdavky!E233</f>
        <v>2000</v>
      </c>
      <c r="J17" s="247">
        <f>výdavky!F233</f>
        <v>2000</v>
      </c>
      <c r="K17" s="247">
        <f>výdavky!G233</f>
        <v>3450</v>
      </c>
      <c r="L17" s="247">
        <f>výdavky!H233</f>
        <v>5500</v>
      </c>
      <c r="M17" s="247">
        <f>výdavky!I233</f>
        <v>2500</v>
      </c>
      <c r="N17" s="398">
        <f>výdavky!J233</f>
        <v>2500</v>
      </c>
    </row>
    <row r="18" spans="1:14" ht="12.75">
      <c r="A18" s="203">
        <f t="shared" si="0"/>
        <v>9</v>
      </c>
      <c r="B18" s="256"/>
      <c r="C18" s="285" t="s">
        <v>205</v>
      </c>
      <c r="D18" s="286" t="s">
        <v>238</v>
      </c>
      <c r="E18" s="244" t="s">
        <v>206</v>
      </c>
      <c r="F18" s="274"/>
      <c r="G18" s="275"/>
      <c r="H18" s="760">
        <f>výdavky!D234</f>
        <v>7938.01</v>
      </c>
      <c r="I18" s="398">
        <f>výdavky!E234</f>
        <v>8000</v>
      </c>
      <c r="J18" s="247">
        <f>výdavky!F234</f>
        <v>7500</v>
      </c>
      <c r="K18" s="247">
        <f>výdavky!G234</f>
        <v>12000</v>
      </c>
      <c r="L18" s="247">
        <f>výdavky!H234</f>
        <v>8000</v>
      </c>
      <c r="M18" s="247">
        <f>výdavky!I234</f>
        <v>8000</v>
      </c>
      <c r="N18" s="398">
        <f>výdavky!J234</f>
        <v>8000</v>
      </c>
    </row>
    <row r="19" spans="1:14" ht="12.75">
      <c r="A19" s="203"/>
      <c r="B19" s="256"/>
      <c r="C19" s="285" t="s">
        <v>205</v>
      </c>
      <c r="D19" s="286" t="s">
        <v>242</v>
      </c>
      <c r="E19" s="244" t="s">
        <v>481</v>
      </c>
      <c r="F19" s="274"/>
      <c r="G19" s="275"/>
      <c r="H19" s="760">
        <f>výdavky!D237</f>
        <v>1273.02</v>
      </c>
      <c r="I19" s="398">
        <f>výdavky!E237</f>
        <v>1200</v>
      </c>
      <c r="J19" s="247">
        <f>výdavky!F237</f>
        <v>1500</v>
      </c>
      <c r="K19" s="247">
        <f>výdavky!G237</f>
        <v>1360</v>
      </c>
      <c r="L19" s="247">
        <f>výdavky!H237</f>
        <v>1500</v>
      </c>
      <c r="M19" s="247">
        <f>výdavky!I237</f>
        <v>1500</v>
      </c>
      <c r="N19" s="398">
        <f>výdavky!J237</f>
        <v>1500</v>
      </c>
    </row>
    <row r="20" spans="1:14" ht="12.75">
      <c r="A20" s="203">
        <f>A18+1</f>
        <v>10</v>
      </c>
      <c r="B20" s="256"/>
      <c r="C20" s="285" t="s">
        <v>207</v>
      </c>
      <c r="D20" s="286" t="s">
        <v>244</v>
      </c>
      <c r="E20" s="244" t="s">
        <v>285</v>
      </c>
      <c r="F20" s="274"/>
      <c r="G20" s="275"/>
      <c r="H20" s="760">
        <f>výdavky!D238</f>
        <v>729.81</v>
      </c>
      <c r="I20" s="398">
        <f>výdavky!E238</f>
        <v>1800</v>
      </c>
      <c r="J20" s="247">
        <f>výdavky!F238</f>
        <v>1000</v>
      </c>
      <c r="K20" s="247">
        <f>výdavky!G238</f>
        <v>0</v>
      </c>
      <c r="L20" s="247">
        <f>výdavky!H238</f>
        <v>1000</v>
      </c>
      <c r="M20" s="247">
        <f>výdavky!I238</f>
        <v>1000</v>
      </c>
      <c r="N20" s="398">
        <f>výdavky!J238</f>
        <v>1000</v>
      </c>
    </row>
    <row r="21" spans="1:14" ht="12.75">
      <c r="A21" s="203">
        <f t="shared" si="0"/>
        <v>11</v>
      </c>
      <c r="B21" s="256"/>
      <c r="C21" s="285" t="s">
        <v>211</v>
      </c>
      <c r="D21" s="286" t="s">
        <v>272</v>
      </c>
      <c r="E21" s="244" t="s">
        <v>316</v>
      </c>
      <c r="F21" s="274"/>
      <c r="G21" s="275"/>
      <c r="H21" s="760">
        <f>výdavky!D240</f>
        <v>77368.59</v>
      </c>
      <c r="I21" s="398">
        <f>výdavky!E240</f>
        <v>70800</v>
      </c>
      <c r="J21" s="247">
        <f>výdavky!F240</f>
        <v>75000</v>
      </c>
      <c r="K21" s="247">
        <f>výdavky!G240</f>
        <v>74000</v>
      </c>
      <c r="L21" s="247">
        <f>výdavky!H240</f>
        <v>78200</v>
      </c>
      <c r="M21" s="247">
        <f>výdavky!I240</f>
        <v>78200</v>
      </c>
      <c r="N21" s="398">
        <f>výdavky!J240</f>
        <v>78200</v>
      </c>
    </row>
    <row r="22" spans="1:14" ht="12.75">
      <c r="A22" s="203"/>
      <c r="B22" s="256"/>
      <c r="C22" s="285" t="s">
        <v>211</v>
      </c>
      <c r="D22" s="286" t="s">
        <v>274</v>
      </c>
      <c r="E22" s="244" t="s">
        <v>317</v>
      </c>
      <c r="F22" s="274"/>
      <c r="G22" s="275"/>
      <c r="H22" s="760">
        <f>výdavky!D241+výdavky!D243</f>
        <v>0</v>
      </c>
      <c r="I22" s="398">
        <f>SUM(výdavky!E241)</f>
        <v>2220</v>
      </c>
      <c r="J22" s="247">
        <f>výdavky!F241+výdavky!F243</f>
        <v>5000</v>
      </c>
      <c r="K22" s="247">
        <f>výdavky!G241+výdavky!G243</f>
        <v>13000</v>
      </c>
      <c r="L22" s="247">
        <f>výdavky!H241+výdavky!H243</f>
        <v>5000</v>
      </c>
      <c r="M22" s="247"/>
      <c r="N22" s="398">
        <f>výdavky!J241</f>
        <v>5000</v>
      </c>
    </row>
    <row r="23" spans="1:14" ht="12.75">
      <c r="A23" s="203">
        <v>12</v>
      </c>
      <c r="B23" s="229"/>
      <c r="C23" s="237"/>
      <c r="D23" s="818" t="s">
        <v>188</v>
      </c>
      <c r="E23" s="822"/>
      <c r="F23" s="827"/>
      <c r="G23" s="828">
        <f>G25</f>
        <v>0</v>
      </c>
      <c r="H23" s="834">
        <f aca="true" t="shared" si="3" ref="H23:N23">H24</f>
        <v>0</v>
      </c>
      <c r="I23" s="830">
        <f t="shared" si="3"/>
        <v>0</v>
      </c>
      <c r="J23" s="829">
        <f t="shared" si="3"/>
        <v>0</v>
      </c>
      <c r="K23" s="829">
        <f t="shared" si="3"/>
        <v>0</v>
      </c>
      <c r="L23" s="829">
        <f t="shared" si="3"/>
        <v>0</v>
      </c>
      <c r="M23" s="829">
        <f t="shared" si="3"/>
        <v>0</v>
      </c>
      <c r="N23" s="830">
        <f t="shared" si="3"/>
        <v>0</v>
      </c>
    </row>
    <row r="24" spans="1:14" ht="12.75">
      <c r="A24" s="203">
        <f aca="true" t="shared" si="4" ref="A24:A29">A23+1</f>
        <v>13</v>
      </c>
      <c r="B24" s="229"/>
      <c r="C24" s="230" t="s">
        <v>318</v>
      </c>
      <c r="D24" s="231" t="s">
        <v>315</v>
      </c>
      <c r="E24" s="232"/>
      <c r="F24" s="233"/>
      <c r="G24" s="234">
        <f>SUM(G25:G29)</f>
        <v>234.29999999999998</v>
      </c>
      <c r="H24" s="758">
        <f>H25+H26</f>
        <v>0</v>
      </c>
      <c r="I24" s="429">
        <f>SUM(I25,I26)</f>
        <v>0</v>
      </c>
      <c r="J24" s="235">
        <f>J25+J26</f>
        <v>0</v>
      </c>
      <c r="K24" s="235">
        <f>SUM(K25,K26)</f>
        <v>0</v>
      </c>
      <c r="L24" s="235">
        <f>SUM(L25,L26)</f>
        <v>0</v>
      </c>
      <c r="M24" s="235">
        <f>M25+SUM(M25,M26)</f>
        <v>0</v>
      </c>
      <c r="N24" s="429">
        <f>N25+SUM(N25,N26)</f>
        <v>0</v>
      </c>
    </row>
    <row r="25" spans="1:14" ht="12.75">
      <c r="A25" s="203">
        <f t="shared" si="4"/>
        <v>14</v>
      </c>
      <c r="B25" s="256"/>
      <c r="C25" s="285" t="s">
        <v>279</v>
      </c>
      <c r="D25" s="286" t="s">
        <v>276</v>
      </c>
      <c r="E25" s="375" t="s">
        <v>465</v>
      </c>
      <c r="F25" s="254"/>
      <c r="G25" s="255"/>
      <c r="H25" s="760">
        <f>výdavky!D643+výdavky!D645+výdavky!D646+výdavky!D647</f>
        <v>0</v>
      </c>
      <c r="I25" s="398">
        <f>výdavky!E645+výdavky!E646+výdavky!E647</f>
        <v>0</v>
      </c>
      <c r="J25" s="247"/>
      <c r="K25" s="247">
        <f>výdavky!G645+výdavky!G646+výdavky!G647</f>
        <v>0</v>
      </c>
      <c r="L25" s="247">
        <f>SUM(výdavky!H645+výdavky!H646+výdavky!H647)</f>
        <v>0</v>
      </c>
      <c r="M25" s="247">
        <v>0</v>
      </c>
      <c r="N25" s="398">
        <v>0</v>
      </c>
    </row>
    <row r="26" spans="1:14" ht="12.75">
      <c r="A26" s="203">
        <f t="shared" si="4"/>
        <v>15</v>
      </c>
      <c r="B26" s="256"/>
      <c r="C26" s="285" t="s">
        <v>336</v>
      </c>
      <c r="D26" s="286" t="s">
        <v>368</v>
      </c>
      <c r="E26" s="375" t="s">
        <v>559</v>
      </c>
      <c r="F26" s="254"/>
      <c r="G26" s="255"/>
      <c r="H26" s="760">
        <f>výdavky!D644</f>
        <v>0</v>
      </c>
      <c r="I26" s="398">
        <f>výdavky!E643+výdavky!E644</f>
        <v>0</v>
      </c>
      <c r="J26" s="247">
        <f>výdavky!F644</f>
        <v>0</v>
      </c>
      <c r="K26" s="247">
        <f>výdavky!G643+výdavky!G644</f>
        <v>0</v>
      </c>
      <c r="L26" s="247">
        <f>SUM(výdavky!H643+výdavky!H644)</f>
        <v>0</v>
      </c>
      <c r="M26" s="247">
        <v>0</v>
      </c>
      <c r="N26" s="398">
        <v>0</v>
      </c>
    </row>
    <row r="27" spans="1:14" ht="12.75">
      <c r="A27" s="203">
        <f t="shared" si="4"/>
        <v>16</v>
      </c>
      <c r="B27" s="208">
        <v>2</v>
      </c>
      <c r="C27" s="430" t="s">
        <v>319</v>
      </c>
      <c r="D27" s="210"/>
      <c r="E27" s="210"/>
      <c r="F27" s="211"/>
      <c r="G27" s="212">
        <f>SUM(G29)</f>
        <v>78.1</v>
      </c>
      <c r="H27" s="756">
        <f>H28+H37</f>
        <v>31595.5</v>
      </c>
      <c r="I27" s="399">
        <f aca="true" t="shared" si="5" ref="I27:N28">I28</f>
        <v>39385</v>
      </c>
      <c r="J27" s="2446">
        <f>J28+J37</f>
        <v>7183600</v>
      </c>
      <c r="K27" s="214">
        <f t="shared" si="5"/>
        <v>43774</v>
      </c>
      <c r="L27" s="214">
        <f t="shared" si="5"/>
        <v>49250</v>
      </c>
      <c r="M27" s="214">
        <f t="shared" si="5"/>
        <v>22000</v>
      </c>
      <c r="N27" s="399">
        <f t="shared" si="5"/>
        <v>17500</v>
      </c>
    </row>
    <row r="28" spans="1:14" s="262" customFormat="1" ht="12.75">
      <c r="A28" s="203">
        <f t="shared" si="4"/>
        <v>17</v>
      </c>
      <c r="B28" s="223"/>
      <c r="C28" s="431"/>
      <c r="D28" s="206" t="s">
        <v>186</v>
      </c>
      <c r="E28" s="225"/>
      <c r="F28" s="226"/>
      <c r="G28" s="227">
        <f>G29</f>
        <v>78.1</v>
      </c>
      <c r="H28" s="757">
        <f>H29</f>
        <v>31595.5</v>
      </c>
      <c r="I28" s="396">
        <f t="shared" si="5"/>
        <v>39385</v>
      </c>
      <c r="J28" s="228">
        <f>J29</f>
        <v>33600</v>
      </c>
      <c r="K28" s="228">
        <f t="shared" si="5"/>
        <v>43774</v>
      </c>
      <c r="L28" s="228">
        <f t="shared" si="5"/>
        <v>49250</v>
      </c>
      <c r="M28" s="228">
        <f t="shared" si="5"/>
        <v>22000</v>
      </c>
      <c r="N28" s="396">
        <f t="shared" si="5"/>
        <v>17500</v>
      </c>
    </row>
    <row r="29" spans="1:14" ht="12.75">
      <c r="A29" s="203">
        <f t="shared" si="4"/>
        <v>18</v>
      </c>
      <c r="B29" s="256"/>
      <c r="C29" s="432" t="s">
        <v>320</v>
      </c>
      <c r="D29" s="264" t="s">
        <v>319</v>
      </c>
      <c r="E29" s="348"/>
      <c r="F29" s="349"/>
      <c r="G29" s="266">
        <f>G41</f>
        <v>78.1</v>
      </c>
      <c r="H29" s="758">
        <f>SUM(H30:H36)</f>
        <v>31595.5</v>
      </c>
      <c r="I29" s="429">
        <f>I41+SUM(I30,I31,I32,I33,I34,I35)+I36</f>
        <v>39385</v>
      </c>
      <c r="J29" s="235">
        <f>SUM(J30:J36)</f>
        <v>33600</v>
      </c>
      <c r="K29" s="235">
        <f>SUM(K30,K31,K32,K33,K34,K35,K36)</f>
        <v>43774</v>
      </c>
      <c r="L29" s="235">
        <f>L41+SUM(L30,L31,L32,L33,L34,L35)+L36</f>
        <v>49250</v>
      </c>
      <c r="M29" s="235">
        <f>M41+SUM(M30,M31,M32,M33,M34,M35)</f>
        <v>22000</v>
      </c>
      <c r="N29" s="429">
        <f>N41+SUM(N30,N31,N32,N33,N34,N35)</f>
        <v>17500</v>
      </c>
    </row>
    <row r="30" spans="1:14" ht="12.75">
      <c r="A30" s="203">
        <v>19</v>
      </c>
      <c r="B30" s="256"/>
      <c r="C30" s="285" t="s">
        <v>195</v>
      </c>
      <c r="D30" s="272">
        <v>1</v>
      </c>
      <c r="E30" s="273" t="s">
        <v>196</v>
      </c>
      <c r="F30" s="274"/>
      <c r="G30" s="275"/>
      <c r="H30" s="760">
        <f>výdavky!D246</f>
        <v>8498.49</v>
      </c>
      <c r="I30" s="398">
        <f>výdavky!E246</f>
        <v>9800</v>
      </c>
      <c r="J30" s="247">
        <f>výdavky!F246</f>
        <v>10000</v>
      </c>
      <c r="K30" s="247">
        <f>výdavky!G246</f>
        <v>10600</v>
      </c>
      <c r="L30" s="247">
        <f>výdavky!H246</f>
        <v>11700</v>
      </c>
      <c r="M30" s="247">
        <f>výdavky!I246</f>
        <v>0</v>
      </c>
      <c r="N30" s="398">
        <f>výdavky!J246</f>
        <v>0</v>
      </c>
    </row>
    <row r="31" spans="1:14" ht="12.75">
      <c r="A31" s="203">
        <v>20</v>
      </c>
      <c r="B31" s="256"/>
      <c r="C31" s="285" t="s">
        <v>197</v>
      </c>
      <c r="D31" s="272">
        <v>2</v>
      </c>
      <c r="E31" s="273" t="s">
        <v>198</v>
      </c>
      <c r="F31" s="274"/>
      <c r="G31" s="275"/>
      <c r="H31" s="760">
        <f>výdavky!D247</f>
        <v>3086.12</v>
      </c>
      <c r="I31" s="398">
        <f>výdavky!E247</f>
        <v>3255</v>
      </c>
      <c r="J31" s="247">
        <f>výdavky!F247</f>
        <v>3500</v>
      </c>
      <c r="K31" s="247">
        <f>výdavky!G247</f>
        <v>3690</v>
      </c>
      <c r="L31" s="247">
        <f>výdavky!H247</f>
        <v>4145</v>
      </c>
      <c r="M31" s="247">
        <f>výdavky!I247</f>
        <v>0</v>
      </c>
      <c r="N31" s="398">
        <f>výdavky!J247</f>
        <v>0</v>
      </c>
    </row>
    <row r="32" spans="1:14" ht="12.75">
      <c r="A32" s="203">
        <v>21</v>
      </c>
      <c r="B32" s="256"/>
      <c r="C32" s="285" t="s">
        <v>201</v>
      </c>
      <c r="D32" s="272">
        <v>3</v>
      </c>
      <c r="E32" s="273" t="s">
        <v>202</v>
      </c>
      <c r="F32" s="274"/>
      <c r="G32" s="275"/>
      <c r="H32" s="760">
        <f>výdavky!D248</f>
        <v>4262.33</v>
      </c>
      <c r="I32" s="398">
        <f>výdavky!E248</f>
        <v>5800</v>
      </c>
      <c r="J32" s="247">
        <f>výdavky!F248</f>
        <v>7500</v>
      </c>
      <c r="K32" s="247">
        <f>výdavky!G248</f>
        <v>10076</v>
      </c>
      <c r="L32" s="247">
        <f>výdavky!H248</f>
        <v>18600</v>
      </c>
      <c r="M32" s="247">
        <f>výdavky!I248</f>
        <v>7500</v>
      </c>
      <c r="N32" s="398">
        <f>výdavky!J248</f>
        <v>3000</v>
      </c>
    </row>
    <row r="33" spans="1:14" ht="12.75">
      <c r="A33" s="203">
        <v>22</v>
      </c>
      <c r="B33" s="256"/>
      <c r="C33" s="285" t="s">
        <v>203</v>
      </c>
      <c r="D33" s="272">
        <v>4</v>
      </c>
      <c r="E33" s="273" t="s">
        <v>204</v>
      </c>
      <c r="F33" s="274"/>
      <c r="G33" s="275"/>
      <c r="H33" s="760">
        <f>výdavky!D250</f>
        <v>2453.92</v>
      </c>
      <c r="I33" s="398">
        <f>výdavky!E250</f>
        <v>1510</v>
      </c>
      <c r="J33" s="247">
        <f>výdavky!F250</f>
        <v>1000</v>
      </c>
      <c r="K33" s="247">
        <f>výdavky!G250</f>
        <v>3178</v>
      </c>
      <c r="L33" s="247">
        <f>výdavky!H250</f>
        <v>1000</v>
      </c>
      <c r="M33" s="247">
        <f>výdavky!I250</f>
        <v>1000</v>
      </c>
      <c r="N33" s="398">
        <f>výdavky!J250</f>
        <v>1000</v>
      </c>
    </row>
    <row r="34" spans="1:14" ht="12.75">
      <c r="A34" s="203">
        <v>23</v>
      </c>
      <c r="B34" s="256"/>
      <c r="C34" s="285" t="s">
        <v>205</v>
      </c>
      <c r="D34" s="272">
        <v>5</v>
      </c>
      <c r="E34" s="273" t="s">
        <v>206</v>
      </c>
      <c r="F34" s="274"/>
      <c r="G34" s="275"/>
      <c r="H34" s="760">
        <f>výdavky!D251</f>
        <v>9212.6</v>
      </c>
      <c r="I34" s="398">
        <f>výdavky!E251</f>
        <v>12700</v>
      </c>
      <c r="J34" s="247">
        <f>výdavky!F251</f>
        <v>7000</v>
      </c>
      <c r="K34" s="247">
        <f>výdavky!G251</f>
        <v>10885</v>
      </c>
      <c r="L34" s="247">
        <f>výdavky!H251</f>
        <v>7000</v>
      </c>
      <c r="M34" s="247">
        <f>výdavky!I251</f>
        <v>7000</v>
      </c>
      <c r="N34" s="398">
        <f>výdavky!J251</f>
        <v>7000</v>
      </c>
    </row>
    <row r="35" spans="1:14" ht="12.75">
      <c r="A35" s="203">
        <v>24</v>
      </c>
      <c r="B35" s="256"/>
      <c r="C35" s="285" t="s">
        <v>211</v>
      </c>
      <c r="D35" s="272">
        <v>6</v>
      </c>
      <c r="E35" s="273" t="s">
        <v>321</v>
      </c>
      <c r="F35" s="274"/>
      <c r="G35" s="275"/>
      <c r="H35" s="760">
        <f>výdavky!D256+výdavky!D255</f>
        <v>4010.04</v>
      </c>
      <c r="I35" s="398">
        <f>výdavky!E256+výdavky!E258</f>
        <v>6220</v>
      </c>
      <c r="J35" s="247">
        <f>výdavky!F256+výdavky!F255</f>
        <v>4500</v>
      </c>
      <c r="K35" s="247">
        <f>výdavky!G256+výdavky!G255</f>
        <v>5040</v>
      </c>
      <c r="L35" s="247">
        <f>výdavky!H256+výdavky!H255</f>
        <v>6500</v>
      </c>
      <c r="M35" s="247">
        <f>výdavky!I256+výdavky!I255</f>
        <v>6500</v>
      </c>
      <c r="N35" s="398">
        <f>výdavky!J256+výdavky!J255</f>
        <v>6500</v>
      </c>
    </row>
    <row r="36" spans="1:14" ht="12.75">
      <c r="A36" s="203"/>
      <c r="B36" s="256"/>
      <c r="C36" s="285" t="s">
        <v>211</v>
      </c>
      <c r="D36" s="272">
        <v>7</v>
      </c>
      <c r="E36" s="273" t="s">
        <v>322</v>
      </c>
      <c r="F36" s="274"/>
      <c r="G36" s="275"/>
      <c r="H36" s="760">
        <f>výdavky!D254</f>
        <v>72</v>
      </c>
      <c r="I36" s="398">
        <f>výdavky!E254</f>
        <v>100</v>
      </c>
      <c r="J36" s="247">
        <f>výdavky!F254</f>
        <v>100</v>
      </c>
      <c r="K36" s="247">
        <f>výdavky!G254</f>
        <v>305</v>
      </c>
      <c r="L36" s="247">
        <f>výdavky!H254</f>
        <v>305</v>
      </c>
      <c r="M36" s="247"/>
      <c r="N36" s="398"/>
    </row>
    <row r="37" spans="1:14" ht="12.75">
      <c r="A37" s="203">
        <v>25</v>
      </c>
      <c r="B37" s="256"/>
      <c r="C37" s="285"/>
      <c r="D37" s="3203" t="s">
        <v>188</v>
      </c>
      <c r="E37" s="3203"/>
      <c r="F37" s="910"/>
      <c r="G37" s="907"/>
      <c r="H37" s="1158">
        <f>H38</f>
        <v>0</v>
      </c>
      <c r="I37" s="911">
        <f>SUM(I38)</f>
        <v>0</v>
      </c>
      <c r="J37" s="908">
        <f>J38</f>
        <v>7150000</v>
      </c>
      <c r="K37" s="908">
        <f>SUM(K38)</f>
        <v>6327826</v>
      </c>
      <c r="L37" s="908">
        <f>SUM(L38)</f>
        <v>2731214</v>
      </c>
      <c r="M37" s="908">
        <f>SUM(M38)</f>
        <v>0</v>
      </c>
      <c r="N37" s="911">
        <f>SUM(N38)</f>
        <v>0</v>
      </c>
    </row>
    <row r="38" spans="1:14" ht="12.75">
      <c r="A38" s="203">
        <v>26</v>
      </c>
      <c r="B38" s="256"/>
      <c r="C38" s="432" t="s">
        <v>320</v>
      </c>
      <c r="D38" s="3202" t="s">
        <v>319</v>
      </c>
      <c r="E38" s="3202"/>
      <c r="F38" s="349"/>
      <c r="G38" s="266"/>
      <c r="H38" s="758">
        <f>H39</f>
        <v>0</v>
      </c>
      <c r="I38" s="434">
        <f>SUM(I39,I40,I41)</f>
        <v>0</v>
      </c>
      <c r="J38" s="433">
        <f>SUM(J39:J41)</f>
        <v>7150000</v>
      </c>
      <c r="K38" s="433">
        <f>SUM(K39,K40,K41)</f>
        <v>6327826</v>
      </c>
      <c r="L38" s="433">
        <f>SUM(L39,L40,L41)</f>
        <v>2731214</v>
      </c>
      <c r="M38" s="433">
        <f>SUM(M39,M40,M41)</f>
        <v>0</v>
      </c>
      <c r="N38" s="434">
        <f>SUM(N39,N40,N41)</f>
        <v>0</v>
      </c>
    </row>
    <row r="39" spans="1:14" ht="12.75">
      <c r="A39" s="203">
        <v>27</v>
      </c>
      <c r="B39" s="256"/>
      <c r="C39" s="285" t="s">
        <v>298</v>
      </c>
      <c r="D39" s="272">
        <v>8</v>
      </c>
      <c r="E39" s="273" t="s">
        <v>630</v>
      </c>
      <c r="F39" s="245"/>
      <c r="G39" s="435"/>
      <c r="H39" s="1156">
        <f>výdavky!D640</f>
        <v>0</v>
      </c>
      <c r="I39" s="398">
        <f>výdavky!E650</f>
        <v>0</v>
      </c>
      <c r="J39" s="247"/>
      <c r="K39" s="247">
        <f>výdavky!G640</f>
        <v>0</v>
      </c>
      <c r="L39" s="247">
        <f>výdavky!H639</f>
        <v>0</v>
      </c>
      <c r="M39" s="247">
        <f>výdavky!I639</f>
        <v>0</v>
      </c>
      <c r="N39" s="398">
        <f>výdavky!J639</f>
        <v>0</v>
      </c>
    </row>
    <row r="40" spans="1:14" ht="12.75">
      <c r="A40" s="203">
        <v>28</v>
      </c>
      <c r="B40" s="256"/>
      <c r="C40" s="285"/>
      <c r="D40" s="436">
        <v>9</v>
      </c>
      <c r="E40" s="273" t="s">
        <v>323</v>
      </c>
      <c r="F40" s="437"/>
      <c r="G40" s="438"/>
      <c r="H40" s="1161"/>
      <c r="I40" s="439"/>
      <c r="J40" s="253">
        <f>výdavky!F649</f>
        <v>7150000</v>
      </c>
      <c r="K40" s="253">
        <f>výdavky!G649</f>
        <v>6327826</v>
      </c>
      <c r="L40" s="253">
        <f>výdavky!H651</f>
        <v>2731214</v>
      </c>
      <c r="M40" s="253">
        <f>výdavky!I651</f>
        <v>0</v>
      </c>
      <c r="N40" s="439"/>
    </row>
    <row r="41" spans="1:14" s="262" customFormat="1" ht="12.75">
      <c r="A41" s="203">
        <v>29</v>
      </c>
      <c r="B41" s="261"/>
      <c r="C41" s="285"/>
      <c r="D41" s="272"/>
      <c r="E41" s="273"/>
      <c r="F41" s="274"/>
      <c r="G41" s="255">
        <v>78.1</v>
      </c>
      <c r="H41" s="760"/>
      <c r="I41" s="398"/>
      <c r="J41" s="247"/>
      <c r="K41" s="247"/>
      <c r="L41" s="247"/>
      <c r="M41" s="247"/>
      <c r="N41" s="398"/>
    </row>
    <row r="42" spans="1:14" ht="12.75">
      <c r="A42" s="203">
        <v>30</v>
      </c>
      <c r="B42" s="304">
        <v>3</v>
      </c>
      <c r="C42" s="430" t="s">
        <v>324</v>
      </c>
      <c r="D42" s="210"/>
      <c r="E42" s="210"/>
      <c r="F42" s="210"/>
      <c r="G42" s="440"/>
      <c r="H42" s="1164">
        <f aca="true" t="shared" si="6" ref="H42:N42">H43</f>
        <v>0</v>
      </c>
      <c r="I42" s="994">
        <f t="shared" si="6"/>
        <v>0</v>
      </c>
      <c r="J42" s="946">
        <f t="shared" si="6"/>
        <v>0</v>
      </c>
      <c r="K42" s="441">
        <f t="shared" si="6"/>
        <v>0</v>
      </c>
      <c r="L42" s="441">
        <f t="shared" si="6"/>
        <v>0</v>
      </c>
      <c r="M42" s="441">
        <f t="shared" si="6"/>
        <v>0</v>
      </c>
      <c r="N42" s="442">
        <f t="shared" si="6"/>
        <v>0</v>
      </c>
    </row>
    <row r="43" spans="1:14" ht="12.75">
      <c r="A43" s="203">
        <v>31</v>
      </c>
      <c r="B43" s="443"/>
      <c r="C43" s="444"/>
      <c r="D43" s="1021" t="s">
        <v>186</v>
      </c>
      <c r="E43" s="1022"/>
      <c r="F43" s="1022"/>
      <c r="G43" s="1091"/>
      <c r="H43" s="1165">
        <f>H44</f>
        <v>0</v>
      </c>
      <c r="I43" s="1092">
        <f>I45+I46</f>
        <v>0</v>
      </c>
      <c r="J43" s="1093">
        <f>J44</f>
        <v>0</v>
      </c>
      <c r="K43" s="1094">
        <f>K45+K46</f>
        <v>0</v>
      </c>
      <c r="L43" s="1094">
        <f>L45+L46</f>
        <v>0</v>
      </c>
      <c r="M43" s="1094">
        <f>M45+M46</f>
        <v>0</v>
      </c>
      <c r="N43" s="1021">
        <f>N45+N46</f>
        <v>0</v>
      </c>
    </row>
    <row r="44" spans="1:14" ht="12.75">
      <c r="A44" s="203">
        <v>32</v>
      </c>
      <c r="B44" s="443"/>
      <c r="C44" s="1095" t="s">
        <v>325</v>
      </c>
      <c r="D44" s="3202" t="s">
        <v>324</v>
      </c>
      <c r="E44" s="3202"/>
      <c r="F44" s="1096"/>
      <c r="G44" s="1097"/>
      <c r="H44" s="1166">
        <f aca="true" t="shared" si="7" ref="H44:N44">H45+H46</f>
        <v>0</v>
      </c>
      <c r="I44" s="1167">
        <f t="shared" si="7"/>
        <v>0</v>
      </c>
      <c r="J44" s="1098">
        <f t="shared" si="7"/>
        <v>0</v>
      </c>
      <c r="K44" s="1099">
        <f t="shared" si="7"/>
        <v>0</v>
      </c>
      <c r="L44" s="1099">
        <f t="shared" si="7"/>
        <v>0</v>
      </c>
      <c r="M44" s="1099">
        <f t="shared" si="7"/>
        <v>0</v>
      </c>
      <c r="N44" s="1100">
        <f t="shared" si="7"/>
        <v>0</v>
      </c>
    </row>
    <row r="45" spans="1:14" ht="12.75">
      <c r="A45" s="203">
        <v>33</v>
      </c>
      <c r="B45" s="443"/>
      <c r="C45" s="445">
        <v>633</v>
      </c>
      <c r="D45" s="446">
        <v>1</v>
      </c>
      <c r="E45" s="294" t="s">
        <v>326</v>
      </c>
      <c r="F45" s="294"/>
      <c r="G45" s="294"/>
      <c r="H45" s="1162">
        <f>výdavky!D261</f>
        <v>0</v>
      </c>
      <c r="I45" s="995">
        <f>SUM(výdavky!E261)</f>
        <v>0</v>
      </c>
      <c r="J45" s="947">
        <f>výdavky!F261</f>
        <v>0</v>
      </c>
      <c r="K45" s="949">
        <f>výdavky!G261</f>
        <v>0</v>
      </c>
      <c r="L45" s="295">
        <v>0</v>
      </c>
      <c r="M45" s="295">
        <v>0</v>
      </c>
      <c r="N45" s="447">
        <v>0</v>
      </c>
    </row>
    <row r="46" spans="1:14" ht="13.5" thickBot="1">
      <c r="A46" s="316">
        <v>34</v>
      </c>
      <c r="B46" s="448"/>
      <c r="C46" s="449">
        <v>637</v>
      </c>
      <c r="D46" s="450">
        <v>2</v>
      </c>
      <c r="E46" s="451" t="s">
        <v>327</v>
      </c>
      <c r="F46" s="451"/>
      <c r="G46" s="451"/>
      <c r="H46" s="1163">
        <f>výdavky!D262</f>
        <v>0</v>
      </c>
      <c r="I46" s="996">
        <v>0</v>
      </c>
      <c r="J46" s="948">
        <f>výdavky!F262</f>
        <v>0</v>
      </c>
      <c r="K46" s="452">
        <v>0</v>
      </c>
      <c r="L46" s="452">
        <v>0</v>
      </c>
      <c r="M46" s="452">
        <v>0</v>
      </c>
      <c r="N46" s="453">
        <v>0</v>
      </c>
    </row>
    <row r="47" spans="4:14" ht="12.75"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</row>
  </sheetData>
  <sheetProtection/>
  <mergeCells count="5">
    <mergeCell ref="D44:E44"/>
    <mergeCell ref="G3:N3"/>
    <mergeCell ref="D4:F6"/>
    <mergeCell ref="D37:E37"/>
    <mergeCell ref="D38:E38"/>
  </mergeCells>
  <printOptions/>
  <pageMargins left="0.25" right="0.25" top="0.75" bottom="0.75" header="0.3" footer="0.3"/>
  <pageSetup fitToHeight="0" fitToWidth="1" horizontalDpi="300" verticalDpi="3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PageLayoutView="0" workbookViewId="0" topLeftCell="A1">
      <selection activeCell="R54" sqref="R54:R55"/>
    </sheetView>
  </sheetViews>
  <sheetFormatPr defaultColWidth="9.140625" defaultRowHeight="12.75"/>
  <cols>
    <col min="1" max="1" width="3.57421875" style="167" customWidth="1"/>
    <col min="2" max="2" width="4.140625" style="1" customWidth="1"/>
    <col min="3" max="3" width="7.57421875" style="0" customWidth="1"/>
    <col min="4" max="4" width="3.421875" style="0" customWidth="1"/>
    <col min="5" max="5" width="31.421875" style="0" customWidth="1"/>
    <col min="6" max="6" width="9.8515625" style="0" hidden="1" customWidth="1"/>
    <col min="7" max="7" width="0" style="0" hidden="1" customWidth="1"/>
    <col min="12" max="14" width="9.7109375" style="0" customWidth="1"/>
  </cols>
  <sheetData>
    <row r="1" spans="2:14" ht="15.75">
      <c r="B1" s="171" t="s">
        <v>328</v>
      </c>
      <c r="E1" s="171" t="s">
        <v>329</v>
      </c>
      <c r="F1" s="169"/>
      <c r="G1" s="324" t="e">
        <f>G2-G7</f>
        <v>#REF!</v>
      </c>
      <c r="H1" s="324"/>
      <c r="I1" s="324"/>
      <c r="J1" s="324"/>
      <c r="K1" s="324"/>
      <c r="L1" s="325">
        <f>L2-L7</f>
        <v>0</v>
      </c>
      <c r="M1" s="325">
        <f>M2-M7</f>
        <v>0</v>
      </c>
      <c r="N1" s="325">
        <f>N2-N7</f>
        <v>0</v>
      </c>
    </row>
    <row r="2" spans="2:14" ht="15.75">
      <c r="B2" s="171"/>
      <c r="G2" s="326" t="e">
        <f>SUM(G8:G10)</f>
        <v>#REF!</v>
      </c>
      <c r="H2" s="326"/>
      <c r="I2" s="326"/>
      <c r="J2" s="326"/>
      <c r="K2" s="326"/>
      <c r="L2" s="179">
        <f>SUM(L8:L10)</f>
        <v>16550</v>
      </c>
      <c r="M2" s="179">
        <f>SUM(M8:M10)</f>
        <v>18550</v>
      </c>
      <c r="N2" s="179">
        <f>SUM(N8:N10)</f>
        <v>18550</v>
      </c>
    </row>
    <row r="3" spans="1:14" ht="15.75">
      <c r="A3" s="180"/>
      <c r="B3" s="181"/>
      <c r="C3" s="182"/>
      <c r="D3" s="182"/>
      <c r="E3" s="183"/>
      <c r="F3" s="184"/>
      <c r="G3" s="3196" t="s">
        <v>173</v>
      </c>
      <c r="H3" s="3196"/>
      <c r="I3" s="3196"/>
      <c r="J3" s="3196"/>
      <c r="K3" s="3196"/>
      <c r="L3" s="3196"/>
      <c r="M3" s="3196"/>
      <c r="N3" s="3196"/>
    </row>
    <row r="4" spans="1:14" ht="11.25" customHeight="1">
      <c r="A4" s="185"/>
      <c r="B4" s="186" t="s">
        <v>174</v>
      </c>
      <c r="C4" s="187" t="s">
        <v>175</v>
      </c>
      <c r="D4" s="3199" t="s">
        <v>176</v>
      </c>
      <c r="E4" s="3199"/>
      <c r="F4" s="3199"/>
      <c r="G4" s="188"/>
      <c r="H4" s="975">
        <v>2016</v>
      </c>
      <c r="I4" s="189">
        <v>2017</v>
      </c>
      <c r="J4" s="189">
        <v>2018</v>
      </c>
      <c r="K4" s="189" t="s">
        <v>790</v>
      </c>
      <c r="L4" s="189">
        <v>2019</v>
      </c>
      <c r="M4" s="189">
        <v>2020</v>
      </c>
      <c r="N4" s="189">
        <v>2021</v>
      </c>
    </row>
    <row r="5" spans="1:14" ht="15" customHeight="1">
      <c r="A5" s="185"/>
      <c r="B5" s="186" t="s">
        <v>177</v>
      </c>
      <c r="C5" s="187" t="s">
        <v>178</v>
      </c>
      <c r="D5" s="3199"/>
      <c r="E5" s="3199"/>
      <c r="F5" s="3199"/>
      <c r="G5" s="190" t="s">
        <v>179</v>
      </c>
      <c r="H5" s="327" t="s">
        <v>180</v>
      </c>
      <c r="I5" s="191" t="s">
        <v>181</v>
      </c>
      <c r="J5" s="191" t="s">
        <v>180</v>
      </c>
      <c r="K5" s="191" t="s">
        <v>181</v>
      </c>
      <c r="L5" s="191" t="s">
        <v>180</v>
      </c>
      <c r="M5" s="191" t="s">
        <v>181</v>
      </c>
      <c r="N5" s="191" t="s">
        <v>181</v>
      </c>
    </row>
    <row r="6" spans="1:14" ht="13.5" thickBot="1">
      <c r="A6" s="328"/>
      <c r="B6" s="329" t="s">
        <v>182</v>
      </c>
      <c r="C6" s="330" t="s">
        <v>183</v>
      </c>
      <c r="D6" s="3199"/>
      <c r="E6" s="3199"/>
      <c r="F6" s="3199"/>
      <c r="G6" s="331">
        <v>1</v>
      </c>
      <c r="H6" s="193">
        <v>-3</v>
      </c>
      <c r="I6" s="332">
        <v>-2</v>
      </c>
      <c r="J6" s="332">
        <v>-1</v>
      </c>
      <c r="K6" s="332">
        <v>-1</v>
      </c>
      <c r="L6" s="332">
        <v>0</v>
      </c>
      <c r="M6" s="332">
        <v>1</v>
      </c>
      <c r="N6" s="332">
        <v>2</v>
      </c>
    </row>
    <row r="7" spans="1:14" ht="15">
      <c r="A7" s="203">
        <v>1</v>
      </c>
      <c r="B7" s="333" t="s">
        <v>328</v>
      </c>
      <c r="C7" s="334"/>
      <c r="D7" s="335"/>
      <c r="E7" s="336" t="s">
        <v>329</v>
      </c>
      <c r="F7" s="337"/>
      <c r="G7" s="338" t="e">
        <f>G11+G23</f>
        <v>#REF!</v>
      </c>
      <c r="H7" s="2220">
        <f>H8+H9+H10</f>
        <v>14795.630000000001</v>
      </c>
      <c r="I7" s="2221">
        <f>SUM(I8:I10)</f>
        <v>20550</v>
      </c>
      <c r="J7" s="2096">
        <f>J8+J9+J10</f>
        <v>17500</v>
      </c>
      <c r="K7" s="2096">
        <f>SUM(K8:K10)</f>
        <v>28470</v>
      </c>
      <c r="L7" s="2224">
        <f>SUM(L8:L10)</f>
        <v>16550</v>
      </c>
      <c r="M7" s="2096">
        <f>SUM(M8:M10)</f>
        <v>18550</v>
      </c>
      <c r="N7" s="2096">
        <f>SUM(N8:N10)</f>
        <v>18550</v>
      </c>
    </row>
    <row r="8" spans="1:14" ht="12.75">
      <c r="A8" s="203">
        <f aca="true" t="shared" si="0" ref="A8:A17">A7+1</f>
        <v>2</v>
      </c>
      <c r="B8" s="340" t="s">
        <v>185</v>
      </c>
      <c r="C8" s="897" t="s">
        <v>186</v>
      </c>
      <c r="D8" s="898"/>
      <c r="E8" s="899"/>
      <c r="F8" s="900"/>
      <c r="G8" s="901" t="e">
        <f>G12+G24</f>
        <v>#REF!</v>
      </c>
      <c r="H8" s="1044">
        <f>H12+H24</f>
        <v>14795.630000000001</v>
      </c>
      <c r="I8" s="1000">
        <f>SUM(I12+I24)</f>
        <v>18350</v>
      </c>
      <c r="J8" s="902">
        <f>J12+J24</f>
        <v>17500</v>
      </c>
      <c r="K8" s="902">
        <f>SUM(K12+K24)</f>
        <v>22850</v>
      </c>
      <c r="L8" s="1042">
        <f>SUM(L12+L24)</f>
        <v>16550</v>
      </c>
      <c r="M8" s="902">
        <f>SUM(M12+M24)</f>
        <v>18550</v>
      </c>
      <c r="N8" s="902">
        <f>SUM(N12+N24)</f>
        <v>18550</v>
      </c>
    </row>
    <row r="9" spans="1:14" ht="12.75">
      <c r="A9" s="203">
        <f t="shared" si="0"/>
        <v>3</v>
      </c>
      <c r="B9" s="340" t="s">
        <v>187</v>
      </c>
      <c r="C9" s="1034" t="s">
        <v>188</v>
      </c>
      <c r="D9" s="1035"/>
      <c r="E9" s="1036"/>
      <c r="F9" s="1037"/>
      <c r="G9" s="1038" t="e">
        <f>#REF!</f>
        <v>#REF!</v>
      </c>
      <c r="H9" s="1054">
        <f aca="true" t="shared" si="1" ref="H9:N9">H18+H30</f>
        <v>0</v>
      </c>
      <c r="I9" s="1039">
        <f t="shared" si="1"/>
        <v>2200</v>
      </c>
      <c r="J9" s="1040">
        <f t="shared" si="1"/>
        <v>0</v>
      </c>
      <c r="K9" s="1040">
        <f t="shared" si="1"/>
        <v>5620</v>
      </c>
      <c r="L9" s="1040">
        <f t="shared" si="1"/>
        <v>0</v>
      </c>
      <c r="M9" s="1040">
        <f t="shared" si="1"/>
        <v>0</v>
      </c>
      <c r="N9" s="1040">
        <f t="shared" si="1"/>
        <v>0</v>
      </c>
    </row>
    <row r="10" spans="1:14" ht="13.5" thickBot="1">
      <c r="A10" s="203">
        <f t="shared" si="0"/>
        <v>4</v>
      </c>
      <c r="B10" s="341"/>
      <c r="C10" s="1065" t="s">
        <v>189</v>
      </c>
      <c r="D10" s="1066"/>
      <c r="E10" s="1067"/>
      <c r="F10" s="1068"/>
      <c r="G10" s="1069">
        <v>0</v>
      </c>
      <c r="H10" s="1138">
        <v>0</v>
      </c>
      <c r="I10" s="1088">
        <v>0</v>
      </c>
      <c r="J10" s="1089">
        <v>0</v>
      </c>
      <c r="K10" s="1089">
        <v>0</v>
      </c>
      <c r="L10" s="1090">
        <v>0</v>
      </c>
      <c r="M10" s="1089">
        <v>0</v>
      </c>
      <c r="N10" s="1089">
        <v>0</v>
      </c>
    </row>
    <row r="11" spans="1:14" ht="13.5" thickTop="1">
      <c r="A11" s="203">
        <f t="shared" si="0"/>
        <v>5</v>
      </c>
      <c r="B11" s="342">
        <v>1</v>
      </c>
      <c r="C11" s="309" t="s">
        <v>330</v>
      </c>
      <c r="D11" s="210"/>
      <c r="E11" s="210"/>
      <c r="F11" s="211"/>
      <c r="G11" s="212" t="e">
        <f>SUM(G13)+#REF!</f>
        <v>#REF!</v>
      </c>
      <c r="H11" s="831">
        <f>H12+H18</f>
        <v>0</v>
      </c>
      <c r="I11" s="428">
        <f>SUM(I12,I18)</f>
        <v>3200</v>
      </c>
      <c r="J11" s="213">
        <f>J12+J18</f>
        <v>1000</v>
      </c>
      <c r="K11" s="213">
        <f>SUM(K12,K18)</f>
        <v>7570</v>
      </c>
      <c r="L11" s="213">
        <f>SUM(L12,L18)</f>
        <v>1000</v>
      </c>
      <c r="M11" s="213">
        <f>SUM(M12,M18)</f>
        <v>1000</v>
      </c>
      <c r="N11" s="213">
        <f>SUM(N12,N18)</f>
        <v>1000</v>
      </c>
    </row>
    <row r="12" spans="1:14" s="262" customFormat="1" ht="12.75">
      <c r="A12" s="203">
        <f t="shared" si="0"/>
        <v>6</v>
      </c>
      <c r="B12" s="344"/>
      <c r="C12" s="224"/>
      <c r="D12" s="206" t="s">
        <v>186</v>
      </c>
      <c r="E12" s="225"/>
      <c r="F12" s="226"/>
      <c r="G12" s="227" t="e">
        <f aca="true" t="shared" si="2" ref="G12:N12">G13</f>
        <v>#REF!</v>
      </c>
      <c r="H12" s="757">
        <f>H13</f>
        <v>0</v>
      </c>
      <c r="I12" s="396">
        <f t="shared" si="2"/>
        <v>1000</v>
      </c>
      <c r="J12" s="228">
        <f>J13</f>
        <v>1000</v>
      </c>
      <c r="K12" s="228">
        <f t="shared" si="2"/>
        <v>1950</v>
      </c>
      <c r="L12" s="228">
        <f t="shared" si="2"/>
        <v>1000</v>
      </c>
      <c r="M12" s="228">
        <f t="shared" si="2"/>
        <v>1000</v>
      </c>
      <c r="N12" s="228">
        <f t="shared" si="2"/>
        <v>1000</v>
      </c>
    </row>
    <row r="13" spans="1:14" ht="12.75">
      <c r="A13" s="203">
        <f t="shared" si="0"/>
        <v>7</v>
      </c>
      <c r="B13" s="346"/>
      <c r="C13" s="347" t="s">
        <v>331</v>
      </c>
      <c r="D13" s="264" t="s">
        <v>330</v>
      </c>
      <c r="E13" s="348"/>
      <c r="F13" s="349"/>
      <c r="G13" s="266" t="e">
        <f>SUM(#REF!)</f>
        <v>#REF!</v>
      </c>
      <c r="H13" s="758">
        <f>SUM(H14:H17)</f>
        <v>0</v>
      </c>
      <c r="I13" s="429">
        <f>SUM(I14,I15,I16,I17)</f>
        <v>1000</v>
      </c>
      <c r="J13" s="235">
        <f>SUM(J14:J17)</f>
        <v>1000</v>
      </c>
      <c r="K13" s="235">
        <f>SUM(K14,K15,K16,K17)</f>
        <v>1950</v>
      </c>
      <c r="L13" s="235">
        <f>SUM(L14,L15,L16,L17)</f>
        <v>1000</v>
      </c>
      <c r="M13" s="235">
        <f>SUM(M14,M15,M16,M17)</f>
        <v>1000</v>
      </c>
      <c r="N13" s="235">
        <f>SUM(N14,N15,N16,N17)</f>
        <v>1000</v>
      </c>
    </row>
    <row r="14" spans="1:14" ht="12.75">
      <c r="A14" s="203">
        <f t="shared" si="0"/>
        <v>8</v>
      </c>
      <c r="B14" s="346"/>
      <c r="C14" s="285" t="s">
        <v>195</v>
      </c>
      <c r="D14" s="286" t="s">
        <v>221</v>
      </c>
      <c r="E14" s="244" t="s">
        <v>332</v>
      </c>
      <c r="F14" s="274"/>
      <c r="G14" s="275"/>
      <c r="H14" s="1156">
        <f>výdavky!D271</f>
        <v>0</v>
      </c>
      <c r="I14" s="398">
        <f>výdavky!E271</f>
        <v>0</v>
      </c>
      <c r="J14" s="247">
        <f>výdavky!F271</f>
        <v>0</v>
      </c>
      <c r="K14" s="247">
        <f>výdavky!G271</f>
        <v>0</v>
      </c>
      <c r="L14" s="247">
        <f>výdavky!H271</f>
        <v>0</v>
      </c>
      <c r="M14" s="247">
        <f>výdavky!I271</f>
        <v>0</v>
      </c>
      <c r="N14" s="247">
        <f>výdavky!J271</f>
        <v>0</v>
      </c>
    </row>
    <row r="15" spans="1:14" ht="12.75">
      <c r="A15" s="203">
        <f t="shared" si="0"/>
        <v>9</v>
      </c>
      <c r="B15" s="346"/>
      <c r="C15" s="285" t="s">
        <v>201</v>
      </c>
      <c r="D15" s="286" t="s">
        <v>223</v>
      </c>
      <c r="E15" s="244" t="s">
        <v>202</v>
      </c>
      <c r="F15" s="274"/>
      <c r="G15" s="275"/>
      <c r="H15" s="1156">
        <f>výdavky!D272</f>
        <v>0</v>
      </c>
      <c r="I15" s="398">
        <f>výdavky!E272</f>
        <v>0</v>
      </c>
      <c r="J15" s="247">
        <f>výdavky!F272</f>
        <v>0</v>
      </c>
      <c r="K15" s="247">
        <f>výdavky!G272</f>
        <v>0</v>
      </c>
      <c r="L15" s="247">
        <f>výdavky!H272</f>
        <v>0</v>
      </c>
      <c r="M15" s="247">
        <f>výdavky!I272</f>
        <v>0</v>
      </c>
      <c r="N15" s="247">
        <f>výdavky!J272</f>
        <v>0</v>
      </c>
    </row>
    <row r="16" spans="1:14" ht="12.75">
      <c r="A16" s="203">
        <f t="shared" si="0"/>
        <v>10</v>
      </c>
      <c r="B16" s="346"/>
      <c r="C16" s="285" t="s">
        <v>211</v>
      </c>
      <c r="D16" s="286" t="s">
        <v>234</v>
      </c>
      <c r="E16" s="244" t="s">
        <v>212</v>
      </c>
      <c r="F16" s="274"/>
      <c r="G16" s="275"/>
      <c r="H16" s="1156">
        <f>výdavky!D273</f>
        <v>0</v>
      </c>
      <c r="I16" s="398">
        <f>výdavky!E273</f>
        <v>1000</v>
      </c>
      <c r="J16" s="247">
        <f>výdavky!F273</f>
        <v>1000</v>
      </c>
      <c r="K16" s="247">
        <f>výdavky!G273</f>
        <v>0</v>
      </c>
      <c r="L16" s="247">
        <f>výdavky!H273</f>
        <v>1000</v>
      </c>
      <c r="M16" s="247">
        <f>výdavky!I273</f>
        <v>1000</v>
      </c>
      <c r="N16" s="247">
        <f>výdavky!J273</f>
        <v>1000</v>
      </c>
    </row>
    <row r="17" spans="1:14" ht="12.75">
      <c r="A17" s="203">
        <f t="shared" si="0"/>
        <v>11</v>
      </c>
      <c r="B17" s="346"/>
      <c r="C17" s="285" t="s">
        <v>211</v>
      </c>
      <c r="D17" s="286" t="s">
        <v>236</v>
      </c>
      <c r="E17" s="244" t="s">
        <v>333</v>
      </c>
      <c r="F17" s="454"/>
      <c r="G17" s="455"/>
      <c r="H17" s="760">
        <f>výdavky!D274</f>
        <v>0</v>
      </c>
      <c r="I17" s="398">
        <f>výdavky!E274</f>
        <v>0</v>
      </c>
      <c r="J17" s="247">
        <f>výdavky!F274</f>
        <v>0</v>
      </c>
      <c r="K17" s="247">
        <f>výdavky!G274</f>
        <v>1950</v>
      </c>
      <c r="L17" s="247">
        <f>výdavky!H274</f>
        <v>0</v>
      </c>
      <c r="M17" s="247">
        <f>výdavky!I274</f>
        <v>0</v>
      </c>
      <c r="N17" s="247">
        <f>výdavky!J274</f>
        <v>0</v>
      </c>
    </row>
    <row r="18" spans="1:14" ht="12.75">
      <c r="A18" s="203">
        <v>12</v>
      </c>
      <c r="B18" s="229"/>
      <c r="C18" s="287"/>
      <c r="D18" s="819" t="s">
        <v>188</v>
      </c>
      <c r="E18" s="822"/>
      <c r="F18" s="827"/>
      <c r="G18" s="828">
        <f>G20</f>
        <v>0</v>
      </c>
      <c r="H18" s="834">
        <f aca="true" t="shared" si="3" ref="H18:N18">H19</f>
        <v>0</v>
      </c>
      <c r="I18" s="830">
        <f t="shared" si="3"/>
        <v>2200</v>
      </c>
      <c r="J18" s="829">
        <f t="shared" si="3"/>
        <v>0</v>
      </c>
      <c r="K18" s="829">
        <f t="shared" si="3"/>
        <v>5620</v>
      </c>
      <c r="L18" s="829">
        <f t="shared" si="3"/>
        <v>0</v>
      </c>
      <c r="M18" s="829">
        <f t="shared" si="3"/>
        <v>0</v>
      </c>
      <c r="N18" s="829">
        <f t="shared" si="3"/>
        <v>0</v>
      </c>
    </row>
    <row r="19" spans="1:14" ht="12.75">
      <c r="A19" s="203">
        <f>A18+1</f>
        <v>13</v>
      </c>
      <c r="B19" s="229"/>
      <c r="C19" s="230" t="s">
        <v>331</v>
      </c>
      <c r="D19" s="231" t="s">
        <v>330</v>
      </c>
      <c r="E19" s="232"/>
      <c r="F19" s="233"/>
      <c r="G19" s="234">
        <f>SUM(G20:G25)</f>
        <v>234.29999999999998</v>
      </c>
      <c r="H19" s="1157">
        <f>SUM(H20:H22)</f>
        <v>0</v>
      </c>
      <c r="I19" s="1159">
        <f>SUM(I20,I21,I22)</f>
        <v>2200</v>
      </c>
      <c r="J19" s="1160">
        <f>SUM(J20:J22)</f>
        <v>0</v>
      </c>
      <c r="K19" s="1160">
        <f>SUM(K20,K21,K22)</f>
        <v>5620</v>
      </c>
      <c r="L19" s="1160">
        <f>SUM(L20,L21,L22)</f>
        <v>0</v>
      </c>
      <c r="M19" s="1160">
        <f>SUM(M20,M21,M22)</f>
        <v>0</v>
      </c>
      <c r="N19" s="1160">
        <f>SUM(N20,N21,N22)</f>
        <v>0</v>
      </c>
    </row>
    <row r="20" spans="1:14" ht="12.75">
      <c r="A20" s="203">
        <f>A19+1</f>
        <v>14</v>
      </c>
      <c r="B20" s="346"/>
      <c r="C20" s="285" t="s">
        <v>334</v>
      </c>
      <c r="D20" s="286" t="s">
        <v>238</v>
      </c>
      <c r="E20" s="375" t="s">
        <v>335</v>
      </c>
      <c r="F20" s="254"/>
      <c r="G20" s="255"/>
      <c r="H20" s="760">
        <f>výdavky!D656</f>
        <v>0</v>
      </c>
      <c r="I20" s="398">
        <f>výdavky!E656</f>
        <v>2200</v>
      </c>
      <c r="J20" s="247">
        <f>výdavky!F656</f>
        <v>0</v>
      </c>
      <c r="K20" s="247">
        <f>výdavky!G656</f>
        <v>5620</v>
      </c>
      <c r="L20" s="247">
        <f>výdavky!H656</f>
        <v>0</v>
      </c>
      <c r="M20" s="247">
        <v>0</v>
      </c>
      <c r="N20" s="247">
        <v>0</v>
      </c>
    </row>
    <row r="21" spans="1:14" ht="12.75">
      <c r="A21" s="203"/>
      <c r="B21" s="346"/>
      <c r="C21" s="285" t="s">
        <v>336</v>
      </c>
      <c r="D21" s="286" t="s">
        <v>242</v>
      </c>
      <c r="E21" s="375" t="s">
        <v>719</v>
      </c>
      <c r="F21" s="254"/>
      <c r="G21" s="255"/>
      <c r="H21" s="760">
        <f>výdavky!D661+výdavky!D660+výdavky!D659</f>
        <v>0</v>
      </c>
      <c r="I21" s="398">
        <f>výdavky!E659+výdavky!E660+výdavky!E661</f>
        <v>0</v>
      </c>
      <c r="J21" s="247">
        <f>výdavky!F655</f>
        <v>0</v>
      </c>
      <c r="K21" s="247">
        <f>výdavky!G659+výdavky!G660+výdavky!G661</f>
        <v>0</v>
      </c>
      <c r="L21" s="247">
        <f>výdavky!H655+výdavky!H658+výdavky!H659+výdavky!H660+výdavky!H661</f>
        <v>0</v>
      </c>
      <c r="M21" s="247">
        <v>0</v>
      </c>
      <c r="N21" s="247">
        <v>0</v>
      </c>
    </row>
    <row r="22" spans="1:14" ht="12.75">
      <c r="A22" s="203">
        <f>A20+1</f>
        <v>15</v>
      </c>
      <c r="B22" s="346"/>
      <c r="C22" s="285" t="s">
        <v>336</v>
      </c>
      <c r="D22" s="286" t="s">
        <v>244</v>
      </c>
      <c r="E22" s="375" t="s">
        <v>720</v>
      </c>
      <c r="F22" s="254"/>
      <c r="G22" s="255"/>
      <c r="H22" s="760">
        <f>výdavky!D655</f>
        <v>0</v>
      </c>
      <c r="I22" s="398">
        <f>výdavky!E658</f>
        <v>0</v>
      </c>
      <c r="J22" s="247"/>
      <c r="K22" s="247">
        <f>výdavky!G658</f>
        <v>0</v>
      </c>
      <c r="L22" s="247">
        <v>0</v>
      </c>
      <c r="M22" s="247">
        <v>0</v>
      </c>
      <c r="N22" s="247">
        <v>0</v>
      </c>
    </row>
    <row r="23" spans="1:14" ht="12.75">
      <c r="A23" s="203">
        <f>A22+1</f>
        <v>16</v>
      </c>
      <c r="B23" s="342">
        <v>2</v>
      </c>
      <c r="C23" s="430" t="s">
        <v>337</v>
      </c>
      <c r="D23" s="210"/>
      <c r="E23" s="210"/>
      <c r="F23" s="211"/>
      <c r="G23" s="212">
        <f>SUM(G25)</f>
        <v>78.1</v>
      </c>
      <c r="H23" s="756">
        <f>H24+H30</f>
        <v>14795.630000000001</v>
      </c>
      <c r="I23" s="399">
        <f aca="true" t="shared" si="4" ref="I23:N24">I24</f>
        <v>17350</v>
      </c>
      <c r="J23" s="214">
        <f>J24+J30</f>
        <v>16500</v>
      </c>
      <c r="K23" s="214">
        <f t="shared" si="4"/>
        <v>20900</v>
      </c>
      <c r="L23" s="214">
        <f t="shared" si="4"/>
        <v>15550</v>
      </c>
      <c r="M23" s="214">
        <f t="shared" si="4"/>
        <v>17550</v>
      </c>
      <c r="N23" s="214">
        <f t="shared" si="4"/>
        <v>17550</v>
      </c>
    </row>
    <row r="24" spans="1:14" s="262" customFormat="1" ht="12.75">
      <c r="A24" s="203">
        <f>A23+1</f>
        <v>17</v>
      </c>
      <c r="B24" s="344"/>
      <c r="C24" s="431"/>
      <c r="D24" s="206" t="s">
        <v>186</v>
      </c>
      <c r="E24" s="225"/>
      <c r="F24" s="226"/>
      <c r="G24" s="227">
        <f>G25</f>
        <v>78.1</v>
      </c>
      <c r="H24" s="757">
        <f>H25</f>
        <v>14795.630000000001</v>
      </c>
      <c r="I24" s="396">
        <f t="shared" si="4"/>
        <v>17350</v>
      </c>
      <c r="J24" s="228">
        <f>J25</f>
        <v>16500</v>
      </c>
      <c r="K24" s="228">
        <f t="shared" si="4"/>
        <v>20900</v>
      </c>
      <c r="L24" s="228">
        <f t="shared" si="4"/>
        <v>15550</v>
      </c>
      <c r="M24" s="228">
        <f t="shared" si="4"/>
        <v>17550</v>
      </c>
      <c r="N24" s="228">
        <f t="shared" si="4"/>
        <v>17550</v>
      </c>
    </row>
    <row r="25" spans="1:14" ht="12.75">
      <c r="A25" s="203">
        <f>A24+1</f>
        <v>18</v>
      </c>
      <c r="B25" s="346"/>
      <c r="C25" s="432" t="s">
        <v>338</v>
      </c>
      <c r="D25" s="264" t="s">
        <v>337</v>
      </c>
      <c r="E25" s="348"/>
      <c r="F25" s="349"/>
      <c r="G25" s="266">
        <f>G34</f>
        <v>78.1</v>
      </c>
      <c r="H25" s="758">
        <f>SUM(H26:H29)</f>
        <v>14795.630000000001</v>
      </c>
      <c r="I25" s="429">
        <f>I34+SUM(I26,I27,I28,I29)</f>
        <v>17350</v>
      </c>
      <c r="J25" s="235">
        <f>SUM(J26:J29)</f>
        <v>16500</v>
      </c>
      <c r="K25" s="235">
        <f>K34+SUM(K26,K27,K28,K29)</f>
        <v>20900</v>
      </c>
      <c r="L25" s="235">
        <f>L34+SUM(L26,L27,L28,L29)</f>
        <v>15550</v>
      </c>
      <c r="M25" s="235">
        <f>M34+SUM(M26,M27,M28,M29)</f>
        <v>17550</v>
      </c>
      <c r="N25" s="235">
        <f>N34+SUM(N26,N27,N28,N29)</f>
        <v>17550</v>
      </c>
    </row>
    <row r="26" spans="1:14" ht="12.75">
      <c r="A26" s="203">
        <v>19</v>
      </c>
      <c r="B26" s="346"/>
      <c r="C26" s="285" t="s">
        <v>201</v>
      </c>
      <c r="D26" s="272">
        <v>1</v>
      </c>
      <c r="E26" s="273" t="s">
        <v>202</v>
      </c>
      <c r="F26" s="274"/>
      <c r="G26" s="275"/>
      <c r="H26" s="1156">
        <f>výdavky!D277</f>
        <v>12810.69</v>
      </c>
      <c r="I26" s="398">
        <f>výdavky!E277</f>
        <v>12650</v>
      </c>
      <c r="J26" s="247">
        <f>výdavky!F277</f>
        <v>12000</v>
      </c>
      <c r="K26" s="247">
        <f>výdavky!G277</f>
        <v>13750</v>
      </c>
      <c r="L26" s="247">
        <f>výdavky!H277</f>
        <v>14050</v>
      </c>
      <c r="M26" s="247">
        <f>výdavky!I277</f>
        <v>14050</v>
      </c>
      <c r="N26" s="247">
        <f>výdavky!J277</f>
        <v>14050</v>
      </c>
    </row>
    <row r="27" spans="1:14" ht="12.75">
      <c r="A27" s="203">
        <v>20</v>
      </c>
      <c r="B27" s="346"/>
      <c r="C27" s="285" t="s">
        <v>203</v>
      </c>
      <c r="D27" s="272">
        <v>2</v>
      </c>
      <c r="E27" s="273" t="s">
        <v>204</v>
      </c>
      <c r="F27" s="274"/>
      <c r="G27" s="275"/>
      <c r="H27" s="1156">
        <f>výdavky!D278</f>
        <v>1984.94</v>
      </c>
      <c r="I27" s="398">
        <f>výdavky!E278</f>
        <v>2800</v>
      </c>
      <c r="J27" s="247">
        <f>výdavky!F278</f>
        <v>2000</v>
      </c>
      <c r="K27" s="247">
        <f>výdavky!G278</f>
        <v>7000</v>
      </c>
      <c r="L27" s="247">
        <f>výdavky!H278</f>
        <v>1000</v>
      </c>
      <c r="M27" s="247">
        <f>výdavky!I278</f>
        <v>1000</v>
      </c>
      <c r="N27" s="247">
        <f>výdavky!J278</f>
        <v>1000</v>
      </c>
    </row>
    <row r="28" spans="1:14" ht="12.75">
      <c r="A28" s="203">
        <v>21</v>
      </c>
      <c r="B28" s="346"/>
      <c r="C28" s="285" t="s">
        <v>207</v>
      </c>
      <c r="D28" s="272">
        <v>3</v>
      </c>
      <c r="E28" s="273" t="s">
        <v>285</v>
      </c>
      <c r="F28" s="274"/>
      <c r="G28" s="275"/>
      <c r="H28" s="1156">
        <f>výdavky!D279</f>
        <v>0</v>
      </c>
      <c r="I28" s="398">
        <f>výdavky!E279</f>
        <v>500</v>
      </c>
      <c r="J28" s="247">
        <f>výdavky!F279</f>
        <v>500</v>
      </c>
      <c r="K28" s="247">
        <f>výdavky!G279</f>
        <v>0</v>
      </c>
      <c r="L28" s="247">
        <f>výdavky!H279</f>
        <v>500</v>
      </c>
      <c r="M28" s="247">
        <f>výdavky!I279</f>
        <v>500</v>
      </c>
      <c r="N28" s="247">
        <f>výdavky!J279</f>
        <v>500</v>
      </c>
    </row>
    <row r="29" spans="1:14" ht="12.75">
      <c r="A29" s="203">
        <v>22</v>
      </c>
      <c r="B29" s="346"/>
      <c r="C29" s="285" t="s">
        <v>211</v>
      </c>
      <c r="D29" s="272">
        <v>4</v>
      </c>
      <c r="E29" s="273" t="s">
        <v>212</v>
      </c>
      <c r="F29" s="274"/>
      <c r="G29" s="275"/>
      <c r="H29" s="1156">
        <f>výdavky!D280</f>
        <v>0</v>
      </c>
      <c r="I29" s="398">
        <f>výdavky!E280</f>
        <v>1400</v>
      </c>
      <c r="J29" s="247">
        <f>výdavky!F280</f>
        <v>2000</v>
      </c>
      <c r="K29" s="247">
        <f>výdavky!G280</f>
        <v>150</v>
      </c>
      <c r="L29" s="247">
        <f>výdavky!H280</f>
        <v>0</v>
      </c>
      <c r="M29" s="247">
        <f>výdavky!I280</f>
        <v>2000</v>
      </c>
      <c r="N29" s="247">
        <f>výdavky!J280</f>
        <v>2000</v>
      </c>
    </row>
    <row r="30" spans="1:14" ht="12.75">
      <c r="A30" s="203">
        <v>25</v>
      </c>
      <c r="B30" s="346"/>
      <c r="C30" s="285"/>
      <c r="D30" s="3203" t="s">
        <v>188</v>
      </c>
      <c r="E30" s="3203"/>
      <c r="F30" s="910"/>
      <c r="G30" s="907"/>
      <c r="H30" s="1158">
        <f>H31</f>
        <v>0</v>
      </c>
      <c r="I30" s="911">
        <f>SUM(I31)</f>
        <v>0</v>
      </c>
      <c r="J30" s="908">
        <f>J31</f>
        <v>0</v>
      </c>
      <c r="K30" s="908">
        <f>SUM(K31)</f>
        <v>0</v>
      </c>
      <c r="L30" s="908">
        <f>SUM(L31)</f>
        <v>0</v>
      </c>
      <c r="M30" s="908">
        <f>SUM(M31)</f>
        <v>0</v>
      </c>
      <c r="N30" s="908">
        <f>SUM(N31)</f>
        <v>0</v>
      </c>
    </row>
    <row r="31" spans="1:14" ht="12.75">
      <c r="A31" s="203">
        <v>26</v>
      </c>
      <c r="B31" s="346"/>
      <c r="C31" s="432" t="s">
        <v>338</v>
      </c>
      <c r="D31" s="3202" t="s">
        <v>337</v>
      </c>
      <c r="E31" s="3202"/>
      <c r="F31" s="349"/>
      <c r="G31" s="266"/>
      <c r="H31" s="758">
        <f>SUM(H32:H34)</f>
        <v>0</v>
      </c>
      <c r="I31" s="434">
        <f>SUM(I32,I33,I34)</f>
        <v>0</v>
      </c>
      <c r="J31" s="433">
        <f>J32</f>
        <v>0</v>
      </c>
      <c r="K31" s="433">
        <f>SUM(K32,K33,K34)</f>
        <v>0</v>
      </c>
      <c r="L31" s="433">
        <f>SUM(L32,L33,L34)</f>
        <v>0</v>
      </c>
      <c r="M31" s="433">
        <f>SUM(M32,M33,M34)</f>
        <v>0</v>
      </c>
      <c r="N31" s="433">
        <f>SUM(N32,N33,N34)</f>
        <v>0</v>
      </c>
    </row>
    <row r="32" spans="1:14" ht="12.75">
      <c r="A32" s="203">
        <v>27</v>
      </c>
      <c r="B32" s="346"/>
      <c r="C32" s="285" t="s">
        <v>298</v>
      </c>
      <c r="D32" s="272">
        <v>7</v>
      </c>
      <c r="E32" s="273" t="s">
        <v>339</v>
      </c>
      <c r="F32" s="245"/>
      <c r="G32" s="435"/>
      <c r="H32" s="1156">
        <v>0</v>
      </c>
      <c r="I32" s="398">
        <v>0</v>
      </c>
      <c r="J32" s="247"/>
      <c r="K32" s="247">
        <v>0</v>
      </c>
      <c r="L32" s="247">
        <v>0</v>
      </c>
      <c r="M32" s="247">
        <v>0</v>
      </c>
      <c r="N32" s="247">
        <v>0</v>
      </c>
    </row>
    <row r="33" spans="1:14" ht="12.75">
      <c r="A33" s="203">
        <v>28</v>
      </c>
      <c r="B33" s="346"/>
      <c r="C33" s="285"/>
      <c r="D33" s="272"/>
      <c r="E33" s="273"/>
      <c r="F33" s="274"/>
      <c r="G33" s="275"/>
      <c r="H33" s="1156"/>
      <c r="I33" s="398"/>
      <c r="J33" s="247"/>
      <c r="K33" s="247"/>
      <c r="L33" s="247"/>
      <c r="M33" s="247"/>
      <c r="N33" s="247"/>
    </row>
    <row r="34" spans="1:14" s="262" customFormat="1" ht="13.5" thickBot="1">
      <c r="A34" s="316">
        <v>29</v>
      </c>
      <c r="B34" s="456"/>
      <c r="C34" s="353"/>
      <c r="D34" s="319"/>
      <c r="E34" s="457"/>
      <c r="F34" s="356"/>
      <c r="G34" s="425">
        <v>78.1</v>
      </c>
      <c r="H34" s="992"/>
      <c r="I34" s="426"/>
      <c r="J34" s="359"/>
      <c r="K34" s="359"/>
      <c r="L34" s="359"/>
      <c r="M34" s="359"/>
      <c r="N34" s="359"/>
    </row>
  </sheetData>
  <sheetProtection/>
  <mergeCells count="4">
    <mergeCell ref="G3:N3"/>
    <mergeCell ref="D4:F6"/>
    <mergeCell ref="D30:E30"/>
    <mergeCell ref="D31:E31"/>
  </mergeCells>
  <printOptions/>
  <pageMargins left="0.25" right="0.25" top="0.75" bottom="0.75" header="0.3" footer="0.3"/>
  <pageSetup fitToHeight="0" fitToWidth="1" horizontalDpi="300" verticalDpi="3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R54" sqref="R54:R55"/>
    </sheetView>
  </sheetViews>
  <sheetFormatPr defaultColWidth="9.140625" defaultRowHeight="12.75"/>
  <cols>
    <col min="1" max="1" width="3.57421875" style="167" customWidth="1"/>
    <col min="2" max="2" width="4.140625" style="1" customWidth="1"/>
    <col min="3" max="3" width="7.57421875" style="0" customWidth="1"/>
    <col min="4" max="4" width="3.421875" style="0" customWidth="1"/>
    <col min="5" max="5" width="31.421875" style="0" customWidth="1"/>
    <col min="6" max="6" width="9.8515625" style="0" customWidth="1"/>
    <col min="7" max="7" width="0" style="0" hidden="1" customWidth="1"/>
    <col min="9" max="14" width="8.28125" style="0" customWidth="1"/>
  </cols>
  <sheetData>
    <row r="1" spans="2:14" ht="15.75">
      <c r="B1" s="171" t="s">
        <v>340</v>
      </c>
      <c r="E1" s="171" t="s">
        <v>341</v>
      </c>
      <c r="F1" s="169"/>
      <c r="G1" s="324" t="e">
        <f>G2-G7</f>
        <v>#REF!</v>
      </c>
      <c r="H1" s="324"/>
      <c r="I1" s="324"/>
      <c r="J1" s="324"/>
      <c r="K1" s="324"/>
      <c r="L1" s="325">
        <f>L2-L7</f>
        <v>0</v>
      </c>
      <c r="M1" s="325">
        <f>M2-M7</f>
        <v>0</v>
      </c>
      <c r="N1" s="325">
        <f>N2-N7</f>
        <v>0</v>
      </c>
    </row>
    <row r="2" spans="2:14" ht="15.75">
      <c r="B2" s="171"/>
      <c r="G2" s="326" t="e">
        <f>SUM(G8:G10)</f>
        <v>#REF!</v>
      </c>
      <c r="H2" s="326"/>
      <c r="I2" s="326"/>
      <c r="J2" s="326"/>
      <c r="K2" s="326"/>
      <c r="L2" s="179">
        <f>SUM(L8:L10)</f>
        <v>38660</v>
      </c>
      <c r="M2" s="179">
        <f>SUM(M8:M10)</f>
        <v>395810</v>
      </c>
      <c r="N2" s="179">
        <f>SUM(N8:N10)</f>
        <v>35810</v>
      </c>
    </row>
    <row r="3" spans="1:14" ht="15.75">
      <c r="A3" s="180"/>
      <c r="B3" s="181"/>
      <c r="C3" s="182"/>
      <c r="D3" s="182"/>
      <c r="E3" s="183"/>
      <c r="F3" s="184"/>
      <c r="G3" s="3196" t="s">
        <v>173</v>
      </c>
      <c r="H3" s="3196"/>
      <c r="I3" s="3196"/>
      <c r="J3" s="3196"/>
      <c r="K3" s="3196"/>
      <c r="L3" s="3196"/>
      <c r="M3" s="3196"/>
      <c r="N3" s="3196"/>
    </row>
    <row r="4" spans="1:14" ht="11.25" customHeight="1">
      <c r="A4" s="185"/>
      <c r="B4" s="186" t="s">
        <v>174</v>
      </c>
      <c r="C4" s="187" t="s">
        <v>175</v>
      </c>
      <c r="D4" s="3199" t="s">
        <v>176</v>
      </c>
      <c r="E4" s="3199"/>
      <c r="F4" s="3199"/>
      <c r="G4" s="188"/>
      <c r="H4" s="975">
        <v>2016</v>
      </c>
      <c r="I4" s="189">
        <v>2017</v>
      </c>
      <c r="J4" s="189">
        <v>2018</v>
      </c>
      <c r="K4" s="189" t="s">
        <v>790</v>
      </c>
      <c r="L4" s="189">
        <v>2019</v>
      </c>
      <c r="M4" s="189">
        <v>2020</v>
      </c>
      <c r="N4" s="189">
        <v>2021</v>
      </c>
    </row>
    <row r="5" spans="1:14" ht="15" customHeight="1">
      <c r="A5" s="185"/>
      <c r="B5" s="186" t="s">
        <v>177</v>
      </c>
      <c r="C5" s="187" t="s">
        <v>178</v>
      </c>
      <c r="D5" s="3199"/>
      <c r="E5" s="3199"/>
      <c r="F5" s="3199"/>
      <c r="G5" s="190" t="s">
        <v>179</v>
      </c>
      <c r="H5" s="327" t="s">
        <v>180</v>
      </c>
      <c r="I5" s="191" t="s">
        <v>181</v>
      </c>
      <c r="J5" s="191" t="s">
        <v>180</v>
      </c>
      <c r="K5" s="191" t="s">
        <v>181</v>
      </c>
      <c r="L5" s="191" t="s">
        <v>180</v>
      </c>
      <c r="M5" s="191" t="s">
        <v>181</v>
      </c>
      <c r="N5" s="191" t="s">
        <v>181</v>
      </c>
    </row>
    <row r="6" spans="1:14" ht="12.75">
      <c r="A6" s="328"/>
      <c r="B6" s="329" t="s">
        <v>182</v>
      </c>
      <c r="C6" s="330" t="s">
        <v>183</v>
      </c>
      <c r="D6" s="3199"/>
      <c r="E6" s="3199"/>
      <c r="F6" s="3199"/>
      <c r="G6" s="331">
        <v>1</v>
      </c>
      <c r="H6" s="331">
        <v>-3</v>
      </c>
      <c r="I6" s="332">
        <v>-2</v>
      </c>
      <c r="J6" s="332">
        <v>-1</v>
      </c>
      <c r="K6" s="332">
        <v>-1</v>
      </c>
      <c r="L6" s="332">
        <v>0</v>
      </c>
      <c r="M6" s="332">
        <v>1</v>
      </c>
      <c r="N6" s="332">
        <v>2</v>
      </c>
    </row>
    <row r="7" spans="1:14" ht="15">
      <c r="A7" s="203">
        <v>1</v>
      </c>
      <c r="B7" s="333" t="s">
        <v>340</v>
      </c>
      <c r="C7" s="334"/>
      <c r="D7" s="335"/>
      <c r="E7" s="336" t="s">
        <v>341</v>
      </c>
      <c r="F7" s="337"/>
      <c r="G7" s="338" t="e">
        <f>G11+#REF!</f>
        <v>#REF!</v>
      </c>
      <c r="H7" s="1150">
        <f>H8+H9+H10</f>
        <v>30263.670000000002</v>
      </c>
      <c r="I7" s="202">
        <f>SUM(I8:I10)</f>
        <v>80934</v>
      </c>
      <c r="J7" s="202">
        <f>J8+J9+J10</f>
        <v>37576</v>
      </c>
      <c r="K7" s="202">
        <f>SUM(K8:K10)</f>
        <v>80491</v>
      </c>
      <c r="L7" s="339">
        <f>SUM(L8:L10)</f>
        <v>38660</v>
      </c>
      <c r="M7" s="202">
        <f>SUM(M8:M10)</f>
        <v>395810</v>
      </c>
      <c r="N7" s="202">
        <f>SUM(N8:N10)</f>
        <v>35810</v>
      </c>
    </row>
    <row r="8" spans="1:14" ht="12.75">
      <c r="A8" s="203">
        <f aca="true" t="shared" si="0" ref="A8:A14">A7+1</f>
        <v>2</v>
      </c>
      <c r="B8" s="340" t="s">
        <v>185</v>
      </c>
      <c r="C8" s="897" t="s">
        <v>186</v>
      </c>
      <c r="D8" s="898"/>
      <c r="E8" s="899"/>
      <c r="F8" s="900"/>
      <c r="G8" s="901" t="e">
        <f>G12+#REF!</f>
        <v>#REF!</v>
      </c>
      <c r="H8" s="1043">
        <f>H12</f>
        <v>25263.670000000002</v>
      </c>
      <c r="I8" s="902">
        <f>SUM(I12)</f>
        <v>44434</v>
      </c>
      <c r="J8" s="902">
        <f>J12</f>
        <v>37576</v>
      </c>
      <c r="K8" s="902">
        <f>SUM(K12)</f>
        <v>42043</v>
      </c>
      <c r="L8" s="1042">
        <f>SUM(L12)</f>
        <v>38660</v>
      </c>
      <c r="M8" s="902">
        <f>SUM(M12)</f>
        <v>35810</v>
      </c>
      <c r="N8" s="902">
        <f>SUM(N12)</f>
        <v>35810</v>
      </c>
    </row>
    <row r="9" spans="1:14" ht="12.75">
      <c r="A9" s="203">
        <f t="shared" si="0"/>
        <v>3</v>
      </c>
      <c r="B9" s="340" t="s">
        <v>187</v>
      </c>
      <c r="C9" s="1034" t="s">
        <v>188</v>
      </c>
      <c r="D9" s="1035"/>
      <c r="E9" s="1036"/>
      <c r="F9" s="1037"/>
      <c r="G9" s="1038" t="e">
        <f>#REF!</f>
        <v>#REF!</v>
      </c>
      <c r="H9" s="1078">
        <f aca="true" t="shared" si="1" ref="H9:N9">H20</f>
        <v>5000</v>
      </c>
      <c r="I9" s="1040">
        <f t="shared" si="1"/>
        <v>36500</v>
      </c>
      <c r="J9" s="1040">
        <f t="shared" si="1"/>
        <v>0</v>
      </c>
      <c r="K9" s="1040">
        <f t="shared" si="1"/>
        <v>38448</v>
      </c>
      <c r="L9" s="1040">
        <f t="shared" si="1"/>
        <v>0</v>
      </c>
      <c r="M9" s="1040">
        <f t="shared" si="1"/>
        <v>360000</v>
      </c>
      <c r="N9" s="1040">
        <f t="shared" si="1"/>
        <v>0</v>
      </c>
    </row>
    <row r="10" spans="1:14" ht="12.75">
      <c r="A10" s="203">
        <f t="shared" si="0"/>
        <v>4</v>
      </c>
      <c r="B10" s="340"/>
      <c r="C10" s="1080" t="s">
        <v>189</v>
      </c>
      <c r="D10" s="1081"/>
      <c r="E10" s="1082"/>
      <c r="F10" s="1083"/>
      <c r="G10" s="1101">
        <v>0</v>
      </c>
      <c r="H10" s="1151">
        <v>0</v>
      </c>
      <c r="I10" s="1089">
        <v>0</v>
      </c>
      <c r="J10" s="1089">
        <v>0</v>
      </c>
      <c r="K10" s="1089">
        <v>0</v>
      </c>
      <c r="L10" s="1090">
        <v>0</v>
      </c>
      <c r="M10" s="1089">
        <v>0</v>
      </c>
      <c r="N10" s="1089">
        <v>0</v>
      </c>
    </row>
    <row r="11" spans="1:14" ht="12.75">
      <c r="A11" s="203">
        <f t="shared" si="0"/>
        <v>5</v>
      </c>
      <c r="B11" s="458">
        <v>1</v>
      </c>
      <c r="C11" s="459" t="s">
        <v>342</v>
      </c>
      <c r="D11" s="460"/>
      <c r="E11" s="460"/>
      <c r="F11" s="461"/>
      <c r="G11" s="462" t="e">
        <f>SUM(G13)+#REF!</f>
        <v>#REF!</v>
      </c>
      <c r="H11" s="1152">
        <f>H12+H20</f>
        <v>30263.670000000002</v>
      </c>
      <c r="I11" s="213">
        <f aca="true" t="shared" si="2" ref="I11:N12">I12</f>
        <v>44434</v>
      </c>
      <c r="J11" s="213">
        <f>J12+J20</f>
        <v>37576</v>
      </c>
      <c r="K11" s="213">
        <f t="shared" si="2"/>
        <v>42043</v>
      </c>
      <c r="L11" s="213">
        <f t="shared" si="2"/>
        <v>38660</v>
      </c>
      <c r="M11" s="213">
        <f t="shared" si="2"/>
        <v>35810</v>
      </c>
      <c r="N11" s="213">
        <f t="shared" si="2"/>
        <v>35810</v>
      </c>
    </row>
    <row r="12" spans="1:14" s="262" customFormat="1" ht="12.75">
      <c r="A12" s="203">
        <f t="shared" si="0"/>
        <v>6</v>
      </c>
      <c r="B12" s="344"/>
      <c r="C12" s="224"/>
      <c r="D12" s="206" t="s">
        <v>186</v>
      </c>
      <c r="E12" s="225"/>
      <c r="F12" s="226"/>
      <c r="G12" s="227" t="e">
        <f>G13</f>
        <v>#REF!</v>
      </c>
      <c r="H12" s="511">
        <f>H13</f>
        <v>25263.670000000002</v>
      </c>
      <c r="I12" s="228">
        <f t="shared" si="2"/>
        <v>44434</v>
      </c>
      <c r="J12" s="228">
        <f>J13</f>
        <v>37576</v>
      </c>
      <c r="K12" s="228">
        <f t="shared" si="2"/>
        <v>42043</v>
      </c>
      <c r="L12" s="228">
        <f t="shared" si="2"/>
        <v>38660</v>
      </c>
      <c r="M12" s="228">
        <f t="shared" si="2"/>
        <v>35810</v>
      </c>
      <c r="N12" s="228">
        <f t="shared" si="2"/>
        <v>35810</v>
      </c>
    </row>
    <row r="13" spans="1:14" ht="12.75">
      <c r="A13" s="203">
        <f t="shared" si="0"/>
        <v>7</v>
      </c>
      <c r="B13" s="346"/>
      <c r="C13" s="347" t="s">
        <v>343</v>
      </c>
      <c r="D13" s="264" t="s">
        <v>344</v>
      </c>
      <c r="E13" s="348"/>
      <c r="F13" s="349"/>
      <c r="G13" s="266" t="e">
        <f>SUM(#REF!)</f>
        <v>#REF!</v>
      </c>
      <c r="H13" s="350">
        <f>SUM(H14:H19)</f>
        <v>25263.670000000002</v>
      </c>
      <c r="I13" s="235">
        <f>SUM(I14,I15,I16,I17,I18,I19)</f>
        <v>44434</v>
      </c>
      <c r="J13" s="235">
        <f>SUM(J14:J19)</f>
        <v>37576</v>
      </c>
      <c r="K13" s="235">
        <f>SUM(K14,K15,K16,K17,K18,K19)</f>
        <v>42043</v>
      </c>
      <c r="L13" s="235">
        <f>SUM(L14,L15,L16,L17,L18,L19)</f>
        <v>38660</v>
      </c>
      <c r="M13" s="235">
        <f>SUM(M14,M15,M16,M17,M18,M19)</f>
        <v>35810</v>
      </c>
      <c r="N13" s="235">
        <f>SUM(N14,N15,N16,N17,N18,N19)</f>
        <v>35810</v>
      </c>
    </row>
    <row r="14" spans="1:14" ht="12.75">
      <c r="A14" s="203">
        <f t="shared" si="0"/>
        <v>8</v>
      </c>
      <c r="B14" s="346"/>
      <c r="C14" s="285" t="s">
        <v>195</v>
      </c>
      <c r="D14" s="286" t="s">
        <v>221</v>
      </c>
      <c r="E14" s="244" t="s">
        <v>196</v>
      </c>
      <c r="F14" s="274"/>
      <c r="G14" s="275"/>
      <c r="H14" s="1153">
        <f>výdavky!D289</f>
        <v>6808.82</v>
      </c>
      <c r="I14" s="247">
        <f>výdavky!E289</f>
        <v>10068</v>
      </c>
      <c r="J14" s="247">
        <f>výdavky!F289</f>
        <v>9900</v>
      </c>
      <c r="K14" s="247">
        <f>výdavky!G289</f>
        <v>11890</v>
      </c>
      <c r="L14" s="247">
        <f>výdavky!H289</f>
        <v>13500</v>
      </c>
      <c r="M14" s="247">
        <f>výdavky!I289</f>
        <v>14400</v>
      </c>
      <c r="N14" s="247">
        <f>výdavky!J289</f>
        <v>14400</v>
      </c>
    </row>
    <row r="15" spans="1:14" ht="12.75">
      <c r="A15" s="203"/>
      <c r="B15" s="346"/>
      <c r="C15" s="285" t="s">
        <v>197</v>
      </c>
      <c r="D15" s="286" t="s">
        <v>223</v>
      </c>
      <c r="E15" s="244" t="s">
        <v>198</v>
      </c>
      <c r="F15" s="274"/>
      <c r="G15" s="275"/>
      <c r="H15" s="1153">
        <f>výdavky!D291</f>
        <v>2333.41</v>
      </c>
      <c r="I15" s="247">
        <f>výdavky!E291</f>
        <v>3216</v>
      </c>
      <c r="J15" s="247">
        <f>výdavky!F291</f>
        <v>3300</v>
      </c>
      <c r="K15" s="247">
        <f>výdavky!G291</f>
        <v>4060</v>
      </c>
      <c r="L15" s="247">
        <f>výdavky!H291</f>
        <v>4860</v>
      </c>
      <c r="M15" s="247">
        <f>výdavky!I291</f>
        <v>5110</v>
      </c>
      <c r="N15" s="247">
        <f>výdavky!J291</f>
        <v>5110</v>
      </c>
    </row>
    <row r="16" spans="1:14" ht="12.75">
      <c r="A16" s="203">
        <f>A14+1</f>
        <v>9</v>
      </c>
      <c r="B16" s="346"/>
      <c r="C16" s="285" t="s">
        <v>201</v>
      </c>
      <c r="D16" s="286" t="s">
        <v>234</v>
      </c>
      <c r="E16" s="244" t="s">
        <v>202</v>
      </c>
      <c r="F16" s="274"/>
      <c r="G16" s="275"/>
      <c r="H16" s="1153">
        <f>výdavky!D292</f>
        <v>11099.74</v>
      </c>
      <c r="I16" s="247">
        <f>výdavky!E292</f>
        <v>15600</v>
      </c>
      <c r="J16" s="247">
        <f>výdavky!F292</f>
        <v>15000</v>
      </c>
      <c r="K16" s="247">
        <f>výdavky!G292</f>
        <v>12143</v>
      </c>
      <c r="L16" s="247">
        <f>výdavky!H292</f>
        <v>14700</v>
      </c>
      <c r="M16" s="247">
        <f>výdavky!I292</f>
        <v>14700</v>
      </c>
      <c r="N16" s="247">
        <f>výdavky!J292</f>
        <v>14700</v>
      </c>
    </row>
    <row r="17" spans="1:14" ht="12.75">
      <c r="A17" s="203"/>
      <c r="B17" s="346"/>
      <c r="C17" s="285" t="s">
        <v>203</v>
      </c>
      <c r="D17" s="286" t="s">
        <v>236</v>
      </c>
      <c r="E17" s="244" t="s">
        <v>204</v>
      </c>
      <c r="F17" s="274"/>
      <c r="G17" s="275"/>
      <c r="H17" s="1153">
        <f>výdavky!D293</f>
        <v>1081.9</v>
      </c>
      <c r="I17" s="247">
        <f>výdavky!E293</f>
        <v>2000</v>
      </c>
      <c r="J17" s="247">
        <f>výdavky!F293</f>
        <v>100</v>
      </c>
      <c r="K17" s="247">
        <f>výdavky!G293</f>
        <v>800</v>
      </c>
      <c r="L17" s="247">
        <f>výdavky!H293</f>
        <v>100</v>
      </c>
      <c r="M17" s="247">
        <f>výdavky!I293</f>
        <v>100</v>
      </c>
      <c r="N17" s="247">
        <f>výdavky!J293</f>
        <v>100</v>
      </c>
    </row>
    <row r="18" spans="1:14" ht="12.75">
      <c r="A18" s="203">
        <f>A16+1</f>
        <v>10</v>
      </c>
      <c r="B18" s="346"/>
      <c r="C18" s="285" t="s">
        <v>207</v>
      </c>
      <c r="D18" s="286" t="s">
        <v>238</v>
      </c>
      <c r="E18" s="244" t="s">
        <v>285</v>
      </c>
      <c r="F18" s="274"/>
      <c r="G18" s="275"/>
      <c r="H18" s="1153">
        <f>výdavky!D294</f>
        <v>3002.8</v>
      </c>
      <c r="I18" s="247">
        <f>výdavky!E294</f>
        <v>1550</v>
      </c>
      <c r="J18" s="247">
        <f>výdavky!F294</f>
        <v>500</v>
      </c>
      <c r="K18" s="247">
        <f>výdavky!G294</f>
        <v>1100</v>
      </c>
      <c r="L18" s="247">
        <f>výdavky!H294</f>
        <v>500</v>
      </c>
      <c r="M18" s="247">
        <f>výdavky!I294</f>
        <v>500</v>
      </c>
      <c r="N18" s="247">
        <f>výdavky!J294</f>
        <v>500</v>
      </c>
    </row>
    <row r="19" spans="1:14" ht="12.75">
      <c r="A19" s="203">
        <f>A18+1</f>
        <v>11</v>
      </c>
      <c r="B19" s="346"/>
      <c r="C19" s="285" t="s">
        <v>211</v>
      </c>
      <c r="D19" s="286" t="s">
        <v>236</v>
      </c>
      <c r="E19" s="244" t="s">
        <v>212</v>
      </c>
      <c r="F19" s="274"/>
      <c r="G19" s="275"/>
      <c r="H19" s="1153">
        <f>výdavky!D295</f>
        <v>937</v>
      </c>
      <c r="I19" s="247">
        <f>výdavky!E295</f>
        <v>12000</v>
      </c>
      <c r="J19" s="247">
        <f>výdavky!F295</f>
        <v>8776</v>
      </c>
      <c r="K19" s="247">
        <f>výdavky!G295</f>
        <v>12050</v>
      </c>
      <c r="L19" s="247">
        <f>výdavky!H295</f>
        <v>5000</v>
      </c>
      <c r="M19" s="247">
        <f>výdavky!I295</f>
        <v>1000</v>
      </c>
      <c r="N19" s="247">
        <f>výdavky!J295</f>
        <v>1000</v>
      </c>
    </row>
    <row r="20" spans="1:14" ht="12.75">
      <c r="A20" s="203">
        <v>12</v>
      </c>
      <c r="B20" s="371"/>
      <c r="C20" s="237"/>
      <c r="D20" s="818" t="s">
        <v>188</v>
      </c>
      <c r="E20" s="822"/>
      <c r="F20" s="827"/>
      <c r="G20" s="828">
        <f>G22</f>
        <v>0</v>
      </c>
      <c r="H20" s="838">
        <f aca="true" t="shared" si="3" ref="H20:N20">H21</f>
        <v>5000</v>
      </c>
      <c r="I20" s="829">
        <f t="shared" si="3"/>
        <v>36500</v>
      </c>
      <c r="J20" s="829">
        <f t="shared" si="3"/>
        <v>0</v>
      </c>
      <c r="K20" s="829">
        <f t="shared" si="3"/>
        <v>38448</v>
      </c>
      <c r="L20" s="829">
        <f t="shared" si="3"/>
        <v>0</v>
      </c>
      <c r="M20" s="829">
        <f t="shared" si="3"/>
        <v>360000</v>
      </c>
      <c r="N20" s="829">
        <f t="shared" si="3"/>
        <v>0</v>
      </c>
    </row>
    <row r="21" spans="1:14" ht="12.75">
      <c r="A21" s="203">
        <f>A20+1</f>
        <v>13</v>
      </c>
      <c r="B21" s="371"/>
      <c r="C21" s="307" t="s">
        <v>345</v>
      </c>
      <c r="D21" s="231" t="s">
        <v>344</v>
      </c>
      <c r="E21" s="232"/>
      <c r="F21" s="233"/>
      <c r="G21" s="234">
        <f>SUM(G22:G23)</f>
        <v>0</v>
      </c>
      <c r="H21" s="1154">
        <f>H22+H23</f>
        <v>5000</v>
      </c>
      <c r="I21" s="235">
        <f>I22+SUM(I22,I23)</f>
        <v>36500</v>
      </c>
      <c r="J21" s="235">
        <f>J22+J23</f>
        <v>0</v>
      </c>
      <c r="K21" s="235">
        <f>K22+SUM(K22,K23)</f>
        <v>38448</v>
      </c>
      <c r="L21" s="235">
        <f>L22+SUM(L22,L23)</f>
        <v>0</v>
      </c>
      <c r="M21" s="235">
        <f>M22+SUM(M22,M23)</f>
        <v>360000</v>
      </c>
      <c r="N21" s="235">
        <f>N22+SUM(N22,N23)</f>
        <v>0</v>
      </c>
    </row>
    <row r="22" spans="1:14" ht="12.75">
      <c r="A22" s="203">
        <f>A21+1</f>
        <v>14</v>
      </c>
      <c r="B22" s="346"/>
      <c r="C22" s="285" t="s">
        <v>334</v>
      </c>
      <c r="D22" s="286" t="s">
        <v>238</v>
      </c>
      <c r="E22" s="375" t="s">
        <v>335</v>
      </c>
      <c r="F22" s="254"/>
      <c r="G22" s="255"/>
      <c r="H22" s="516">
        <f>výdavky!D667</f>
        <v>5000</v>
      </c>
      <c r="I22" s="247">
        <f>výdavky!E667</f>
        <v>18250</v>
      </c>
      <c r="J22" s="247">
        <v>0</v>
      </c>
      <c r="K22" s="247">
        <f>výdavky!G667</f>
        <v>19224</v>
      </c>
      <c r="L22" s="247">
        <v>0</v>
      </c>
      <c r="M22" s="247">
        <v>0</v>
      </c>
      <c r="N22" s="247">
        <v>0</v>
      </c>
    </row>
    <row r="23" spans="1:14" ht="12.75">
      <c r="A23" s="316">
        <f>A22+1</f>
        <v>15</v>
      </c>
      <c r="B23" s="352"/>
      <c r="C23" s="353" t="s">
        <v>336</v>
      </c>
      <c r="D23" s="463" t="s">
        <v>242</v>
      </c>
      <c r="E23" s="464" t="s">
        <v>346</v>
      </c>
      <c r="F23" s="465"/>
      <c r="G23" s="466"/>
      <c r="H23" s="1155">
        <v>0</v>
      </c>
      <c r="I23" s="467">
        <v>0</v>
      </c>
      <c r="J23" s="467">
        <v>0</v>
      </c>
      <c r="K23" s="467">
        <v>0</v>
      </c>
      <c r="L23" s="467">
        <v>0</v>
      </c>
      <c r="M23" s="467">
        <f>výdavky!I670</f>
        <v>360000</v>
      </c>
      <c r="N23" s="467">
        <v>0</v>
      </c>
    </row>
  </sheetData>
  <sheetProtection/>
  <mergeCells count="2">
    <mergeCell ref="G3:N3"/>
    <mergeCell ref="D4:F6"/>
  </mergeCells>
  <printOptions/>
  <pageMargins left="0.25" right="0.25" top="0.75" bottom="0.75" header="0.3" footer="0.3"/>
  <pageSetup fitToHeight="0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KOTORA Marián</dc:creator>
  <cp:keywords/>
  <dc:description/>
  <cp:lastModifiedBy>KOTORA Marián</cp:lastModifiedBy>
  <cp:lastPrinted>2019-12-11T10:09:15Z</cp:lastPrinted>
  <dcterms:created xsi:type="dcterms:W3CDTF">2017-01-04T11:01:38Z</dcterms:created>
  <dcterms:modified xsi:type="dcterms:W3CDTF">2019-12-12T11:18:55Z</dcterms:modified>
  <cp:category/>
  <cp:version/>
  <cp:contentType/>
  <cp:contentStatus/>
</cp:coreProperties>
</file>