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firstSheet="7" activeTab="14"/>
  </bookViews>
  <sheets>
    <sheet name="príjmová časť" sheetId="1" r:id="rId1"/>
    <sheet name="príjmy" sheetId="2" r:id="rId2"/>
    <sheet name="Program 1" sheetId="3" r:id="rId3"/>
    <sheet name="Program 2" sheetId="4" r:id="rId4"/>
    <sheet name="Program 3" sheetId="5" r:id="rId5"/>
    <sheet name="Program 4" sheetId="6" r:id="rId6"/>
    <sheet name="Program 5" sheetId="7" r:id="rId7"/>
    <sheet name="Program 6" sheetId="8" r:id="rId8"/>
    <sheet name="Program 7" sheetId="9" r:id="rId9"/>
    <sheet name="Program 8" sheetId="10" r:id="rId10"/>
    <sheet name="Program 9" sheetId="11" r:id="rId11"/>
    <sheet name="Program 10" sheetId="12" r:id="rId12"/>
    <sheet name="Bilancia" sheetId="13" r:id="rId13"/>
    <sheet name="Bilancia 2012_2013" sheetId="14" r:id="rId14"/>
    <sheet name="výdavky" sheetId="15" r:id="rId15"/>
  </sheets>
  <definedNames>
    <definedName name="Excel_BuiltIn_Print_Area_1">'výdavky'!$A$1:$AT$448</definedName>
  </definedNames>
  <calcPr fullCalcOnLoad="1"/>
</workbook>
</file>

<file path=xl/sharedStrings.xml><?xml version="1.0" encoding="utf-8"?>
<sst xmlns="http://schemas.openxmlformats.org/spreadsheetml/2006/main" count="1786" uniqueCount="732">
  <si>
    <t>P  R  Í  J  M  O V  Á     Č  A S  Ť</t>
  </si>
  <si>
    <t>Bežné príjmy</t>
  </si>
  <si>
    <t>1. Daňové príjmy</t>
  </si>
  <si>
    <t>1.1</t>
  </si>
  <si>
    <t>Výnos dane z príjmov poukázaný územnej samospráve</t>
  </si>
  <si>
    <t>v zmysle zákona č. 564/2004 Z.z. o rozpočtovom určení výnosu dane z príjmov územnej samospráve a o zmene a doplnení niektorých zákonov v znení neskorších predpisov</t>
  </si>
  <si>
    <t>1.2</t>
  </si>
  <si>
    <t>Daň z nehnuteľností</t>
  </si>
  <si>
    <t>Daň z nehnuteľnosti upravuje zákon č.582/2004 o miestnych daniach a poplatku za komunálne odpady a drobné stavebné odpady v znení neskorších predpisov. Daň z nehnuteľností sa člení na daň z pozemkov, daň zo stavieb a daň z bytov a nebytových priestorov. Pre vyrubenie dane je rozhodujúci stav k 1.januáru zdaňovacieho obdobia. Na zmeny skutočností rozhodujúcich pre daňovú povinnosť, ktoré nastanú v priebehu zdaňovacieho obdobia sa neprihliada, ak zákon neustanovuje inak.</t>
  </si>
  <si>
    <t>1.3</t>
  </si>
  <si>
    <t>Daň za užívanie verejného priestranstva</t>
  </si>
  <si>
    <t>Predmetom dane za užívanie verejného priestranstva je v zmysle zákona č.582/2004 Z.z. o miestnych daniach a poplatku za komunálne odpady a drobné stavebné odpady v znení neskorších predpisov osobitné užívanie verejného priestranstva (umiestnenie zariadenia na poskytovanie služieb, stavebného zariadenia, predajného zariadenia,  skládky, trvalé parkovanie vozidla).</t>
  </si>
  <si>
    <t>1.4</t>
  </si>
  <si>
    <t>Daň za psa</t>
  </si>
  <si>
    <t>Predmetom dane za psa v súlade so zákonom č. 582/2004 Z.z. o miestnych daniach a poplatku za komunálne odpady a drobné stavebné odpady je pes starší ako 6 mesiacov chovaný fyzickou osobou alebo právnickou osobou.</t>
  </si>
  <si>
    <t>1.5</t>
  </si>
  <si>
    <t>Daň za predajné automaty</t>
  </si>
  <si>
    <t xml:space="preserve">Daň za predajné automaty upravuje zákon č. 582/2004 Z.z. o miestnych daniach a poplatku za komunálne odpady a drobné stavebné odpady. </t>
  </si>
  <si>
    <t>1.6</t>
  </si>
  <si>
    <t>Daň za umiestnenie jadrového zariadenia</t>
  </si>
  <si>
    <r>
      <t>Predmetom dane za jadrové zariadenie v súlade so zákonom č. 582/2004 Z.z. o miestnych daniach a poplatku za komunálne odpady a drobné stavebné odpady je jadrové zariadenie v ktorom prebieha štiepna reakcia a vyrába sa elektrická energia (ďalej len „jadrové zariadenie“), a to aj časť kalendárneho roka. Daňovníkom dane je prevádzkovateľ jadrového zariadenia. Základom dane je výmera katastrálneho územia obce v m</t>
    </r>
    <r>
      <rPr>
        <vertAlign val="superscript"/>
        <sz val="10"/>
        <rFont val="Tahoma"/>
        <family val="2"/>
      </rPr>
      <t>2</t>
    </r>
    <r>
      <rPr>
        <sz val="10"/>
        <rFont val="Tahoma"/>
        <family val="2"/>
      </rPr>
      <t>, ktoré sa nachádza v oblasti ohrozenia jadrovým zariadením.</t>
    </r>
  </si>
  <si>
    <t>1.7</t>
  </si>
  <si>
    <t>Poplatok za komunálne odpady a drobné stavebné odpady</t>
  </si>
  <si>
    <t xml:space="preserve">Miestny poplatok za komunálne odpady a drobné stavebné odpady sa v zmysle zákona č.582/2004 Z.z. o miestnych daniach a poplatku za komunálne a drobné stavebné odpady v znení neskorších predpisov sa platí za komunálne odpady a drobné stavebné odpady, ktoré vznikajú na území obce. </t>
  </si>
  <si>
    <t>2. Nedaňové príjmy</t>
  </si>
  <si>
    <t>2.1</t>
  </si>
  <si>
    <t>Príjmy z prenajatých pozemkov</t>
  </si>
  <si>
    <t>príjem vyplýva z uzatvorených platných nájomných zmlúv.</t>
  </si>
  <si>
    <t>2.2</t>
  </si>
  <si>
    <t>Príjmy z prenajatých budov</t>
  </si>
  <si>
    <t xml:space="preserve">príjem z uzatvorených platných nájomných zmlúv na prenájom budov </t>
  </si>
  <si>
    <t>2.3</t>
  </si>
  <si>
    <t>Príjmy z prenajatých strojov a zariadení</t>
  </si>
  <si>
    <t>Príjem poplatku za čistenie odpadu na ČOV</t>
  </si>
  <si>
    <t>2.4</t>
  </si>
  <si>
    <t>Ostatné administratívne poplatky</t>
  </si>
  <si>
    <t>administratívne poplatky – správne poplatky vyberané podľa zákona č. 145/1995 Z.z. o správnych poplatkoch v znení neskorších predpisov – vyhotovenie a osvedčenie matričných dokladov, vyhotovenie odpisu, výpisu z úradných kníh, správny poplatok z reklamy, za vydanie rybárskych  lístkov, žiadosť o povolenie stavby a o dodatočné povolenie stavby a pod.</t>
  </si>
  <si>
    <t>2.5</t>
  </si>
  <si>
    <t>Pokuty a penále za porušenie predpisov</t>
  </si>
  <si>
    <t>pokuty za priestupky, zmluvné pokuty, za porušenie predpisov stavebného zákona, v oblasti odpadového hospodárstva, za porušenie cestného zákona a pod.</t>
  </si>
  <si>
    <t>2.6</t>
  </si>
  <si>
    <t>Príjmy za služby hospodárskej činnosti obce</t>
  </si>
  <si>
    <t>2.7</t>
  </si>
  <si>
    <t>Predaj výrobkov, tovarov a služieb</t>
  </si>
  <si>
    <t>Prenájom kultúrneho domu, multifunkčného ihriska</t>
  </si>
  <si>
    <t>2.8</t>
  </si>
  <si>
    <t>Úroky z vkladov</t>
  </si>
  <si>
    <t>2.9</t>
  </si>
  <si>
    <t>Školské zariadenia</t>
  </si>
  <si>
    <t>poplatky za materské školy, školské kluby detí, za stravné v zariadení školského stravovania</t>
  </si>
  <si>
    <t>2.10</t>
  </si>
  <si>
    <t>Stravné</t>
  </si>
  <si>
    <t>príspevky zamestnancov za stravovanie</t>
  </si>
  <si>
    <t>2.11</t>
  </si>
  <si>
    <t>Ostatné</t>
  </si>
  <si>
    <t>predmetné príjmy zahŕňajú predovšetkým príjmy z dobropisov, vratiek zo zúčtovania za rok 2012, dividendy, výťažky z lotérií</t>
  </si>
  <si>
    <t>3. Granty a transfery</t>
  </si>
  <si>
    <t>Predpokladané príjmy z tuzemských grantov a dotácií budú realizované v roku 2013 v nasledujúcej štruktúre</t>
  </si>
  <si>
    <t>3.1</t>
  </si>
  <si>
    <t>Dotácia na základné vzdelanie s bežnou starostlivosťou</t>
  </si>
  <si>
    <t>3.2</t>
  </si>
  <si>
    <t>Dotácia na predškolskú výchovu</t>
  </si>
  <si>
    <t>3.3</t>
  </si>
  <si>
    <t>Dotácia na matričnú činnosť</t>
  </si>
  <si>
    <t>3.4</t>
  </si>
  <si>
    <t>Dotácia na podporu zamestnanosti (aktivačná činnosť)</t>
  </si>
  <si>
    <t>3.5</t>
  </si>
  <si>
    <t>Dotácia na deti zo sociálne znevýhodneného prostredia</t>
  </si>
  <si>
    <t>3.6</t>
  </si>
  <si>
    <t>Dotácia na dopravné</t>
  </si>
  <si>
    <t>3.7</t>
  </si>
  <si>
    <t>Dotácia na vzdelávacie poukazy</t>
  </si>
  <si>
    <t>3.8</t>
  </si>
  <si>
    <t>Dotácia na školské potreby</t>
  </si>
  <si>
    <t>3.9</t>
  </si>
  <si>
    <t>Transfer na osobitného príjemcu</t>
  </si>
  <si>
    <t>3.10</t>
  </si>
  <si>
    <t>Transfer na deti v hmotnej núdzi (stravovanie)</t>
  </si>
  <si>
    <t>3.11</t>
  </si>
  <si>
    <t>Dotácia z NSK</t>
  </si>
  <si>
    <t>3.12</t>
  </si>
  <si>
    <t>Dotácia na projekt ZŠ (MPC)</t>
  </si>
  <si>
    <t>3.13</t>
  </si>
  <si>
    <t>Dotácia na vzdelávanie detí z MRK</t>
  </si>
  <si>
    <t>v tom: zostatok z roku 2012</t>
  </si>
  <si>
    <t>Kapitálové príjmy</t>
  </si>
  <si>
    <t>1. Nedaňové príjmy</t>
  </si>
  <si>
    <t>Príjem z predaja budov</t>
  </si>
  <si>
    <t>2. Granty a transfery</t>
  </si>
  <si>
    <t>Zateplenie MŠ</t>
  </si>
  <si>
    <t>Odvodnenie Dukelskej ulice</t>
  </si>
  <si>
    <t>Leader</t>
  </si>
  <si>
    <t>Rozšírenie kamerového systému</t>
  </si>
  <si>
    <t>Rekonštrukcia základnej školy</t>
  </si>
  <si>
    <t>Výstavba zberného dvora</t>
  </si>
  <si>
    <t>Rekonštrukcia komunitného centra</t>
  </si>
  <si>
    <t>Príjmové finančné operácie</t>
  </si>
  <si>
    <t>Bankové úvery dlhodobé</t>
  </si>
  <si>
    <t>Rekapitulácia</t>
  </si>
  <si>
    <t>Vlastné príjmy RO s PS</t>
  </si>
  <si>
    <t>Celkové príjmy</t>
  </si>
  <si>
    <t>Príjmy rozpočtu obce Tekovské Lužany</t>
  </si>
  <si>
    <t>daňové príjmy</t>
  </si>
  <si>
    <t>Daňové príjmy - dane z príjmov, dane z majetku</t>
  </si>
  <si>
    <t>003.</t>
  </si>
  <si>
    <t>Výnos dane z príjmov poukázaný samospráve</t>
  </si>
  <si>
    <t>001.</t>
  </si>
  <si>
    <t>Daň z pozemkov</t>
  </si>
  <si>
    <t>v tom: Daň z pozemkov-minulé roky</t>
  </si>
  <si>
    <t>002.</t>
  </si>
  <si>
    <t>Daň zo stavieb</t>
  </si>
  <si>
    <t>v tom: Daň zo stavieb-minulé roky</t>
  </si>
  <si>
    <t>Daň z bytov</t>
  </si>
  <si>
    <t>Daňové príjmy - dane za špecifické služby</t>
  </si>
  <si>
    <t>v tom: Daň za psa-minulé roky</t>
  </si>
  <si>
    <t>012.</t>
  </si>
  <si>
    <t>013.</t>
  </si>
  <si>
    <t xml:space="preserve">Daň za komunálny odpad </t>
  </si>
  <si>
    <t>v tom: Daň za komunálny odpad-minulé roky</t>
  </si>
  <si>
    <t>014.</t>
  </si>
  <si>
    <t>Daň za umiestnenie jadrového zar.</t>
  </si>
  <si>
    <t>Daňové príjmy celkom</t>
  </si>
  <si>
    <t>nedaňové príjmy</t>
  </si>
  <si>
    <t>Nedaňové príjmy - z podnikania a z vlastníctva majetku</t>
  </si>
  <si>
    <t>Dividendy</t>
  </si>
  <si>
    <t>004.</t>
  </si>
  <si>
    <t>Príjmy z pren. Strojov a zar. (ČOV)</t>
  </si>
  <si>
    <t>Príjmy z prenajatých strojov a zar.</t>
  </si>
  <si>
    <t>Nedaňové príjmy - administratívne poplatky a iné platby</t>
  </si>
  <si>
    <t>Správne poplatky</t>
  </si>
  <si>
    <t>Za porušenie predpisov</t>
  </si>
  <si>
    <t>Predaj výrobkov, tovarov a služieb-multif.ihr.</t>
  </si>
  <si>
    <t>Náhrada škody T a M</t>
  </si>
  <si>
    <t>Za MŠ, školský klub detí</t>
  </si>
  <si>
    <t>Za stravné /MŠ/</t>
  </si>
  <si>
    <t>Za stravné /OcÚ/</t>
  </si>
  <si>
    <t>Za stravné /ZŠ/</t>
  </si>
  <si>
    <t>005.</t>
  </si>
  <si>
    <t>Príspevky z recyklačného fondu</t>
  </si>
  <si>
    <t>Iné nedaňové príjmy</t>
  </si>
  <si>
    <t>Úroky z úverov a vkladov</t>
  </si>
  <si>
    <t>Úroky z vkladov ZŠ, MŠ</t>
  </si>
  <si>
    <t>006.</t>
  </si>
  <si>
    <t>Z náhrad z poistného plnenie</t>
  </si>
  <si>
    <t>008.</t>
  </si>
  <si>
    <t>Z výťažkov z lotérií</t>
  </si>
  <si>
    <t>019.</t>
  </si>
  <si>
    <t>z refundácie</t>
  </si>
  <si>
    <t>017.</t>
  </si>
  <si>
    <t>Z vratiek</t>
  </si>
  <si>
    <t>Nedaňové príjmy spolu</t>
  </si>
  <si>
    <t>granty a transfery</t>
  </si>
  <si>
    <t>Tuzemské bežné granty a transfery</t>
  </si>
  <si>
    <t>Dotácia na podporu športu - MOS</t>
  </si>
  <si>
    <t>Dotácia na školstvo</t>
  </si>
  <si>
    <t>Zo ŠR MF SR - voľby</t>
  </si>
  <si>
    <t>Dotácia na školstvo-MŠ</t>
  </si>
  <si>
    <t>Dotácia na matričnú činnosť,evid.obyv.</t>
  </si>
  <si>
    <t>Dotácia na podporu zamestnanosti</t>
  </si>
  <si>
    <t>Dotácia pre deti zo soc.znevýh.prostr.</t>
  </si>
  <si>
    <t xml:space="preserve">001. </t>
  </si>
  <si>
    <t>Dotácia na podporu kultúry (OS)</t>
  </si>
  <si>
    <t>Transfer na osobitného príjemcu-RP</t>
  </si>
  <si>
    <t>Dotácia na stravovanie detí v HN</t>
  </si>
  <si>
    <t>Dotácia na vzdelávanie MPC</t>
  </si>
  <si>
    <t>Dotácia na vzdelávanie MRK</t>
  </si>
  <si>
    <t>Tuzemské granty a transfery</t>
  </si>
  <si>
    <t>MV SR (vybavenie hasičskej zbrojnice)</t>
  </si>
  <si>
    <t>Granty ZŠ VJM</t>
  </si>
  <si>
    <t>Granty a transfery spolu</t>
  </si>
  <si>
    <t>Bežné príjmy spolu</t>
  </si>
  <si>
    <t>2. úprava rozpočtu</t>
  </si>
  <si>
    <t>plnenie III. Q</t>
  </si>
  <si>
    <t>Príjem z predaja kapitálových aktív</t>
  </si>
  <si>
    <t>Príjem z predaja pozemkov a nehm.aktív</t>
  </si>
  <si>
    <t>Envirofond (MŠ)</t>
  </si>
  <si>
    <t>Envirofond (odvodnenie)</t>
  </si>
  <si>
    <t>MVaRR SR (centrum obce)</t>
  </si>
  <si>
    <t>MVaRR SR (škola)</t>
  </si>
  <si>
    <t>MV SR (hasičská zbrojnica)</t>
  </si>
  <si>
    <t>Zo ŠR - kamerový systém</t>
  </si>
  <si>
    <t>MŽP (zberný dvor)</t>
  </si>
  <si>
    <t>ÚV SR (vzdelávanie MRK)</t>
  </si>
  <si>
    <t>ÚV SR (komunitné centrum)</t>
  </si>
  <si>
    <t>Kapitálové príjmy spolu</t>
  </si>
  <si>
    <t>príjmy z ostatných finančných operácií</t>
  </si>
  <si>
    <t>Zostatok prostriedkov z predch.rokov</t>
  </si>
  <si>
    <t>Prevod z rezervného fondu obce</t>
  </si>
  <si>
    <t>Prevod z ostatných fondov obce</t>
  </si>
  <si>
    <t>Príjmy z ostatných finančných operácií</t>
  </si>
  <si>
    <t>úvery, pôžičky a návratné finančné výpomoci</t>
  </si>
  <si>
    <t>Ostatné úvery a návratné finančné výpomoci</t>
  </si>
  <si>
    <t>Tuzemské úvery, pôžičky a návratné finančné výpomoci</t>
  </si>
  <si>
    <t>Vlastné príjmy RO s právnou subjektivitou</t>
  </si>
  <si>
    <t>Základná škola</t>
  </si>
  <si>
    <t>Základná škola s VJM</t>
  </si>
  <si>
    <t>Materská škola</t>
  </si>
  <si>
    <t>SUMARIZÁCIA</t>
  </si>
  <si>
    <t>Rozpočtové príjmy spolu</t>
  </si>
  <si>
    <t>PROGRAM 1</t>
  </si>
  <si>
    <t>PLÁNOVANIE, MANAŽMENT A KONTROLA</t>
  </si>
  <si>
    <t>Rok</t>
  </si>
  <si>
    <t>Pod-</t>
  </si>
  <si>
    <t>Funkčná,</t>
  </si>
  <si>
    <t>Názov</t>
  </si>
  <si>
    <t>prog-</t>
  </si>
  <si>
    <t>ekonomic.</t>
  </si>
  <si>
    <t xml:space="preserve"> rozpočet</t>
  </si>
  <si>
    <t>v €</t>
  </si>
  <si>
    <t>v  €</t>
  </si>
  <si>
    <t>ram</t>
  </si>
  <si>
    <t>klasifik.</t>
  </si>
  <si>
    <t xml:space="preserve">PROGRAM 1:     Manažment, služby občanom </t>
  </si>
  <si>
    <t>v</t>
  </si>
  <si>
    <t>BEŽNÉ VÝDAVKY SPOLU:</t>
  </si>
  <si>
    <t>tom:</t>
  </si>
  <si>
    <t>KAPITÁLOVÉ VÝDAVKY SPOLU:</t>
  </si>
  <si>
    <t>FINANČNÉ OPERÁCIE SPOLU:</t>
  </si>
  <si>
    <t>Verejná správa</t>
  </si>
  <si>
    <t>Aktivita č.1</t>
  </si>
  <si>
    <t>Činnosť obecného úradu</t>
  </si>
  <si>
    <t>01.1.1.6.</t>
  </si>
  <si>
    <t>Obce</t>
  </si>
  <si>
    <t>610</t>
  </si>
  <si>
    <t>Mzdy, platy a ostatné osobné vyrovnania</t>
  </si>
  <si>
    <t>620</t>
  </si>
  <si>
    <t>Poistné a príspevky do poisťovní</t>
  </si>
  <si>
    <t>631</t>
  </si>
  <si>
    <t>Cestovné náhrady</t>
  </si>
  <si>
    <t>632</t>
  </si>
  <si>
    <t>Energie a telekomunikácie</t>
  </si>
  <si>
    <t>633</t>
  </si>
  <si>
    <t>Materiál</t>
  </si>
  <si>
    <t>634</t>
  </si>
  <si>
    <t>Dopravné</t>
  </si>
  <si>
    <t>635</t>
  </si>
  <si>
    <t xml:space="preserve">Rutinná a štandardná údržba </t>
  </si>
  <si>
    <t>636</t>
  </si>
  <si>
    <t>Nájomné za prenájom</t>
  </si>
  <si>
    <t>637</t>
  </si>
  <si>
    <t>Služby</t>
  </si>
  <si>
    <t>711</t>
  </si>
  <si>
    <t>Nákup pozemkov</t>
  </si>
  <si>
    <t>Aktivita č.2</t>
  </si>
  <si>
    <t>Činnosť samosprávnych orgánov obce</t>
  </si>
  <si>
    <t>HK</t>
  </si>
  <si>
    <t>Odmeny - voľby</t>
  </si>
  <si>
    <t>Odmeny poslancom a členom komisií OcZ</t>
  </si>
  <si>
    <t>Členstvo v samosprávnych organizáciách a združeniach</t>
  </si>
  <si>
    <t>642</t>
  </si>
  <si>
    <t>1</t>
  </si>
  <si>
    <t>Členské príspevky do združení</t>
  </si>
  <si>
    <t>2</t>
  </si>
  <si>
    <t>Transfer na SOcÚ</t>
  </si>
  <si>
    <t>Manažment investícií</t>
  </si>
  <si>
    <t>01.1.1.6</t>
  </si>
  <si>
    <t>Transakcie verejného dlhu</t>
  </si>
  <si>
    <t>651</t>
  </si>
  <si>
    <t xml:space="preserve">Splácanie úrokov z úverov </t>
  </si>
  <si>
    <t>01.1.2</t>
  </si>
  <si>
    <t>Finančná a rozpočtová oblasť</t>
  </si>
  <si>
    <t>630</t>
  </si>
  <si>
    <t>Poplatky banke</t>
  </si>
  <si>
    <t>3</t>
  </si>
  <si>
    <t>Špeciálne služby / audit/</t>
  </si>
  <si>
    <t>4</t>
  </si>
  <si>
    <t>Za služby poskytnuté v rámci ROP - regen.sídel</t>
  </si>
  <si>
    <t>5</t>
  </si>
  <si>
    <t>Provízie za poskytnutie úveru</t>
  </si>
  <si>
    <t>FINANČNÉ OPERÁCIE VÝDAVKOVÉ SPOLU:</t>
  </si>
  <si>
    <t>824</t>
  </si>
  <si>
    <t>6</t>
  </si>
  <si>
    <t>Splatenie finančného prenájmu</t>
  </si>
  <si>
    <t>821</t>
  </si>
  <si>
    <t>7</t>
  </si>
  <si>
    <t>Splatenie istiny úveru</t>
  </si>
  <si>
    <t>Služby občanom</t>
  </si>
  <si>
    <t>01.3.3.</t>
  </si>
  <si>
    <t>Iné všeobecné služby</t>
  </si>
  <si>
    <t>Mzdy</t>
  </si>
  <si>
    <t>Poistné</t>
  </si>
  <si>
    <t>Energie, voda, komunikácie</t>
  </si>
  <si>
    <t xml:space="preserve">Materiál </t>
  </si>
  <si>
    <t>Údržba</t>
  </si>
  <si>
    <t>Voľby a referendá</t>
  </si>
  <si>
    <t>01.8.0</t>
  </si>
  <si>
    <t xml:space="preserve">Všeobecné verejné služby inde neklasifikované    </t>
  </si>
  <si>
    <t>Voľby do parlamentu</t>
  </si>
  <si>
    <t>Sčítanie obyvateľov</t>
  </si>
  <si>
    <t>PROGRAM 2:</t>
  </si>
  <si>
    <t>OCHRANA OBYVATEĽSTVA</t>
  </si>
  <si>
    <t>Civilná ochrana</t>
  </si>
  <si>
    <t>02.2.0</t>
  </si>
  <si>
    <t>Poštovné a telekomunikačné služby</t>
  </si>
  <si>
    <t>Odmeny a príspevky</t>
  </si>
  <si>
    <t>PROGRAM 3:</t>
  </si>
  <si>
    <t>BEZPEČNOSŤ, PRÁVO A PORIADOK</t>
  </si>
  <si>
    <t>Verejný poriadok a bezpečnosť</t>
  </si>
  <si>
    <t>03.1.0.</t>
  </si>
  <si>
    <t>Policajné služby</t>
  </si>
  <si>
    <t xml:space="preserve">Cestovné náhrady </t>
  </si>
  <si>
    <t>Materiálne zabezpečenie</t>
  </si>
  <si>
    <t xml:space="preserve">Dopravné </t>
  </si>
  <si>
    <t>Údržba výpočtovej techniky</t>
  </si>
  <si>
    <t>8</t>
  </si>
  <si>
    <t>Služby, školenia</t>
  </si>
  <si>
    <t>9</t>
  </si>
  <si>
    <t>Transfery (členské)</t>
  </si>
  <si>
    <t>Monitorovací kamerový systém</t>
  </si>
  <si>
    <t>713</t>
  </si>
  <si>
    <t>15</t>
  </si>
  <si>
    <t>Kamerový systém + rozšírenie starého kam.systému</t>
  </si>
  <si>
    <t>Ochrana pred požiarmi</t>
  </si>
  <si>
    <t>03.2.0.</t>
  </si>
  <si>
    <t>Požiarna ochrana</t>
  </si>
  <si>
    <t xml:space="preserve">Energie </t>
  </si>
  <si>
    <t>Rutinná a štandardná údržba</t>
  </si>
  <si>
    <t>Služby v súvislosti s požiarnou ochranou</t>
  </si>
  <si>
    <t>PROGRAM 4: KOMUNIKÁCIE, VÝSTAVBA A ROZVOJ OBCE</t>
  </si>
  <si>
    <t>PROSTREDIE PRE ŽIVOT</t>
  </si>
  <si>
    <t>PROGRAM 4:    Komunikácie, výstavba a rozvoj obce</t>
  </si>
  <si>
    <t>Menšie obecné služby</t>
  </si>
  <si>
    <t>04.1.2.0</t>
  </si>
  <si>
    <t>Všeobecno - pracovná oblasť</t>
  </si>
  <si>
    <t>Mzdy, platy, ostatné osobné vyrovnania</t>
  </si>
  <si>
    <t>Palivo, mazivo</t>
  </si>
  <si>
    <t>Správa a údržba miestnych komunikácií</t>
  </si>
  <si>
    <t>04.5.1.0</t>
  </si>
  <si>
    <t xml:space="preserve">Cestná doprava </t>
  </si>
  <si>
    <t>700</t>
  </si>
  <si>
    <t>Odvodnenie MK</t>
  </si>
  <si>
    <t xml:space="preserve">Asfaltovanie komunikácií  </t>
  </si>
  <si>
    <t>Rutinná a štandartná údržba</t>
  </si>
  <si>
    <t>Výstavba obce</t>
  </si>
  <si>
    <t>04.4.3.0</t>
  </si>
  <si>
    <t>Geometrické plány, štúdie a usporiadanie majetku</t>
  </si>
  <si>
    <t>Správa a údržba majetku</t>
  </si>
  <si>
    <t>04.1.1.0</t>
  </si>
  <si>
    <t>Všeobecná ekonomická a obchodná činnosť</t>
  </si>
  <si>
    <t>Štandardná úrdržba</t>
  </si>
  <si>
    <t>Odstupné</t>
  </si>
  <si>
    <t>04.1.1-0</t>
  </si>
  <si>
    <t>PROGRAM 5</t>
  </si>
  <si>
    <t>ODPADOVÉ HOSPODÁRSTVO</t>
  </si>
  <si>
    <t>Odvoz a zneškodňovanie odpadu</t>
  </si>
  <si>
    <t>05.1.0.</t>
  </si>
  <si>
    <t>Nakladanie s odpadmi</t>
  </si>
  <si>
    <t>Služby - odvoz a likvidácia odpadu</t>
  </si>
  <si>
    <t>05.1.0</t>
  </si>
  <si>
    <t>Zavedenie separácie biologicky rozložiteľných odpadov</t>
  </si>
  <si>
    <t>Kofinancovanie</t>
  </si>
  <si>
    <t>Nakladanie s odpadovými vodami</t>
  </si>
  <si>
    <t>05.2.0.</t>
  </si>
  <si>
    <t>Služby - servis</t>
  </si>
  <si>
    <t>Výstavba kanalizácie</t>
  </si>
  <si>
    <t>PROGRAM 6</t>
  </si>
  <si>
    <t>OBČIANSKA VYBAVENOSŤ</t>
  </si>
  <si>
    <t>Rozvoj obce</t>
  </si>
  <si>
    <t>06.2.0.</t>
  </si>
  <si>
    <t>Služby - ŠR</t>
  </si>
  <si>
    <t>716</t>
  </si>
  <si>
    <t>Projektová dokumentácia</t>
  </si>
  <si>
    <t>717</t>
  </si>
  <si>
    <t>Centrum obce</t>
  </si>
  <si>
    <t>Verejné osvetlenie</t>
  </si>
  <si>
    <t>06.4.0.</t>
  </si>
  <si>
    <t>Rekonštrukcia verejného osvetlenia</t>
  </si>
  <si>
    <t>PROGRAM 7</t>
  </si>
  <si>
    <t>ZDRAVOTNÁ STAROSTLIVOSŤ</t>
  </si>
  <si>
    <t>Zdravotné stredisko</t>
  </si>
  <si>
    <t>07.6.0</t>
  </si>
  <si>
    <t>Zdravotníctvo inde neklasifikované</t>
  </si>
  <si>
    <t>07.6.0.</t>
  </si>
  <si>
    <t>Rekonštrukcia zdravotného strediska</t>
  </si>
  <si>
    <t>PROGRAM 8</t>
  </si>
  <si>
    <t>ŠPORT A KULTÚRA</t>
  </si>
  <si>
    <t>Športový areál</t>
  </si>
  <si>
    <t>08.1.0.0.</t>
  </si>
  <si>
    <t>Rekreačné a športové služby</t>
  </si>
  <si>
    <t>Energie</t>
  </si>
  <si>
    <t xml:space="preserve">Materiál  </t>
  </si>
  <si>
    <t>Prepravné</t>
  </si>
  <si>
    <t>Transfery športovým klubom</t>
  </si>
  <si>
    <t>TJ Družstevník Tekovské Lužany</t>
  </si>
  <si>
    <t>STK Tekovské Lužany</t>
  </si>
  <si>
    <t>Jednotlivci a ostatné športové aktivity</t>
  </si>
  <si>
    <t xml:space="preserve">Podpora kultúrnych a iných spoločenských aktivít </t>
  </si>
  <si>
    <t>Kultúrne služby</t>
  </si>
  <si>
    <t>08.2.0.1</t>
  </si>
  <si>
    <t>Mzdy, platy a ostatné služobné vyrovnania</t>
  </si>
  <si>
    <t>Všeobecný materiál</t>
  </si>
  <si>
    <t>Reprezentačné</t>
  </si>
  <si>
    <t>10</t>
  </si>
  <si>
    <t>Knižničné služby</t>
  </si>
  <si>
    <t>08.2.0.5</t>
  </si>
  <si>
    <t>Knižnica</t>
  </si>
  <si>
    <t>11</t>
  </si>
  <si>
    <t>Tovary a služby</t>
  </si>
  <si>
    <t>Aktivita č.3</t>
  </si>
  <si>
    <t>Organizácia občianskych obradov</t>
  </si>
  <si>
    <t>08.2.0.9</t>
  </si>
  <si>
    <t>Ostatné kultúrne služby</t>
  </si>
  <si>
    <t>12</t>
  </si>
  <si>
    <t>Špeciálne služby (ZPOZ)</t>
  </si>
  <si>
    <t>Transfery kultúre</t>
  </si>
  <si>
    <t>640</t>
  </si>
  <si>
    <t>Mažoretky</t>
  </si>
  <si>
    <t>Obecné slávnosti</t>
  </si>
  <si>
    <t>Transfery občianskym združeniam</t>
  </si>
  <si>
    <t>08.4.0.</t>
  </si>
  <si>
    <t>Náboženské a iné spoločenské služby</t>
  </si>
  <si>
    <t>Transfer cirkvi, nábož.spoločnosti, cirkevnej charite</t>
  </si>
  <si>
    <t>Transfer ostaným občianskym združeniam</t>
  </si>
  <si>
    <t>Správa cintorínov</t>
  </si>
  <si>
    <t>PROGRAM 9</t>
  </si>
  <si>
    <t>VZDELÁVANIE</t>
  </si>
  <si>
    <t>09.1.1.1.</t>
  </si>
  <si>
    <t>Predškolská výchova s bežnou starostlivosťou</t>
  </si>
  <si>
    <t>610,620</t>
  </si>
  <si>
    <t>Mzdy a odvody</t>
  </si>
  <si>
    <t>630,640</t>
  </si>
  <si>
    <t>Potraviny</t>
  </si>
  <si>
    <t>školské potreby</t>
  </si>
  <si>
    <t>dotácia na deti v predškolskom veku</t>
  </si>
  <si>
    <t>Rekonštrukcia materskej školy</t>
  </si>
  <si>
    <t>09.1.2.1.</t>
  </si>
  <si>
    <t>Základné vzdelanie s bežnou starostlivosťou</t>
  </si>
  <si>
    <t>Tovary a služby - z účtu obce</t>
  </si>
  <si>
    <t>ŠKD</t>
  </si>
  <si>
    <t>vlastné zdroje ZŠ s VJM</t>
  </si>
  <si>
    <t>dotácia na dopravné</t>
  </si>
  <si>
    <t>dotácie pre deti zo sociálne znevýhodneného prostredia</t>
  </si>
  <si>
    <t>dotácia na školské potreby</t>
  </si>
  <si>
    <t>dotácia na vzdelávacie poukazy</t>
  </si>
  <si>
    <t>vzdelávanie MRK</t>
  </si>
  <si>
    <t>vzdelávanie MPC</t>
  </si>
  <si>
    <t>Zariadenie školského stravovania</t>
  </si>
  <si>
    <t>09.6.0.1.</t>
  </si>
  <si>
    <t>Školské stravovacie zariadenia</t>
  </si>
  <si>
    <t>Odvody</t>
  </si>
  <si>
    <t xml:space="preserve">Všeobecný materiál </t>
  </si>
  <si>
    <t>Prevádzkové stroje a prístroje</t>
  </si>
  <si>
    <t>PROGRAM 10</t>
  </si>
  <si>
    <t xml:space="preserve"> SOCIÁLNE SLUŽBY</t>
  </si>
  <si>
    <t>SOCIÁLNE SLUŽBY</t>
  </si>
  <si>
    <t>Seniori</t>
  </si>
  <si>
    <t>10.2.0.1</t>
  </si>
  <si>
    <t>Staroba</t>
  </si>
  <si>
    <t>Stravovanie dôchodcov</t>
  </si>
  <si>
    <t>Vianočné poukážky</t>
  </si>
  <si>
    <t>Opatrovateľská služba</t>
  </si>
  <si>
    <t>Sociálna pomoc občanom</t>
  </si>
  <si>
    <t>10.7.0.2</t>
  </si>
  <si>
    <t>Pomoc v hmotnej a sociálnej núdzi</t>
  </si>
  <si>
    <t>Jednorázová dávka v hmotnej núdzi</t>
  </si>
  <si>
    <t>Príspevok na pohreb</t>
  </si>
  <si>
    <t>Komunitné centrum</t>
  </si>
  <si>
    <t>10.4.0.2.</t>
  </si>
  <si>
    <t>Sociálne príspevky pre deti</t>
  </si>
  <si>
    <t>10.4.0.</t>
  </si>
  <si>
    <t>Rodina a deti</t>
  </si>
  <si>
    <t>Príspevok na stravovanie detí v hmotnej núdzi</t>
  </si>
  <si>
    <t>Príspevok na osobitného príjemcu</t>
  </si>
  <si>
    <t>príspevok pre deti v detských domovoch</t>
  </si>
  <si>
    <t>BILANCIA PROGRAMOVÉHO ROZPOČTU OBCE TEKOVSKÉ LUŽANY</t>
  </si>
  <si>
    <t>CELKOVÁ BILANCIA ROZPOČTU</t>
  </si>
  <si>
    <t xml:space="preserve">Rok </t>
  </si>
  <si>
    <t>Rozpočtové zdroje:</t>
  </si>
  <si>
    <t>Finančné operácie príjmové</t>
  </si>
  <si>
    <t>ROZPOČTOVÉ ZDROJE SPOLU</t>
  </si>
  <si>
    <t>Rozpočtové výdavky:</t>
  </si>
  <si>
    <t>Bežné výdavky</t>
  </si>
  <si>
    <t>Kapitálové výdavky</t>
  </si>
  <si>
    <t>Finančné operácie výdavkové</t>
  </si>
  <si>
    <t>ROZPOČTOVÉ VÝDAVKY SPOLU</t>
  </si>
  <si>
    <t>ROZDIEL</t>
  </si>
  <si>
    <t>DRUHOVÁ BILANCIA ROZPOČTU</t>
  </si>
  <si>
    <t>rozdiel</t>
  </si>
  <si>
    <t>Výdavkové finančné operácie</t>
  </si>
  <si>
    <t>Rozpočtové zdroje</t>
  </si>
  <si>
    <t>Rozpočtové výdavky</t>
  </si>
  <si>
    <t>BILANCIA PROGRAMOVÉHO ROZPOČTU ZA ROKY 2012 - 2013</t>
  </si>
  <si>
    <t>€</t>
  </si>
  <si>
    <t>%</t>
  </si>
  <si>
    <t>Program 1:</t>
  </si>
  <si>
    <t>Plánovanie, manažment a kontrola</t>
  </si>
  <si>
    <t>bežné výdavky</t>
  </si>
  <si>
    <t>kapitálové výdavky</t>
  </si>
  <si>
    <t>finančné operácie</t>
  </si>
  <si>
    <t>Program 2:</t>
  </si>
  <si>
    <t>Ochrana obyvateľstva</t>
  </si>
  <si>
    <t>Program 3:</t>
  </si>
  <si>
    <t>Bezpečnosť, právo a poriadok</t>
  </si>
  <si>
    <t>Program 4:</t>
  </si>
  <si>
    <t>Prostredie pre život</t>
  </si>
  <si>
    <t>Program 5:</t>
  </si>
  <si>
    <t>Odpadové hospodárstvo</t>
  </si>
  <si>
    <t>Program 6:</t>
  </si>
  <si>
    <t>Občianska vybavenosť</t>
  </si>
  <si>
    <t>Program 7:</t>
  </si>
  <si>
    <t>Zdravotná starostlivosť</t>
  </si>
  <si>
    <t>Program 8:</t>
  </si>
  <si>
    <t>Šport a kultúra</t>
  </si>
  <si>
    <t>Program 9:</t>
  </si>
  <si>
    <t>Vzdelávanie</t>
  </si>
  <si>
    <t>Program 10:</t>
  </si>
  <si>
    <t>Sociálne služby</t>
  </si>
  <si>
    <t>Sumarizácia</t>
  </si>
  <si>
    <t>výdavky celkom</t>
  </si>
  <si>
    <t>Výdavky rozpočtu obce Tekovské Lužany na roky 2013 - 2015</t>
  </si>
  <si>
    <t>01 všeobecné verejné služby</t>
  </si>
  <si>
    <t>01.1.1 Výdavky verejnej správy</t>
  </si>
  <si>
    <t>Mzdy, platy, sl.príjmy a ost.os.vyrovnania</t>
  </si>
  <si>
    <t>Mzdy - za sčítanie obyv.</t>
  </si>
  <si>
    <t>Na úrazové poistenie</t>
  </si>
  <si>
    <t>z toho  631</t>
  </si>
  <si>
    <t>Energia, voda, telekomunikácie</t>
  </si>
  <si>
    <t>v tom:energia, telekomunikácie-voľby</t>
  </si>
  <si>
    <t>Materiál:</t>
  </si>
  <si>
    <t>interiérové vybavenie</t>
  </si>
  <si>
    <t>výpočtová technika</t>
  </si>
  <si>
    <t>prevádzkové stroje a zariadenia</t>
  </si>
  <si>
    <t>všeobecný materiál - životné prostredie</t>
  </si>
  <si>
    <t>všeobecný materiál</t>
  </si>
  <si>
    <t>v tom: všeobecný materiál-zdroj ŠR</t>
  </si>
  <si>
    <t>009.</t>
  </si>
  <si>
    <t>knihy, časopisy</t>
  </si>
  <si>
    <t>010.</t>
  </si>
  <si>
    <t>pracovné odevy pomôcky</t>
  </si>
  <si>
    <t>011.</t>
  </si>
  <si>
    <t>potraviny</t>
  </si>
  <si>
    <t>softvér a licencie</t>
  </si>
  <si>
    <t>016.</t>
  </si>
  <si>
    <t>reprezentačné</t>
  </si>
  <si>
    <t>reprezentačné - voľby</t>
  </si>
  <si>
    <t>Doprava:</t>
  </si>
  <si>
    <t>palivo, mazivá, oleje</t>
  </si>
  <si>
    <t>v tom:palivá,mazivá, oleje - voľby</t>
  </si>
  <si>
    <t>údržba, opravy</t>
  </si>
  <si>
    <t>poistenie</t>
  </si>
  <si>
    <t>prepravné</t>
  </si>
  <si>
    <t>karty, známky, poplatky</t>
  </si>
  <si>
    <t>Rutinná a štandartná údržba:</t>
  </si>
  <si>
    <t>výpočtovej techniky</t>
  </si>
  <si>
    <t>prevádzkových strojov a zariadení</t>
  </si>
  <si>
    <t>budov, priestorov a objektov</t>
  </si>
  <si>
    <t>Nájomné za prenájom:</t>
  </si>
  <si>
    <t>dopravných prostriedkov</t>
  </si>
  <si>
    <t>Služby:</t>
  </si>
  <si>
    <t>školenia, kurzy, semináre</t>
  </si>
  <si>
    <t>031.</t>
  </si>
  <si>
    <t>pokuty a penále</t>
  </si>
  <si>
    <t>propagácia, reklama a inzercia</t>
  </si>
  <si>
    <t>všeobecné služby</t>
  </si>
  <si>
    <t>vš.služby-vian.dekor. - min.roky</t>
  </si>
  <si>
    <t>špeciálne služby</t>
  </si>
  <si>
    <t>štúdie, posudky</t>
  </si>
  <si>
    <t>poplatky, odvody a dane</t>
  </si>
  <si>
    <t>stravovanie</t>
  </si>
  <si>
    <t>stravovanie - voľby</t>
  </si>
  <si>
    <t>015.</t>
  </si>
  <si>
    <t>poistné</t>
  </si>
  <si>
    <t>prídel do sociálneho fondu</t>
  </si>
  <si>
    <t>018.</t>
  </si>
  <si>
    <t>vrátenie príjmov z mr</t>
  </si>
  <si>
    <t>023.</t>
  </si>
  <si>
    <t>kolkové známky</t>
  </si>
  <si>
    <t>027.</t>
  </si>
  <si>
    <t>Odmeny a príspevky-voľby</t>
  </si>
  <si>
    <t>Bežné transfery</t>
  </si>
  <si>
    <t>nezisk.org.-všeob.prosp.služby</t>
  </si>
  <si>
    <t>na členské príspevky</t>
  </si>
  <si>
    <t>splácanie úrokov banke - úver</t>
  </si>
  <si>
    <t>provízie</t>
  </si>
  <si>
    <t>01.1.2 Finančná a rozpočtová oblasť</t>
  </si>
  <si>
    <t>026.</t>
  </si>
  <si>
    <t>odmeny na základe dohôd-pre čl.zast.</t>
  </si>
  <si>
    <t>Služby - audit</t>
  </si>
  <si>
    <t>01.3.3 Iné všeobecné služby /matrika/</t>
  </si>
  <si>
    <t xml:space="preserve"> Mzdy - zdroj ŠR</t>
  </si>
  <si>
    <t xml:space="preserve"> Poistné a prísp. do poisťovní-zdroj ŠR</t>
  </si>
  <si>
    <t>v tom: Pracovné odevy+materiál</t>
  </si>
  <si>
    <t>Školenia, kurzy, semináre</t>
  </si>
  <si>
    <t>01</t>
  </si>
  <si>
    <t>Všeobecné verejné služby</t>
  </si>
  <si>
    <t>02 civilná ochrana</t>
  </si>
  <si>
    <t>02.2.0 Civilná obrana</t>
  </si>
  <si>
    <t>Poštové a telekomunikačné služby</t>
  </si>
  <si>
    <t>02</t>
  </si>
  <si>
    <t>03 policajné služby</t>
  </si>
  <si>
    <t>03.1.0 Policajné služby</t>
  </si>
  <si>
    <t>cestovné náhrady</t>
  </si>
  <si>
    <t>Výpočtová technika</t>
  </si>
  <si>
    <t>Knihy, časopisy, odborná literatúra</t>
  </si>
  <si>
    <t>Pracovné odevy, obuv, prac. Pomôcky</t>
  </si>
  <si>
    <t>Palivá, mazivá, oleje</t>
  </si>
  <si>
    <t>Údržba, opravy</t>
  </si>
  <si>
    <t>Poistenie</t>
  </si>
  <si>
    <t>Rutinná a štandartná údržba-výp.techn.</t>
  </si>
  <si>
    <t>Služby,školenia</t>
  </si>
  <si>
    <t>Transfery (členské, odchodné)</t>
  </si>
  <si>
    <t>Odmeny na základe dohôd</t>
  </si>
  <si>
    <t>03.2.0 Požiarna ochrana</t>
  </si>
  <si>
    <t>Interiérové vybavenie</t>
  </si>
  <si>
    <t>Prevádzkové stroje,prístroje, zariad.</t>
  </si>
  <si>
    <t>Špeciálne služby</t>
  </si>
  <si>
    <t>03</t>
  </si>
  <si>
    <t>Policajné služby, PO</t>
  </si>
  <si>
    <t>04 všeobecná ekonomická a obchodná oblasť</t>
  </si>
  <si>
    <t>04.1.1 Všeobecná ekonomická a obchodná oblasť</t>
  </si>
  <si>
    <t>Prevádzkové stroje, prístr.,zar.</t>
  </si>
  <si>
    <t>Pracovné odevy, obuv a prac. Pomôcky</t>
  </si>
  <si>
    <t>Služby,školenia,poistenie</t>
  </si>
  <si>
    <t>odstupné</t>
  </si>
  <si>
    <t>04.1.2 Všeobecno - pracovná oblasť /aktivačná činnosť/</t>
  </si>
  <si>
    <t>mzdy - zdroj ŠR</t>
  </si>
  <si>
    <t>Poistné a prísp. do poisťovní - zdroj ŠR</t>
  </si>
  <si>
    <t>Materiál - zdroj ŠR</t>
  </si>
  <si>
    <t>04.4.3 Výstavba</t>
  </si>
  <si>
    <t>04.5.1 Cestná doprava</t>
  </si>
  <si>
    <t>04.7.3 Cestovný ruch</t>
  </si>
  <si>
    <t>04</t>
  </si>
  <si>
    <t>Ekonomická oblasť</t>
  </si>
  <si>
    <t>05 ochrana životného prostredia</t>
  </si>
  <si>
    <t>05.1.0 Nakladanie s odpadmi</t>
  </si>
  <si>
    <t>Palivá, mazivá a oleje</t>
  </si>
  <si>
    <t>Prenájom</t>
  </si>
  <si>
    <t>v tom: Služby - min.roky</t>
  </si>
  <si>
    <t>05.2.0 Nakladanie s odpadovými vodami</t>
  </si>
  <si>
    <t>Dopravné, servis</t>
  </si>
  <si>
    <t>Servis a údržba</t>
  </si>
  <si>
    <t>05.6.0 Ochrana životného prostredia</t>
  </si>
  <si>
    <t>05</t>
  </si>
  <si>
    <t>Ochrana životného prostredia</t>
  </si>
  <si>
    <t>06 občianska vybavenosť</t>
  </si>
  <si>
    <t>06.2.0 Rozvoj obce</t>
  </si>
  <si>
    <t>Služby - zdroj ŠR</t>
  </si>
  <si>
    <t>06.4.0 Verejné osvetlenie</t>
  </si>
  <si>
    <t>06</t>
  </si>
  <si>
    <t>07 zdravotníctvo</t>
  </si>
  <si>
    <t>07.6.0 Zdravotníctvo inde neklasifikované</t>
  </si>
  <si>
    <t>Mzdy, platy,príjmy a ost. os. vyrovn.</t>
  </si>
  <si>
    <t>07</t>
  </si>
  <si>
    <t>Zdravotníctvo</t>
  </si>
  <si>
    <t>08 športové, kultúrne a spoločenské služby</t>
  </si>
  <si>
    <t>08.1.0 Rekreačné a športové služby</t>
  </si>
  <si>
    <t xml:space="preserve">Transfery  </t>
  </si>
  <si>
    <t>v tom: TJ Družstevník</t>
  </si>
  <si>
    <t>STK</t>
  </si>
  <si>
    <t>iné športové aktivity</t>
  </si>
  <si>
    <t>08.2.0 Kultúrne služby</t>
  </si>
  <si>
    <t xml:space="preserve"> Materiál</t>
  </si>
  <si>
    <t>mažoretky</t>
  </si>
  <si>
    <t>v tom: prepravné</t>
  </si>
  <si>
    <t>Nájomné prev. strojov</t>
  </si>
  <si>
    <t>Všeobecné služby-obecné slávnosti</t>
  </si>
  <si>
    <t>na odstupné</t>
  </si>
  <si>
    <t>08.2.0.5 Knižnice</t>
  </si>
  <si>
    <t>Materiál, knihy</t>
  </si>
  <si>
    <t>08.2.0.9 Ostatné kultúrne služby</t>
  </si>
  <si>
    <t>Špeciálne služby (kronika, ZPOZ)</t>
  </si>
  <si>
    <t>08.4.0 Náboženské a iné spoločenské služby</t>
  </si>
  <si>
    <t>Energie, služby</t>
  </si>
  <si>
    <t>Nezisk.org.poskyt.všeob.prospešné služby</t>
  </si>
  <si>
    <t>08</t>
  </si>
  <si>
    <t>Športové, kultúrne a spol.služby</t>
  </si>
  <si>
    <t>09 vzdelávanie</t>
  </si>
  <si>
    <t>09.1.1.1 Predškolská výchova s bežnou starostlivosťou</t>
  </si>
  <si>
    <t>MŠ</t>
  </si>
  <si>
    <t>610,620,</t>
  </si>
  <si>
    <t>630,640,</t>
  </si>
  <si>
    <t>predškolský vek</t>
  </si>
  <si>
    <t>Tovary a služby- z účtu OÚ</t>
  </si>
  <si>
    <t>ZŠS</t>
  </si>
  <si>
    <t>Tovary a služby (potraviny)</t>
  </si>
  <si>
    <t>09.1.2.1 Základné vzdelanie s bežnou starostlivosťou</t>
  </si>
  <si>
    <t>Tovary a služby-z účtu OcÚ</t>
  </si>
  <si>
    <t>09.1.2.2</t>
  </si>
  <si>
    <t>vlastné zdroje ZŠ VJM</t>
  </si>
  <si>
    <t>dotácie a príspevky</t>
  </si>
  <si>
    <t>v tom: dopravné</t>
  </si>
  <si>
    <t>dotácia pre deti zo soc.znevýh.prostredia</t>
  </si>
  <si>
    <t>vzdelávacie poukazy</t>
  </si>
  <si>
    <t>09.6.0.</t>
  </si>
  <si>
    <t>Energia,voda,telekomunikácia</t>
  </si>
  <si>
    <t>Prevádzkové stroje,prístr.</t>
  </si>
  <si>
    <t>Rutinná údržba budov prev.strojov,zar.</t>
  </si>
  <si>
    <t>09</t>
  </si>
  <si>
    <t>10 sociálne zabezpečenie</t>
  </si>
  <si>
    <t>10  Sociálne zabezpečenie</t>
  </si>
  <si>
    <t>10.2.0.2</t>
  </si>
  <si>
    <t>pohrebné</t>
  </si>
  <si>
    <t>nenávr. dávka v HN</t>
  </si>
  <si>
    <t>10.7.0.1</t>
  </si>
  <si>
    <t>Jednorázová dávka v HN</t>
  </si>
  <si>
    <t>10.4.0.2</t>
  </si>
  <si>
    <t>Komunitné a informačné centrum</t>
  </si>
  <si>
    <t>10.7.0.1.</t>
  </si>
  <si>
    <t>Sociálne príspevky</t>
  </si>
  <si>
    <t>občianskemu združeniu</t>
  </si>
  <si>
    <t>10.7.0.</t>
  </si>
  <si>
    <t>výdavky na miesta v detských domovoch</t>
  </si>
  <si>
    <t>na stravovanie detí v HN-zdroj ŠR</t>
  </si>
  <si>
    <t>osobitný príjemca-RP</t>
  </si>
  <si>
    <t>Sociálne zabezpečenie</t>
  </si>
  <si>
    <t>Bežné výdavky spolu:</t>
  </si>
  <si>
    <t>Prev.zariadenie - kamerový systém</t>
  </si>
  <si>
    <t>v tom:Prev.zariad. - kamerový systém-ŠR</t>
  </si>
  <si>
    <t>04.5.1.3 Správa a údržba ciest</t>
  </si>
  <si>
    <t>Rekonštrukcia ciest, chodníkov</t>
  </si>
  <si>
    <r>
      <t>05.</t>
    </r>
    <r>
      <rPr>
        <b/>
        <i/>
        <sz val="8"/>
        <rFont val="Arial CE"/>
        <family val="2"/>
      </rPr>
      <t>2.0 Nakladanie s odpadovými vodami</t>
    </r>
  </si>
  <si>
    <t>Odvodnenie ul. Dukelskej</t>
  </si>
  <si>
    <t>Zberný dvor</t>
  </si>
  <si>
    <t>06.2.0 Rozvoj obcí</t>
  </si>
  <si>
    <t>Rekonštrukcia parku</t>
  </si>
  <si>
    <t>Výstavba centra obce</t>
  </si>
  <si>
    <t>rekonštrukcia VO</t>
  </si>
  <si>
    <t>Rekonštrukcia autobusových zastávok</t>
  </si>
  <si>
    <t>Viacúčelové športové ihrisko</t>
  </si>
  <si>
    <t>Rekonštrukcia a modernizácia</t>
  </si>
  <si>
    <t>Prípravná a projektová dokumentácia</t>
  </si>
  <si>
    <t>Realizácia stavieb</t>
  </si>
  <si>
    <t>v tom:Rekonštrukcia a modernizácia-EÚ</t>
  </si>
  <si>
    <t>10.4 Sociálne zabezpečenie</t>
  </si>
  <si>
    <t>Kapitálové výdavky spolu:</t>
  </si>
  <si>
    <t>Výdavkové finančné oprácie</t>
  </si>
  <si>
    <t>Splácanie finančného prenájmu</t>
  </si>
  <si>
    <t>Splácanie istiny z bankových úverov</t>
  </si>
  <si>
    <t>Výdavkové finančné operácie spolu:</t>
  </si>
  <si>
    <t>Bežné výdavky spolu</t>
  </si>
  <si>
    <t>Kapitálové výdavky spolu</t>
  </si>
  <si>
    <t>Rozpočtové výdavky spolu</t>
  </si>
</sst>
</file>

<file path=xl/styles.xml><?xml version="1.0" encoding="utf-8"?>
<styleSheet xmlns="http://schemas.openxmlformats.org/spreadsheetml/2006/main">
  <numFmts count="1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_-* #,##0.00,_S_k_-;\-* #,##0.00,_S_k_-;_-* \-??\ _S_k_-;_-@_-"/>
    <numFmt numFmtId="165" formatCode="_-* #,##0.00&quot; €&quot;_-;\-* #,##0.00&quot; €&quot;_-;_-* \-??&quot; €&quot;_-;_-@_-"/>
    <numFmt numFmtId="166" formatCode="#,##0.0"/>
    <numFmt numFmtId="167" formatCode="0.0"/>
    <numFmt numFmtId="168" formatCode="dd/mm/yyyy"/>
    <numFmt numFmtId="169" formatCode="#,##0;\-#,##0"/>
    <numFmt numFmtId="170" formatCode="#,##0.00;\-#,##0.00"/>
  </numFmts>
  <fonts count="8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 CE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color indexed="10"/>
      <name val="Tahoma"/>
      <family val="2"/>
    </font>
    <font>
      <b/>
      <sz val="12"/>
      <name val="Tahoma"/>
      <family val="2"/>
    </font>
    <font>
      <b/>
      <sz val="12"/>
      <name val="Arial"/>
      <family val="2"/>
    </font>
    <font>
      <sz val="12"/>
      <name val="Tahoma"/>
      <family val="2"/>
    </font>
    <font>
      <sz val="12"/>
      <name val="Arial"/>
      <family val="2"/>
    </font>
    <font>
      <sz val="10"/>
      <name val="Tahoma"/>
      <family val="2"/>
    </font>
    <font>
      <vertAlign val="superscript"/>
      <sz val="10"/>
      <name val="Tahoma"/>
      <family val="2"/>
    </font>
    <font>
      <i/>
      <sz val="10"/>
      <name val="Tahoma"/>
      <family val="2"/>
    </font>
    <font>
      <i/>
      <sz val="12"/>
      <name val="Tahoma"/>
      <family val="2"/>
    </font>
    <font>
      <b/>
      <sz val="10"/>
      <name val="Arial CE"/>
      <family val="2"/>
    </font>
    <font>
      <b/>
      <sz val="12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b/>
      <i/>
      <sz val="8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i/>
      <sz val="8"/>
      <name val="Arial CE"/>
      <family val="2"/>
    </font>
    <font>
      <sz val="10"/>
      <color indexed="17"/>
      <name val="Arial CE"/>
      <family val="2"/>
    </font>
    <font>
      <sz val="8"/>
      <color indexed="8"/>
      <name val="Arial CE"/>
      <family val="2"/>
    </font>
    <font>
      <sz val="10"/>
      <color indexed="10"/>
      <name val="Arial CE"/>
      <family val="2"/>
    </font>
    <font>
      <sz val="8"/>
      <color indexed="57"/>
      <name val="Arial CE"/>
      <family val="2"/>
    </font>
    <font>
      <b/>
      <sz val="9"/>
      <name val="Arial CE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8"/>
      <color indexed="10"/>
      <name val="Arial"/>
      <family val="2"/>
    </font>
    <font>
      <sz val="8"/>
      <color indexed="10"/>
      <name val="Arial CE"/>
      <family val="2"/>
    </font>
    <font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9"/>
      <color indexed="9"/>
      <name val="Arial"/>
      <family val="2"/>
    </font>
    <font>
      <b/>
      <i/>
      <sz val="11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i/>
      <sz val="11"/>
      <name val="Arial"/>
      <family val="2"/>
    </font>
    <font>
      <i/>
      <sz val="8"/>
      <color indexed="12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i/>
      <sz val="8"/>
      <color indexed="12"/>
      <name val="Arial CE"/>
      <family val="2"/>
    </font>
    <font>
      <sz val="9"/>
      <name val="Arial CE"/>
      <family val="2"/>
    </font>
    <font>
      <sz val="8"/>
      <color indexed="12"/>
      <name val="Arial CE"/>
      <family val="2"/>
    </font>
    <font>
      <sz val="8"/>
      <color indexed="48"/>
      <name val="Arial CE"/>
      <family val="2"/>
    </font>
    <font>
      <b/>
      <sz val="8"/>
      <color indexed="57"/>
      <name val="Arial CE"/>
      <family val="2"/>
    </font>
    <font>
      <b/>
      <sz val="8"/>
      <color indexed="12"/>
      <name val="Arial CE"/>
      <family val="2"/>
    </font>
    <font>
      <sz val="10"/>
      <color indexed="12"/>
      <name val="Arial CE"/>
      <family val="2"/>
    </font>
    <font>
      <b/>
      <i/>
      <sz val="8"/>
      <color indexed="57"/>
      <name val="Arial CE"/>
      <family val="2"/>
    </font>
    <font>
      <b/>
      <i/>
      <sz val="10"/>
      <color indexed="57"/>
      <name val="Arial CE"/>
      <family val="2"/>
    </font>
    <font>
      <sz val="8"/>
      <color indexed="17"/>
      <name val="Arial CE"/>
      <family val="2"/>
    </font>
    <font>
      <i/>
      <sz val="10"/>
      <color indexed="12"/>
      <name val="Arial CE"/>
      <family val="2"/>
    </font>
    <font>
      <i/>
      <sz val="8"/>
      <color indexed="48"/>
      <name val="Arial CE"/>
      <family val="2"/>
    </font>
    <font>
      <b/>
      <i/>
      <sz val="10"/>
      <color indexed="12"/>
      <name val="Arial CE"/>
      <family val="2"/>
    </font>
    <font>
      <b/>
      <i/>
      <sz val="9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i/>
      <sz val="11"/>
      <name val="Arial CE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8"/>
      </top>
      <bottom style="thin">
        <color indexed="8"/>
      </bottom>
    </border>
    <border>
      <left style="thin">
        <color indexed="22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31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 style="medium">
        <color indexed="8"/>
      </bottom>
    </border>
    <border>
      <left style="thin"/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>
        <color indexed="63"/>
      </left>
      <right style="thin"/>
      <top style="medium">
        <color indexed="8"/>
      </top>
      <bottom style="thin"/>
    </border>
    <border>
      <left style="medium">
        <color indexed="8"/>
      </left>
      <right style="thin"/>
      <top style="medium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8" borderId="1" applyNumberFormat="0" applyAlignment="0" applyProtection="0"/>
    <xf numFmtId="0" fontId="4" fillId="8" borderId="1" applyNumberFormat="0" applyAlignment="0" applyProtection="0"/>
    <xf numFmtId="0" fontId="4" fillId="8" borderId="1" applyNumberFormat="0" applyAlignment="0" applyProtection="0"/>
    <xf numFmtId="0" fontId="4" fillId="8" borderId="1" applyNumberFormat="0" applyAlignment="0" applyProtection="0"/>
    <xf numFmtId="0" fontId="4" fillId="8" borderId="1" applyNumberFormat="0" applyAlignment="0" applyProtection="0"/>
    <xf numFmtId="0" fontId="4" fillId="8" borderId="1" applyNumberFormat="0" applyAlignment="0" applyProtection="0"/>
    <xf numFmtId="0" fontId="4" fillId="8" borderId="1" applyNumberFormat="0" applyAlignment="0" applyProtection="0"/>
    <xf numFmtId="0" fontId="4" fillId="8" borderId="1" applyNumberFormat="0" applyAlignment="0" applyProtection="0"/>
    <xf numFmtId="0" fontId="4" fillId="8" borderId="1" applyNumberFormat="0" applyAlignment="0" applyProtection="0"/>
    <xf numFmtId="0" fontId="4" fillId="8" borderId="1" applyNumberFormat="0" applyAlignment="0" applyProtection="0"/>
    <xf numFmtId="0" fontId="4" fillId="8" borderId="1" applyNumberFormat="0" applyAlignment="0" applyProtection="0"/>
    <xf numFmtId="0" fontId="4" fillId="8" borderId="1" applyNumberFormat="0" applyAlignment="0" applyProtection="0"/>
    <xf numFmtId="0" fontId="4" fillId="8" borderId="1" applyNumberFormat="0" applyAlignment="0" applyProtection="0"/>
    <xf numFmtId="0" fontId="4" fillId="8" borderId="1" applyNumberFormat="0" applyAlignment="0" applyProtection="0"/>
    <xf numFmtId="0" fontId="4" fillId="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5" fillId="0" borderId="0" applyFill="0" applyAlignment="0" applyProtection="0"/>
    <xf numFmtId="0" fontId="6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4" borderId="5" applyNumberFormat="0" applyAlignment="0" applyProtection="0"/>
    <xf numFmtId="0" fontId="11" fillId="24" borderId="5" applyNumberFormat="0" applyAlignment="0" applyProtection="0"/>
    <xf numFmtId="0" fontId="11" fillId="24" borderId="5" applyNumberFormat="0" applyAlignment="0" applyProtection="0"/>
    <xf numFmtId="0" fontId="11" fillId="24" borderId="5" applyNumberFormat="0" applyAlignment="0" applyProtection="0"/>
    <xf numFmtId="0" fontId="11" fillId="24" borderId="5" applyNumberFormat="0" applyAlignment="0" applyProtection="0"/>
    <xf numFmtId="0" fontId="11" fillId="24" borderId="5" applyNumberFormat="0" applyAlignment="0" applyProtection="0"/>
    <xf numFmtId="0" fontId="11" fillId="24" borderId="5" applyNumberFormat="0" applyAlignment="0" applyProtection="0"/>
    <xf numFmtId="0" fontId="11" fillId="24" borderId="5" applyNumberFormat="0" applyAlignment="0" applyProtection="0"/>
    <xf numFmtId="0" fontId="11" fillId="24" borderId="5" applyNumberFormat="0" applyAlignment="0" applyProtection="0"/>
    <xf numFmtId="0" fontId="11" fillId="24" borderId="5" applyNumberFormat="0" applyAlignment="0" applyProtection="0"/>
    <xf numFmtId="0" fontId="11" fillId="24" borderId="5" applyNumberFormat="0" applyAlignment="0" applyProtection="0"/>
    <xf numFmtId="0" fontId="11" fillId="24" borderId="5" applyNumberFormat="0" applyAlignment="0" applyProtection="0"/>
    <xf numFmtId="0" fontId="11" fillId="24" borderId="5" applyNumberFormat="0" applyAlignment="0" applyProtection="0"/>
    <xf numFmtId="0" fontId="11" fillId="24" borderId="5" applyNumberFormat="0" applyAlignment="0" applyProtection="0"/>
    <xf numFmtId="0" fontId="11" fillId="24" borderId="5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1" fillId="24" borderId="5" applyNumberFormat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5" fontId="0" fillId="0" borderId="0" applyFill="0" applyBorder="0" applyAlignment="0" applyProtection="0"/>
    <xf numFmtId="0" fontId="14" fillId="0" borderId="7" applyNumberFormat="0" applyFill="0" applyAlignment="0" applyProtection="0"/>
    <xf numFmtId="0" fontId="15" fillId="0" borderId="3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5" fillId="0" borderId="0">
      <alignment/>
      <protection/>
    </xf>
    <xf numFmtId="0" fontId="5" fillId="9" borderId="9" applyNumberFormat="0" applyAlignment="0" applyProtection="0"/>
    <xf numFmtId="0" fontId="5" fillId="9" borderId="9" applyNumberFormat="0" applyAlignment="0" applyProtection="0"/>
    <xf numFmtId="0" fontId="5" fillId="9" borderId="9" applyNumberFormat="0" applyAlignment="0" applyProtection="0"/>
    <xf numFmtId="0" fontId="5" fillId="9" borderId="9" applyNumberFormat="0" applyAlignment="0" applyProtection="0"/>
    <xf numFmtId="0" fontId="5" fillId="9" borderId="9" applyNumberFormat="0" applyAlignment="0" applyProtection="0"/>
    <xf numFmtId="0" fontId="5" fillId="9" borderId="9" applyNumberFormat="0" applyAlignment="0" applyProtection="0"/>
    <xf numFmtId="0" fontId="5" fillId="9" borderId="9" applyNumberFormat="0" applyAlignment="0" applyProtection="0"/>
    <xf numFmtId="0" fontId="5" fillId="9" borderId="9" applyNumberFormat="0" applyAlignment="0" applyProtection="0"/>
    <xf numFmtId="0" fontId="5" fillId="9" borderId="9" applyNumberFormat="0" applyAlignment="0" applyProtection="0"/>
    <xf numFmtId="0" fontId="5" fillId="9" borderId="9" applyNumberFormat="0" applyAlignment="0" applyProtection="0"/>
    <xf numFmtId="0" fontId="5" fillId="9" borderId="9" applyNumberFormat="0" applyAlignment="0" applyProtection="0"/>
    <xf numFmtId="0" fontId="5" fillId="9" borderId="9" applyNumberFormat="0" applyAlignment="0" applyProtection="0"/>
    <xf numFmtId="0" fontId="5" fillId="9" borderId="9" applyNumberFormat="0" applyAlignment="0" applyProtection="0"/>
    <xf numFmtId="0" fontId="5" fillId="9" borderId="9" applyNumberFormat="0" applyAlignment="0" applyProtection="0"/>
    <xf numFmtId="0" fontId="5" fillId="9" borderId="9" applyNumberFormat="0" applyAlignment="0" applyProtection="0"/>
    <xf numFmtId="0" fontId="18" fillId="8" borderId="10" applyNumberFormat="0" applyAlignment="0" applyProtection="0"/>
    <xf numFmtId="0" fontId="18" fillId="8" borderId="10" applyNumberFormat="0" applyAlignment="0" applyProtection="0"/>
    <xf numFmtId="0" fontId="18" fillId="8" borderId="10" applyNumberFormat="0" applyAlignment="0" applyProtection="0"/>
    <xf numFmtId="0" fontId="18" fillId="8" borderId="10" applyNumberFormat="0" applyAlignment="0" applyProtection="0"/>
    <xf numFmtId="0" fontId="18" fillId="8" borderId="10" applyNumberFormat="0" applyAlignment="0" applyProtection="0"/>
    <xf numFmtId="0" fontId="18" fillId="8" borderId="10" applyNumberFormat="0" applyAlignment="0" applyProtection="0"/>
    <xf numFmtId="0" fontId="18" fillId="8" borderId="10" applyNumberFormat="0" applyAlignment="0" applyProtection="0"/>
    <xf numFmtId="0" fontId="18" fillId="8" borderId="10" applyNumberFormat="0" applyAlignment="0" applyProtection="0"/>
    <xf numFmtId="0" fontId="18" fillId="8" borderId="10" applyNumberFormat="0" applyAlignment="0" applyProtection="0"/>
    <xf numFmtId="0" fontId="18" fillId="8" borderId="10" applyNumberFormat="0" applyAlignment="0" applyProtection="0"/>
    <xf numFmtId="0" fontId="18" fillId="8" borderId="10" applyNumberFormat="0" applyAlignment="0" applyProtection="0"/>
    <xf numFmtId="0" fontId="18" fillId="8" borderId="10" applyNumberFormat="0" applyAlignment="0" applyProtection="0"/>
    <xf numFmtId="0" fontId="18" fillId="8" borderId="10" applyNumberFormat="0" applyAlignment="0" applyProtection="0"/>
    <xf numFmtId="0" fontId="18" fillId="8" borderId="10" applyNumberFormat="0" applyAlignment="0" applyProtection="0"/>
    <xf numFmtId="0" fontId="18" fillId="8" borderId="10" applyNumberFormat="0" applyAlignment="0" applyProtection="0"/>
    <xf numFmtId="9" fontId="0" fillId="0" borderId="0" applyFill="0" applyBorder="0" applyAlignment="0" applyProtection="0"/>
    <xf numFmtId="0" fontId="0" fillId="9" borderId="9" applyNumberFormat="0" applyAlignment="0" applyProtection="0"/>
    <xf numFmtId="0" fontId="13" fillId="0" borderId="6" applyNumberFormat="0" applyFill="0" applyAlignment="0" applyProtection="0"/>
    <xf numFmtId="0" fontId="19" fillId="0" borderId="11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12" fillId="7" borderId="1" applyNumberFormat="0" applyAlignment="0" applyProtection="0"/>
    <xf numFmtId="0" fontId="4" fillId="14" borderId="1" applyNumberFormat="0" applyAlignment="0" applyProtection="0"/>
    <xf numFmtId="0" fontId="18" fillId="14" borderId="10" applyNumberFormat="0" applyAlignment="0" applyProtection="0"/>
    <xf numFmtId="0" fontId="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2" fillId="25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</cellStyleXfs>
  <cellXfs count="13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3" fontId="25" fillId="3" borderId="0" xfId="0" applyNumberFormat="1" applyFont="1" applyFill="1" applyAlignment="1">
      <alignment horizontal="right"/>
    </xf>
    <xf numFmtId="0" fontId="26" fillId="0" borderId="0" xfId="0" applyFont="1" applyAlignment="1">
      <alignment horizontal="center"/>
    </xf>
    <xf numFmtId="0" fontId="26" fillId="0" borderId="0" xfId="0" applyFont="1" applyAlignment="1">
      <alignment/>
    </xf>
    <xf numFmtId="0" fontId="27" fillId="0" borderId="0" xfId="0" applyFont="1" applyAlignment="1">
      <alignment horizontal="right"/>
    </xf>
    <xf numFmtId="3" fontId="25" fillId="7" borderId="0" xfId="0" applyNumberFormat="1" applyFont="1" applyFill="1" applyAlignment="1" applyProtection="1">
      <alignment horizontal="right"/>
      <protection locked="0"/>
    </xf>
    <xf numFmtId="0" fontId="24" fillId="0" borderId="0" xfId="0" applyFont="1" applyAlignment="1">
      <alignment horizontal="center"/>
    </xf>
    <xf numFmtId="49" fontId="28" fillId="15" borderId="13" xfId="0" applyNumberFormat="1" applyFont="1" applyFill="1" applyBorder="1" applyAlignment="1">
      <alignment horizontal="center"/>
    </xf>
    <xf numFmtId="49" fontId="28" fillId="15" borderId="14" xfId="0" applyNumberFormat="1" applyFont="1" applyFill="1" applyBorder="1" applyAlignment="1">
      <alignment/>
    </xf>
    <xf numFmtId="3" fontId="0" fillId="15" borderId="15" xfId="0" applyNumberFormat="1" applyFont="1" applyFill="1" applyBorder="1" applyAlignment="1">
      <alignment horizontal="right" vertical="center"/>
    </xf>
    <xf numFmtId="49" fontId="27" fillId="0" borderId="16" xfId="0" applyNumberFormat="1" applyFont="1" applyBorder="1" applyAlignment="1">
      <alignment horizontal="right" vertical="center"/>
    </xf>
    <xf numFmtId="3" fontId="0" fillId="15" borderId="15" xfId="0" applyNumberFormat="1" applyFont="1" applyFill="1" applyBorder="1" applyAlignment="1">
      <alignment horizontal="right"/>
    </xf>
    <xf numFmtId="0" fontId="28" fillId="0" borderId="16" xfId="0" applyFont="1" applyBorder="1" applyAlignment="1">
      <alignment vertical="top"/>
    </xf>
    <xf numFmtId="49" fontId="0" fillId="0" borderId="16" xfId="0" applyNumberFormat="1" applyBorder="1" applyAlignment="1">
      <alignment horizontal="right"/>
    </xf>
    <xf numFmtId="49" fontId="26" fillId="0" borderId="0" xfId="0" applyNumberFormat="1" applyFont="1" applyAlignment="1">
      <alignment horizontal="center"/>
    </xf>
    <xf numFmtId="49" fontId="26" fillId="0" borderId="0" xfId="0" applyNumberFormat="1" applyFont="1" applyAlignment="1">
      <alignment/>
    </xf>
    <xf numFmtId="49" fontId="0" fillId="0" borderId="0" xfId="0" applyNumberFormat="1" applyAlignment="1">
      <alignment horizontal="right"/>
    </xf>
    <xf numFmtId="3" fontId="25" fillId="7" borderId="0" xfId="0" applyNumberFormat="1" applyFont="1" applyFill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15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3" fontId="28" fillId="15" borderId="15" xfId="0" applyNumberFormat="1" applyFont="1" applyFill="1" applyBorder="1" applyAlignment="1">
      <alignment horizontal="right"/>
    </xf>
    <xf numFmtId="3" fontId="26" fillId="0" borderId="15" xfId="0" applyNumberFormat="1" applyFont="1" applyBorder="1" applyAlignment="1">
      <alignment horizontal="right"/>
    </xf>
    <xf numFmtId="49" fontId="26" fillId="0" borderId="13" xfId="0" applyNumberFormat="1" applyFont="1" applyBorder="1" applyAlignment="1">
      <alignment horizontal="center"/>
    </xf>
    <xf numFmtId="0" fontId="26" fillId="0" borderId="0" xfId="0" applyFont="1" applyAlignment="1">
      <alignment horizontal="right"/>
    </xf>
    <xf numFmtId="49" fontId="28" fillId="0" borderId="17" xfId="0" applyNumberFormat="1" applyFont="1" applyBorder="1" applyAlignment="1">
      <alignment horizontal="center"/>
    </xf>
    <xf numFmtId="0" fontId="28" fillId="0" borderId="18" xfId="0" applyFont="1" applyBorder="1" applyAlignment="1">
      <alignment/>
    </xf>
    <xf numFmtId="3" fontId="28" fillId="0" borderId="19" xfId="0" applyNumberFormat="1" applyFont="1" applyBorder="1" applyAlignment="1">
      <alignment horizontal="right"/>
    </xf>
    <xf numFmtId="49" fontId="28" fillId="0" borderId="13" xfId="0" applyNumberFormat="1" applyFont="1" applyBorder="1" applyAlignment="1">
      <alignment horizontal="center"/>
    </xf>
    <xf numFmtId="0" fontId="28" fillId="0" borderId="14" xfId="0" applyFont="1" applyBorder="1" applyAlignment="1">
      <alignment/>
    </xf>
    <xf numFmtId="3" fontId="28" fillId="0" borderId="15" xfId="0" applyNumberFormat="1" applyFont="1" applyBorder="1" applyAlignment="1">
      <alignment horizontal="right"/>
    </xf>
    <xf numFmtId="49" fontId="28" fillId="0" borderId="20" xfId="0" applyNumberFormat="1" applyFont="1" applyBorder="1" applyAlignment="1">
      <alignment horizontal="center"/>
    </xf>
    <xf numFmtId="0" fontId="28" fillId="0" borderId="0" xfId="0" applyFont="1" applyBorder="1" applyAlignment="1">
      <alignment/>
    </xf>
    <xf numFmtId="3" fontId="28" fillId="0" borderId="21" xfId="0" applyNumberFormat="1" applyFont="1" applyBorder="1" applyAlignment="1">
      <alignment horizontal="right"/>
    </xf>
    <xf numFmtId="0" fontId="26" fillId="0" borderId="13" xfId="0" applyFont="1" applyBorder="1" applyAlignment="1">
      <alignment horizontal="center"/>
    </xf>
    <xf numFmtId="0" fontId="26" fillId="0" borderId="14" xfId="0" applyFont="1" applyBorder="1" applyAlignment="1">
      <alignment/>
    </xf>
    <xf numFmtId="3" fontId="30" fillId="0" borderId="15" xfId="0" applyNumberFormat="1" applyFont="1" applyBorder="1" applyAlignment="1">
      <alignment horizontal="right"/>
    </xf>
    <xf numFmtId="0" fontId="26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3" fontId="26" fillId="0" borderId="0" xfId="0" applyNumberFormat="1" applyFont="1" applyBorder="1" applyAlignment="1">
      <alignment horizontal="right"/>
    </xf>
    <xf numFmtId="3" fontId="31" fillId="0" borderId="0" xfId="0" applyNumberFormat="1" applyFont="1" applyBorder="1" applyAlignment="1">
      <alignment horizontal="right"/>
    </xf>
    <xf numFmtId="3" fontId="26" fillId="0" borderId="0" xfId="0" applyNumberFormat="1" applyFont="1" applyAlignment="1">
      <alignment horizontal="right"/>
    </xf>
    <xf numFmtId="49" fontId="28" fillId="0" borderId="0" xfId="0" applyNumberFormat="1" applyFont="1" applyAlignment="1">
      <alignment horizontal="center"/>
    </xf>
    <xf numFmtId="0" fontId="28" fillId="0" borderId="0" xfId="0" applyFont="1" applyAlignment="1">
      <alignment/>
    </xf>
    <xf numFmtId="3" fontId="28" fillId="0" borderId="0" xfId="0" applyNumberFormat="1" applyFont="1" applyAlignment="1">
      <alignment horizontal="right"/>
    </xf>
    <xf numFmtId="3" fontId="24" fillId="7" borderId="0" xfId="0" applyNumberFormat="1" applyFont="1" applyFill="1" applyAlignment="1">
      <alignment horizontal="right"/>
    </xf>
    <xf numFmtId="3" fontId="24" fillId="3" borderId="0" xfId="0" applyNumberFormat="1" applyFont="1" applyFill="1" applyAlignment="1">
      <alignment horizontal="right"/>
    </xf>
    <xf numFmtId="49" fontId="24" fillId="0" borderId="0" xfId="0" applyNumberFormat="1" applyFont="1" applyAlignment="1">
      <alignment/>
    </xf>
    <xf numFmtId="3" fontId="24" fillId="0" borderId="0" xfId="0" applyNumberFormat="1" applyFont="1" applyAlignment="1">
      <alignment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right"/>
    </xf>
    <xf numFmtId="0" fontId="5" fillId="0" borderId="0" xfId="586" applyFont="1" applyBorder="1">
      <alignment/>
      <protection/>
    </xf>
    <xf numFmtId="0" fontId="32" fillId="0" borderId="0" xfId="586" applyFont="1" applyBorder="1">
      <alignment/>
      <protection/>
    </xf>
    <xf numFmtId="2" fontId="5" fillId="0" borderId="0" xfId="586" applyNumberFormat="1" applyFont="1" applyBorder="1" applyAlignment="1">
      <alignment horizontal="center"/>
      <protection/>
    </xf>
    <xf numFmtId="3" fontId="5" fillId="0" borderId="0" xfId="586" applyNumberFormat="1" applyFont="1" applyBorder="1">
      <alignment/>
      <protection/>
    </xf>
    <xf numFmtId="0" fontId="5" fillId="0" borderId="0" xfId="586" applyFont="1" applyFill="1" applyBorder="1">
      <alignment/>
      <protection/>
    </xf>
    <xf numFmtId="4" fontId="5" fillId="0" borderId="0" xfId="586" applyNumberFormat="1" applyFont="1" applyFill="1" applyBorder="1">
      <alignment/>
      <protection/>
    </xf>
    <xf numFmtId="0" fontId="33" fillId="0" borderId="0" xfId="586" applyFont="1" applyFill="1" applyBorder="1" applyAlignment="1">
      <alignment/>
      <protection/>
    </xf>
    <xf numFmtId="0" fontId="33" fillId="3" borderId="0" xfId="586" applyFont="1" applyFill="1" applyBorder="1">
      <alignment/>
      <protection/>
    </xf>
    <xf numFmtId="0" fontId="33" fillId="0" borderId="0" xfId="586" applyFont="1" applyBorder="1" applyAlignment="1">
      <alignment horizontal="center"/>
      <protection/>
    </xf>
    <xf numFmtId="0" fontId="32" fillId="0" borderId="0" xfId="586" applyFont="1" applyBorder="1" applyAlignment="1">
      <alignment horizontal="center"/>
      <protection/>
    </xf>
    <xf numFmtId="2" fontId="33" fillId="0" borderId="0" xfId="586" applyNumberFormat="1" applyFont="1" applyFill="1" applyBorder="1" applyAlignment="1">
      <alignment/>
      <protection/>
    </xf>
    <xf numFmtId="2" fontId="33" fillId="0" borderId="0" xfId="586" applyNumberFormat="1" applyFont="1" applyFill="1" applyBorder="1" applyAlignment="1">
      <alignment horizontal="center"/>
      <protection/>
    </xf>
    <xf numFmtId="3" fontId="33" fillId="0" borderId="0" xfId="586" applyNumberFormat="1" applyFont="1" applyFill="1" applyBorder="1" applyAlignment="1">
      <alignment horizontal="center"/>
      <protection/>
    </xf>
    <xf numFmtId="4" fontId="33" fillId="0" borderId="0" xfId="586" applyNumberFormat="1" applyFont="1" applyFill="1" applyBorder="1" applyAlignment="1">
      <alignment horizontal="center"/>
      <protection/>
    </xf>
    <xf numFmtId="0" fontId="32" fillId="7" borderId="13" xfId="586" applyFont="1" applyFill="1" applyBorder="1">
      <alignment/>
      <protection/>
    </xf>
    <xf numFmtId="0" fontId="33" fillId="7" borderId="14" xfId="586" applyFont="1" applyFill="1" applyBorder="1" applyAlignment="1">
      <alignment vertical="top"/>
      <protection/>
    </xf>
    <xf numFmtId="0" fontId="33" fillId="7" borderId="22" xfId="586" applyFont="1" applyFill="1" applyBorder="1" applyAlignment="1">
      <alignment horizontal="center"/>
      <protection/>
    </xf>
    <xf numFmtId="0" fontId="32" fillId="7" borderId="15" xfId="586" applyFont="1" applyFill="1" applyBorder="1" applyAlignment="1">
      <alignment horizontal="justify" vertical="center"/>
      <protection/>
    </xf>
    <xf numFmtId="0" fontId="32" fillId="7" borderId="15" xfId="586" applyFont="1" applyFill="1" applyBorder="1" applyAlignment="1">
      <alignment horizontal="center" vertical="center"/>
      <protection/>
    </xf>
    <xf numFmtId="3" fontId="32" fillId="7" borderId="15" xfId="586" applyNumberFormat="1" applyFont="1" applyFill="1" applyBorder="1" applyAlignment="1">
      <alignment horizontal="center" vertical="center"/>
      <protection/>
    </xf>
    <xf numFmtId="0" fontId="32" fillId="7" borderId="15" xfId="586" applyNumberFormat="1" applyFont="1" applyFill="1" applyBorder="1" applyAlignment="1">
      <alignment horizontal="center" vertical="center"/>
      <protection/>
    </xf>
    <xf numFmtId="0" fontId="32" fillId="7" borderId="13" xfId="586" applyFont="1" applyFill="1" applyBorder="1" applyAlignment="1">
      <alignment horizontal="center" vertical="center"/>
      <protection/>
    </xf>
    <xf numFmtId="2" fontId="32" fillId="0" borderId="0" xfId="586" applyNumberFormat="1" applyFont="1" applyFill="1" applyBorder="1" applyAlignment="1">
      <alignment horizontal="justify" vertical="center"/>
      <protection/>
    </xf>
    <xf numFmtId="4" fontId="32" fillId="0" borderId="0" xfId="586" applyNumberFormat="1" applyFont="1" applyFill="1" applyBorder="1" applyAlignment="1">
      <alignment horizontal="justify" vertical="top"/>
      <protection/>
    </xf>
    <xf numFmtId="0" fontId="34" fillId="15" borderId="20" xfId="586" applyFont="1" applyFill="1" applyBorder="1">
      <alignment/>
      <protection/>
    </xf>
    <xf numFmtId="0" fontId="35" fillId="15" borderId="0" xfId="586" applyFont="1" applyFill="1" applyBorder="1" applyAlignment="1">
      <alignment vertical="top"/>
      <protection/>
    </xf>
    <xf numFmtId="0" fontId="35" fillId="15" borderId="23" xfId="586" applyFont="1" applyFill="1" applyBorder="1" applyAlignment="1">
      <alignment horizontal="center"/>
      <protection/>
    </xf>
    <xf numFmtId="3" fontId="36" fillId="15" borderId="15" xfId="586" applyNumberFormat="1" applyFont="1" applyFill="1" applyBorder="1" applyAlignment="1">
      <alignment horizontal="right" vertical="top"/>
      <protection/>
    </xf>
    <xf numFmtId="4" fontId="36" fillId="15" borderId="15" xfId="586" applyNumberFormat="1" applyFont="1" applyFill="1" applyBorder="1" applyAlignment="1">
      <alignment horizontal="right" vertical="top"/>
      <protection/>
    </xf>
    <xf numFmtId="4" fontId="36" fillId="15" borderId="15" xfId="586" applyNumberFormat="1" applyFont="1" applyFill="1" applyBorder="1" applyAlignment="1">
      <alignment horizontal="center" vertical="top"/>
      <protection/>
    </xf>
    <xf numFmtId="4" fontId="36" fillId="15" borderId="13" xfId="586" applyNumberFormat="1" applyFont="1" applyFill="1" applyBorder="1" applyAlignment="1">
      <alignment horizontal="right" vertical="top"/>
      <protection/>
    </xf>
    <xf numFmtId="4" fontId="36" fillId="0" borderId="0" xfId="586" applyNumberFormat="1" applyFont="1" applyFill="1" applyBorder="1" applyAlignment="1">
      <alignment horizontal="right" vertical="top"/>
      <protection/>
    </xf>
    <xf numFmtId="4" fontId="36" fillId="0" borderId="0" xfId="586" applyNumberFormat="1" applyFont="1" applyFill="1" applyBorder="1" applyAlignment="1">
      <alignment horizontal="center" vertical="top"/>
      <protection/>
    </xf>
    <xf numFmtId="0" fontId="34" fillId="0" borderId="0" xfId="586" applyFont="1" applyBorder="1">
      <alignment/>
      <protection/>
    </xf>
    <xf numFmtId="0" fontId="37" fillId="0" borderId="13" xfId="586" applyFont="1" applyFill="1" applyBorder="1">
      <alignment/>
      <protection/>
    </xf>
    <xf numFmtId="0" fontId="37" fillId="0" borderId="14" xfId="586" applyFont="1" applyFill="1" applyBorder="1">
      <alignment/>
      <protection/>
    </xf>
    <xf numFmtId="0" fontId="37" fillId="0" borderId="22" xfId="586" applyFont="1" applyFill="1" applyBorder="1">
      <alignment/>
      <protection/>
    </xf>
    <xf numFmtId="3" fontId="38" fillId="0" borderId="15" xfId="586" applyNumberFormat="1" applyFont="1" applyFill="1" applyBorder="1" applyAlignment="1">
      <alignment horizontal="right"/>
      <protection/>
    </xf>
    <xf numFmtId="3" fontId="37" fillId="0" borderId="15" xfId="586" applyNumberFormat="1" applyFont="1" applyFill="1" applyBorder="1" applyAlignment="1">
      <alignment horizontal="right"/>
      <protection/>
    </xf>
    <xf numFmtId="4" fontId="38" fillId="0" borderId="15" xfId="586" applyNumberFormat="1" applyFont="1" applyFill="1" applyBorder="1" applyAlignment="1">
      <alignment horizontal="center"/>
      <protection/>
    </xf>
    <xf numFmtId="4" fontId="38" fillId="0" borderId="15" xfId="586" applyNumberFormat="1" applyFont="1" applyFill="1" applyBorder="1" applyAlignment="1">
      <alignment horizontal="right"/>
      <protection/>
    </xf>
    <xf numFmtId="3" fontId="38" fillId="0" borderId="13" xfId="586" applyNumberFormat="1" applyFont="1" applyFill="1" applyBorder="1" applyAlignment="1">
      <alignment horizontal="right"/>
      <protection/>
    </xf>
    <xf numFmtId="4" fontId="38" fillId="0" borderId="0" xfId="586" applyNumberFormat="1" applyFont="1" applyFill="1" applyBorder="1" applyAlignment="1">
      <alignment horizontal="right"/>
      <protection/>
    </xf>
    <xf numFmtId="4" fontId="38" fillId="0" borderId="0" xfId="586" applyNumberFormat="1" applyFont="1" applyFill="1" applyBorder="1" applyAlignment="1">
      <alignment horizontal="center"/>
      <protection/>
    </xf>
    <xf numFmtId="0" fontId="5" fillId="0" borderId="0" xfId="586" applyFill="1" applyBorder="1">
      <alignment/>
      <protection/>
    </xf>
    <xf numFmtId="4" fontId="38" fillId="0" borderId="13" xfId="586" applyNumberFormat="1" applyFont="1" applyFill="1" applyBorder="1" applyAlignment="1">
      <alignment horizontal="right"/>
      <protection/>
    </xf>
    <xf numFmtId="0" fontId="37" fillId="0" borderId="13" xfId="586" applyFont="1" applyBorder="1">
      <alignment/>
      <protection/>
    </xf>
    <xf numFmtId="0" fontId="37" fillId="0" borderId="14" xfId="586" applyFont="1" applyBorder="1">
      <alignment/>
      <protection/>
    </xf>
    <xf numFmtId="0" fontId="37" fillId="0" borderId="22" xfId="586" applyFont="1" applyBorder="1">
      <alignment/>
      <protection/>
    </xf>
    <xf numFmtId="3" fontId="37" fillId="0" borderId="19" xfId="586" applyNumberFormat="1" applyFont="1" applyBorder="1" applyAlignment="1">
      <alignment horizontal="right"/>
      <protection/>
    </xf>
    <xf numFmtId="3" fontId="38" fillId="0" borderId="19" xfId="586" applyNumberFormat="1" applyFont="1" applyBorder="1" applyAlignment="1">
      <alignment horizontal="right"/>
      <protection/>
    </xf>
    <xf numFmtId="4" fontId="37" fillId="0" borderId="15" xfId="586" applyNumberFormat="1" applyFont="1" applyFill="1" applyBorder="1" applyAlignment="1">
      <alignment horizontal="center"/>
      <protection/>
    </xf>
    <xf numFmtId="4" fontId="37" fillId="0" borderId="19" xfId="586" applyNumberFormat="1" applyFont="1" applyFill="1" applyBorder="1" applyAlignment="1">
      <alignment horizontal="right"/>
      <protection/>
    </xf>
    <xf numFmtId="4" fontId="37" fillId="0" borderId="17" xfId="586" applyNumberFormat="1" applyFont="1" applyFill="1" applyBorder="1" applyAlignment="1">
      <alignment horizontal="right"/>
      <protection/>
    </xf>
    <xf numFmtId="4" fontId="37" fillId="0" borderId="0" xfId="586" applyNumberFormat="1" applyFont="1" applyFill="1" applyBorder="1" applyAlignment="1">
      <alignment horizontal="right"/>
      <protection/>
    </xf>
    <xf numFmtId="4" fontId="37" fillId="0" borderId="0" xfId="586" applyNumberFormat="1" applyFont="1" applyFill="1" applyBorder="1" applyAlignment="1">
      <alignment horizontal="center"/>
      <protection/>
    </xf>
    <xf numFmtId="4" fontId="39" fillId="0" borderId="15" xfId="586" applyNumberFormat="1" applyFont="1" applyFill="1" applyBorder="1" applyAlignment="1">
      <alignment horizontal="left"/>
      <protection/>
    </xf>
    <xf numFmtId="4" fontId="37" fillId="0" borderId="19" xfId="586" applyNumberFormat="1" applyFont="1" applyBorder="1" applyAlignment="1">
      <alignment horizontal="left"/>
      <protection/>
    </xf>
    <xf numFmtId="4" fontId="37" fillId="0" borderId="17" xfId="586" applyNumberFormat="1" applyFont="1" applyBorder="1" applyAlignment="1">
      <alignment horizontal="left"/>
      <protection/>
    </xf>
    <xf numFmtId="4" fontId="39" fillId="0" borderId="0" xfId="586" applyNumberFormat="1" applyFont="1" applyFill="1" applyBorder="1" applyAlignment="1">
      <alignment horizontal="left"/>
      <protection/>
    </xf>
    <xf numFmtId="3" fontId="37" fillId="0" borderId="15" xfId="586" applyNumberFormat="1" applyFont="1" applyBorder="1">
      <alignment/>
      <protection/>
    </xf>
    <xf numFmtId="3" fontId="37" fillId="0" borderId="15" xfId="586" applyNumberFormat="1" applyFont="1" applyBorder="1" applyAlignment="1">
      <alignment horizontal="right"/>
      <protection/>
    </xf>
    <xf numFmtId="3" fontId="38" fillId="0" borderId="15" xfId="586" applyNumberFormat="1" applyFont="1" applyBorder="1">
      <alignment/>
      <protection/>
    </xf>
    <xf numFmtId="4" fontId="37" fillId="0" borderId="15" xfId="586" applyNumberFormat="1" applyFont="1" applyBorder="1" applyAlignment="1">
      <alignment horizontal="right"/>
      <protection/>
    </xf>
    <xf numFmtId="4" fontId="37" fillId="0" borderId="13" xfId="586" applyNumberFormat="1" applyFont="1" applyBorder="1" applyAlignment="1">
      <alignment horizontal="right"/>
      <protection/>
    </xf>
    <xf numFmtId="4" fontId="37" fillId="0" borderId="15" xfId="586" applyNumberFormat="1" applyFont="1" applyBorder="1" applyAlignment="1">
      <alignment horizontal="left"/>
      <protection/>
    </xf>
    <xf numFmtId="4" fontId="37" fillId="0" borderId="13" xfId="586" applyNumberFormat="1" applyFont="1" applyBorder="1" applyAlignment="1">
      <alignment horizontal="left"/>
      <protection/>
    </xf>
    <xf numFmtId="4" fontId="40" fillId="0" borderId="0" xfId="586" applyNumberFormat="1" applyFont="1" applyBorder="1" applyAlignment="1">
      <alignment horizontal="left"/>
      <protection/>
    </xf>
    <xf numFmtId="0" fontId="37" fillId="0" borderId="0" xfId="586" applyFont="1" applyBorder="1">
      <alignment/>
      <protection/>
    </xf>
    <xf numFmtId="3" fontId="37" fillId="0" borderId="0" xfId="586" applyNumberFormat="1" applyFont="1" applyBorder="1">
      <alignment/>
      <protection/>
    </xf>
    <xf numFmtId="3" fontId="37" fillId="0" borderId="0" xfId="586" applyNumberFormat="1" applyFont="1" applyBorder="1" applyAlignment="1">
      <alignment horizontal="center"/>
      <protection/>
    </xf>
    <xf numFmtId="3" fontId="38" fillId="0" borderId="0" xfId="586" applyNumberFormat="1" applyFont="1" applyBorder="1">
      <alignment/>
      <protection/>
    </xf>
    <xf numFmtId="4" fontId="37" fillId="0" borderId="0" xfId="586" applyNumberFormat="1" applyFont="1" applyBorder="1" applyAlignment="1">
      <alignment horizontal="center"/>
      <protection/>
    </xf>
    <xf numFmtId="3" fontId="37" fillId="0" borderId="0" xfId="586" applyNumberFormat="1" applyFont="1" applyBorder="1" applyAlignment="1">
      <alignment horizontal="right"/>
      <protection/>
    </xf>
    <xf numFmtId="0" fontId="34" fillId="15" borderId="13" xfId="586" applyFont="1" applyFill="1" applyBorder="1">
      <alignment/>
      <protection/>
    </xf>
    <xf numFmtId="0" fontId="34" fillId="15" borderId="14" xfId="586" applyFont="1" applyFill="1" applyBorder="1">
      <alignment/>
      <protection/>
    </xf>
    <xf numFmtId="0" fontId="34" fillId="15" borderId="22" xfId="586" applyFont="1" applyFill="1" applyBorder="1">
      <alignment/>
      <protection/>
    </xf>
    <xf numFmtId="3" fontId="36" fillId="15" borderId="15" xfId="586" applyNumberFormat="1" applyFont="1" applyFill="1" applyBorder="1" applyAlignment="1">
      <alignment horizontal="right"/>
      <protection/>
    </xf>
    <xf numFmtId="4" fontId="36" fillId="15" borderId="15" xfId="586" applyNumberFormat="1" applyFont="1" applyFill="1" applyBorder="1" applyAlignment="1">
      <alignment horizontal="right"/>
      <protection/>
    </xf>
    <xf numFmtId="4" fontId="36" fillId="15" borderId="15" xfId="586" applyNumberFormat="1" applyFont="1" applyFill="1" applyBorder="1" applyAlignment="1">
      <alignment horizontal="center"/>
      <protection/>
    </xf>
    <xf numFmtId="4" fontId="36" fillId="15" borderId="13" xfId="586" applyNumberFormat="1" applyFont="1" applyFill="1" applyBorder="1" applyAlignment="1">
      <alignment horizontal="right"/>
      <protection/>
    </xf>
    <xf numFmtId="4" fontId="36" fillId="0" borderId="0" xfId="586" applyNumberFormat="1" applyFont="1" applyFill="1" applyBorder="1" applyAlignment="1">
      <alignment horizontal="center"/>
      <protection/>
    </xf>
    <xf numFmtId="0" fontId="34" fillId="0" borderId="0" xfId="586" applyFont="1" applyFill="1" applyBorder="1">
      <alignment/>
      <protection/>
    </xf>
    <xf numFmtId="3" fontId="38" fillId="0" borderId="15" xfId="586" applyNumberFormat="1" applyFont="1" applyBorder="1" applyAlignment="1">
      <alignment horizontal="right"/>
      <protection/>
    </xf>
    <xf numFmtId="4" fontId="37" fillId="0" borderId="15" xfId="586" applyNumberFormat="1" applyFont="1" applyBorder="1" applyAlignment="1">
      <alignment horizontal="center"/>
      <protection/>
    </xf>
    <xf numFmtId="4" fontId="39" fillId="0" borderId="15" xfId="586" applyNumberFormat="1" applyFont="1" applyBorder="1" applyAlignment="1">
      <alignment horizontal="left"/>
      <protection/>
    </xf>
    <xf numFmtId="0" fontId="5" fillId="0" borderId="0" xfId="586" applyBorder="1">
      <alignment/>
      <protection/>
    </xf>
    <xf numFmtId="0" fontId="37" fillId="0" borderId="17" xfId="586" applyFont="1" applyBorder="1">
      <alignment/>
      <protection/>
    </xf>
    <xf numFmtId="0" fontId="37" fillId="0" borderId="18" xfId="586" applyFont="1" applyFill="1" applyBorder="1">
      <alignment/>
      <protection/>
    </xf>
    <xf numFmtId="0" fontId="37" fillId="0" borderId="24" xfId="586" applyFont="1" applyFill="1" applyBorder="1">
      <alignment/>
      <protection/>
    </xf>
    <xf numFmtId="4" fontId="37" fillId="0" borderId="19" xfId="586" applyNumberFormat="1" applyFont="1" applyBorder="1" applyAlignment="1">
      <alignment horizontal="right"/>
      <protection/>
    </xf>
    <xf numFmtId="4" fontId="37" fillId="0" borderId="17" xfId="586" applyNumberFormat="1" applyFont="1" applyBorder="1" applyAlignment="1">
      <alignment horizontal="right"/>
      <protection/>
    </xf>
    <xf numFmtId="3" fontId="36" fillId="4" borderId="15" xfId="586" applyNumberFormat="1" applyFont="1" applyFill="1" applyBorder="1" applyAlignment="1">
      <alignment horizontal="right"/>
      <protection/>
    </xf>
    <xf numFmtId="4" fontId="36" fillId="4" borderId="15" xfId="586" applyNumberFormat="1" applyFont="1" applyFill="1" applyBorder="1" applyAlignment="1">
      <alignment horizontal="right"/>
      <protection/>
    </xf>
    <xf numFmtId="4" fontId="36" fillId="4" borderId="15" xfId="586" applyNumberFormat="1" applyFont="1" applyFill="1" applyBorder="1" applyAlignment="1">
      <alignment horizontal="center"/>
      <protection/>
    </xf>
    <xf numFmtId="4" fontId="36" fillId="4" borderId="13" xfId="586" applyNumberFormat="1" applyFont="1" applyFill="1" applyBorder="1" applyAlignment="1">
      <alignment horizontal="right"/>
      <protection/>
    </xf>
    <xf numFmtId="4" fontId="38" fillId="4" borderId="15" xfId="586" applyNumberFormat="1" applyFont="1" applyFill="1" applyBorder="1" applyAlignment="1">
      <alignment horizontal="right"/>
      <protection/>
    </xf>
    <xf numFmtId="0" fontId="37" fillId="0" borderId="0" xfId="586" applyFont="1" applyFill="1" applyBorder="1">
      <alignment/>
      <protection/>
    </xf>
    <xf numFmtId="3" fontId="38" fillId="0" borderId="0" xfId="586" applyNumberFormat="1" applyFont="1" applyBorder="1" applyAlignment="1">
      <alignment horizontal="right"/>
      <protection/>
    </xf>
    <xf numFmtId="2" fontId="37" fillId="0" borderId="0" xfId="586" applyNumberFormat="1" applyFont="1" applyBorder="1" applyAlignment="1">
      <alignment horizontal="center"/>
      <protection/>
    </xf>
    <xf numFmtId="2" fontId="37" fillId="0" borderId="0" xfId="586" applyNumberFormat="1" applyFont="1" applyFill="1" applyBorder="1" applyAlignment="1">
      <alignment horizontal="center"/>
      <protection/>
    </xf>
    <xf numFmtId="2" fontId="32" fillId="0" borderId="0" xfId="586" applyNumberFormat="1" applyFont="1" applyFill="1" applyBorder="1" applyAlignment="1">
      <alignment horizontal="center" vertical="center"/>
      <protection/>
    </xf>
    <xf numFmtId="4" fontId="32" fillId="0" borderId="0" xfId="586" applyNumberFormat="1" applyFont="1" applyFill="1" applyBorder="1" applyAlignment="1">
      <alignment horizontal="center" vertical="top"/>
      <protection/>
    </xf>
    <xf numFmtId="4" fontId="36" fillId="0" borderId="0" xfId="586" applyNumberFormat="1" applyFont="1" applyFill="1" applyBorder="1" applyAlignment="1">
      <alignment horizontal="right"/>
      <protection/>
    </xf>
    <xf numFmtId="2" fontId="40" fillId="0" borderId="0" xfId="586" applyNumberFormat="1" applyFont="1" applyBorder="1" applyAlignment="1">
      <alignment horizontal="left"/>
      <protection/>
    </xf>
    <xf numFmtId="3" fontId="37" fillId="0" borderId="0" xfId="586" applyNumberFormat="1" applyFont="1" applyFill="1" applyBorder="1">
      <alignment/>
      <protection/>
    </xf>
    <xf numFmtId="3" fontId="38" fillId="0" borderId="0" xfId="586" applyNumberFormat="1" applyFont="1" applyFill="1" applyBorder="1">
      <alignment/>
      <protection/>
    </xf>
    <xf numFmtId="3" fontId="37" fillId="0" borderId="16" xfId="586" applyNumberFormat="1" applyFont="1" applyFill="1" applyBorder="1" applyAlignment="1">
      <alignment horizontal="right"/>
      <protection/>
    </xf>
    <xf numFmtId="3" fontId="37" fillId="0" borderId="16" xfId="586" applyNumberFormat="1" applyFont="1" applyBorder="1" applyAlignment="1">
      <alignment horizontal="right"/>
      <protection/>
    </xf>
    <xf numFmtId="3" fontId="38" fillId="0" borderId="16" xfId="586" applyNumberFormat="1" applyFont="1" applyFill="1" applyBorder="1" applyAlignment="1">
      <alignment horizontal="right"/>
      <protection/>
    </xf>
    <xf numFmtId="4" fontId="37" fillId="0" borderId="16" xfId="586" applyNumberFormat="1" applyFont="1" applyBorder="1" applyAlignment="1">
      <alignment horizontal="right"/>
      <protection/>
    </xf>
    <xf numFmtId="4" fontId="37" fillId="0" borderId="25" xfId="586" applyNumberFormat="1" applyFont="1" applyBorder="1" applyAlignment="1">
      <alignment horizontal="right"/>
      <protection/>
    </xf>
    <xf numFmtId="1" fontId="37" fillId="0" borderId="0" xfId="586" applyNumberFormat="1" applyFont="1" applyFill="1" applyBorder="1" applyAlignment="1">
      <alignment horizontal="left"/>
      <protection/>
    </xf>
    <xf numFmtId="1" fontId="37" fillId="0" borderId="0" xfId="586" applyNumberFormat="1" applyFont="1" applyFill="1" applyBorder="1" applyAlignment="1">
      <alignment horizontal="right"/>
      <protection/>
    </xf>
    <xf numFmtId="3" fontId="41" fillId="0" borderId="15" xfId="586" applyNumberFormat="1" applyFont="1" applyBorder="1" applyAlignment="1">
      <alignment horizontal="right"/>
      <protection/>
    </xf>
    <xf numFmtId="2" fontId="42" fillId="0" borderId="0" xfId="586" applyNumberFormat="1" applyFont="1" applyBorder="1" applyAlignment="1">
      <alignment horizontal="left"/>
      <protection/>
    </xf>
    <xf numFmtId="4" fontId="36" fillId="15" borderId="22" xfId="586" applyNumberFormat="1" applyFont="1" applyFill="1" applyBorder="1" applyAlignment="1">
      <alignment horizontal="right"/>
      <protection/>
    </xf>
    <xf numFmtId="3" fontId="37" fillId="0" borderId="21" xfId="586" applyNumberFormat="1" applyFont="1" applyFill="1" applyBorder="1" applyAlignment="1">
      <alignment horizontal="right"/>
      <protection/>
    </xf>
    <xf numFmtId="3" fontId="38" fillId="0" borderId="21" xfId="586" applyNumberFormat="1" applyFont="1" applyFill="1" applyBorder="1" applyAlignment="1">
      <alignment horizontal="right"/>
      <protection/>
    </xf>
    <xf numFmtId="4" fontId="37" fillId="0" borderId="22" xfId="586" applyNumberFormat="1" applyFont="1" applyFill="1" applyBorder="1" applyAlignment="1">
      <alignment horizontal="right"/>
      <protection/>
    </xf>
    <xf numFmtId="4" fontId="37" fillId="0" borderId="20" xfId="586" applyNumberFormat="1" applyFont="1" applyFill="1" applyBorder="1" applyAlignment="1">
      <alignment horizontal="right"/>
      <protection/>
    </xf>
    <xf numFmtId="4" fontId="37" fillId="0" borderId="21" xfId="586" applyNumberFormat="1" applyFont="1" applyFill="1" applyBorder="1" applyAlignment="1">
      <alignment horizontal="right"/>
      <protection/>
    </xf>
    <xf numFmtId="0" fontId="37" fillId="0" borderId="17" xfId="586" applyFont="1" applyFill="1" applyBorder="1">
      <alignment/>
      <protection/>
    </xf>
    <xf numFmtId="4" fontId="37" fillId="0" borderId="13" xfId="586" applyNumberFormat="1" applyFont="1" applyFill="1" applyBorder="1" applyAlignment="1">
      <alignment horizontal="right"/>
      <protection/>
    </xf>
    <xf numFmtId="4" fontId="37" fillId="0" borderId="15" xfId="586" applyNumberFormat="1" applyFont="1" applyFill="1" applyBorder="1" applyAlignment="1">
      <alignment horizontal="right"/>
      <protection/>
    </xf>
    <xf numFmtId="0" fontId="37" fillId="0" borderId="18" xfId="586" applyFont="1" applyBorder="1">
      <alignment/>
      <protection/>
    </xf>
    <xf numFmtId="3" fontId="37" fillId="0" borderId="19" xfId="586" applyNumberFormat="1" applyFont="1" applyFill="1" applyBorder="1" applyAlignment="1">
      <alignment horizontal="right"/>
      <protection/>
    </xf>
    <xf numFmtId="3" fontId="38" fillId="0" borderId="19" xfId="586" applyNumberFormat="1" applyFont="1" applyFill="1" applyBorder="1" applyAlignment="1">
      <alignment horizontal="right"/>
      <protection/>
    </xf>
    <xf numFmtId="0" fontId="37" fillId="0" borderId="17" xfId="586" applyFont="1" applyBorder="1" applyAlignment="1">
      <alignment/>
      <protection/>
    </xf>
    <xf numFmtId="0" fontId="37" fillId="0" borderId="18" xfId="586" applyFont="1" applyBorder="1" applyAlignment="1">
      <alignment/>
      <protection/>
    </xf>
    <xf numFmtId="3" fontId="36" fillId="4" borderId="14" xfId="586" applyNumberFormat="1" applyFont="1" applyFill="1" applyBorder="1" applyAlignment="1">
      <alignment horizontal="right"/>
      <protection/>
    </xf>
    <xf numFmtId="4" fontId="36" fillId="4" borderId="22" xfId="586" applyNumberFormat="1" applyFont="1" applyFill="1" applyBorder="1" applyAlignment="1">
      <alignment horizontal="right"/>
      <protection/>
    </xf>
    <xf numFmtId="4" fontId="36" fillId="4" borderId="14" xfId="586" applyNumberFormat="1" applyFont="1" applyFill="1" applyBorder="1" applyAlignment="1">
      <alignment horizontal="right"/>
      <protection/>
    </xf>
    <xf numFmtId="0" fontId="37" fillId="0" borderId="0" xfId="586" applyFont="1" applyBorder="1" applyAlignment="1">
      <alignment/>
      <protection/>
    </xf>
    <xf numFmtId="3" fontId="37" fillId="0" borderId="0" xfId="586" applyNumberFormat="1" applyFont="1" applyFill="1" applyBorder="1" applyAlignment="1">
      <alignment horizontal="right"/>
      <protection/>
    </xf>
    <xf numFmtId="3" fontId="38" fillId="0" borderId="0" xfId="586" applyNumberFormat="1" applyFont="1" applyFill="1" applyBorder="1" applyAlignment="1">
      <alignment horizontal="right"/>
      <protection/>
    </xf>
    <xf numFmtId="3" fontId="33" fillId="4" borderId="0" xfId="586" applyNumberFormat="1" applyFont="1" applyFill="1" applyBorder="1" applyAlignment="1">
      <alignment/>
      <protection/>
    </xf>
    <xf numFmtId="3" fontId="33" fillId="0" borderId="0" xfId="586" applyNumberFormat="1" applyFont="1" applyFill="1" applyBorder="1" applyAlignment="1">
      <alignment/>
      <protection/>
    </xf>
    <xf numFmtId="1" fontId="32" fillId="7" borderId="15" xfId="586" applyNumberFormat="1" applyFont="1" applyFill="1" applyBorder="1" applyAlignment="1">
      <alignment horizontal="center" vertical="center"/>
      <protection/>
    </xf>
    <xf numFmtId="3" fontId="37" fillId="0" borderId="15" xfId="586" applyNumberFormat="1" applyFont="1" applyFill="1" applyBorder="1" applyAlignment="1">
      <alignment horizontal="center"/>
      <protection/>
    </xf>
    <xf numFmtId="3" fontId="38" fillId="0" borderId="15" xfId="586" applyNumberFormat="1" applyFont="1" applyFill="1" applyBorder="1" applyAlignment="1">
      <alignment horizontal="center"/>
      <protection/>
    </xf>
    <xf numFmtId="3" fontId="38" fillId="0" borderId="16" xfId="586" applyNumberFormat="1" applyFont="1" applyBorder="1" applyAlignment="1">
      <alignment horizontal="right"/>
      <protection/>
    </xf>
    <xf numFmtId="3" fontId="35" fillId="0" borderId="0" xfId="586" applyNumberFormat="1" applyFont="1" applyFill="1" applyBorder="1" applyAlignment="1">
      <alignment horizontal="right" vertical="top"/>
      <protection/>
    </xf>
    <xf numFmtId="3" fontId="37" fillId="0" borderId="15" xfId="586" applyNumberFormat="1" applyFont="1" applyFill="1" applyBorder="1">
      <alignment/>
      <protection/>
    </xf>
    <xf numFmtId="3" fontId="38" fillId="0" borderId="15" xfId="586" applyNumberFormat="1" applyFont="1" applyFill="1" applyBorder="1">
      <alignment/>
      <protection/>
    </xf>
    <xf numFmtId="3" fontId="35" fillId="0" borderId="0" xfId="586" applyNumberFormat="1" applyFont="1" applyFill="1" applyBorder="1" applyAlignment="1">
      <alignment horizontal="right"/>
      <protection/>
    </xf>
    <xf numFmtId="3" fontId="37" fillId="0" borderId="19" xfId="586" applyNumberFormat="1" applyFont="1" applyFill="1" applyBorder="1">
      <alignment/>
      <protection/>
    </xf>
    <xf numFmtId="3" fontId="38" fillId="0" borderId="19" xfId="586" applyNumberFormat="1" applyFont="1" applyFill="1" applyBorder="1">
      <alignment/>
      <protection/>
    </xf>
    <xf numFmtId="3" fontId="35" fillId="0" borderId="0" xfId="586" applyNumberFormat="1" applyFont="1" applyFill="1" applyBorder="1">
      <alignment/>
      <protection/>
    </xf>
    <xf numFmtId="3" fontId="34" fillId="0" borderId="0" xfId="586" applyNumberFormat="1" applyFont="1" applyFill="1" applyBorder="1" applyAlignment="1">
      <alignment horizontal="center"/>
      <protection/>
    </xf>
    <xf numFmtId="3" fontId="5" fillId="0" borderId="0" xfId="586" applyNumberFormat="1" applyFont="1" applyFill="1" applyBorder="1">
      <alignment/>
      <protection/>
    </xf>
    <xf numFmtId="2" fontId="40" fillId="0" borderId="0" xfId="586" applyNumberFormat="1" applyFont="1" applyFill="1" applyBorder="1" applyAlignment="1">
      <alignment horizontal="left"/>
      <protection/>
    </xf>
    <xf numFmtId="4" fontId="37" fillId="0" borderId="15" xfId="586" applyNumberFormat="1" applyFont="1" applyFill="1" applyBorder="1" applyAlignment="1">
      <alignment horizontal="left"/>
      <protection/>
    </xf>
    <xf numFmtId="4" fontId="37" fillId="0" borderId="13" xfId="586" applyNumberFormat="1" applyFont="1" applyFill="1" applyBorder="1" applyAlignment="1">
      <alignment horizontal="left"/>
      <protection/>
    </xf>
    <xf numFmtId="4" fontId="5" fillId="0" borderId="0" xfId="586" applyNumberFormat="1" applyFont="1" applyFill="1" applyBorder="1" applyAlignment="1">
      <alignment horizontal="right"/>
      <protection/>
    </xf>
    <xf numFmtId="2" fontId="5" fillId="0" borderId="0" xfId="586" applyNumberFormat="1" applyFont="1" applyFill="1" applyBorder="1" applyAlignment="1">
      <alignment horizontal="right"/>
      <protection/>
    </xf>
    <xf numFmtId="3" fontId="5" fillId="0" borderId="0" xfId="586" applyNumberFormat="1" applyFont="1" applyFill="1" applyBorder="1" applyAlignment="1">
      <alignment horizontal="right"/>
      <protection/>
    </xf>
    <xf numFmtId="3" fontId="32" fillId="15" borderId="15" xfId="586" applyNumberFormat="1" applyFont="1" applyFill="1" applyBorder="1">
      <alignment/>
      <protection/>
    </xf>
    <xf numFmtId="3" fontId="32" fillId="15" borderId="15" xfId="586" applyNumberFormat="1" applyFont="1" applyFill="1" applyBorder="1" applyAlignment="1">
      <alignment horizontal="right"/>
      <protection/>
    </xf>
    <xf numFmtId="4" fontId="37" fillId="15" borderId="15" xfId="586" applyNumberFormat="1" applyFont="1" applyFill="1" applyBorder="1" applyAlignment="1">
      <alignment horizontal="right"/>
      <protection/>
    </xf>
    <xf numFmtId="2" fontId="38" fillId="15" borderId="13" xfId="586" applyNumberFormat="1" applyFont="1" applyFill="1" applyBorder="1" applyAlignment="1">
      <alignment horizontal="right"/>
      <protection/>
    </xf>
    <xf numFmtId="4" fontId="38" fillId="15" borderId="15" xfId="586" applyNumberFormat="1" applyFont="1" applyFill="1" applyBorder="1" applyAlignment="1">
      <alignment horizontal="right"/>
      <protection/>
    </xf>
    <xf numFmtId="3" fontId="37" fillId="0" borderId="14" xfId="586" applyNumberFormat="1" applyFont="1" applyBorder="1" applyAlignment="1">
      <alignment horizontal="right"/>
      <protection/>
    </xf>
    <xf numFmtId="3" fontId="38" fillId="0" borderId="14" xfId="586" applyNumberFormat="1" applyFont="1" applyBorder="1" applyAlignment="1">
      <alignment horizontal="right"/>
      <protection/>
    </xf>
    <xf numFmtId="4" fontId="37" fillId="0" borderId="14" xfId="586" applyNumberFormat="1" applyFont="1" applyBorder="1" applyAlignment="1">
      <alignment horizontal="right"/>
      <protection/>
    </xf>
    <xf numFmtId="4" fontId="37" fillId="0" borderId="19" xfId="586" applyNumberFormat="1" applyFont="1" applyBorder="1">
      <alignment/>
      <protection/>
    </xf>
    <xf numFmtId="4" fontId="37" fillId="0" borderId="15" xfId="586" applyNumberFormat="1" applyFont="1" applyBorder="1">
      <alignment/>
      <protection/>
    </xf>
    <xf numFmtId="4" fontId="37" fillId="0" borderId="0" xfId="586" applyNumberFormat="1" applyFont="1" applyFill="1" applyBorder="1">
      <alignment/>
      <protection/>
    </xf>
    <xf numFmtId="1" fontId="37" fillId="0" borderId="13" xfId="586" applyNumberFormat="1" applyFont="1" applyFill="1" applyBorder="1" applyAlignment="1">
      <alignment horizontal="right"/>
      <protection/>
    </xf>
    <xf numFmtId="4" fontId="43" fillId="0" borderId="0" xfId="586" applyNumberFormat="1" applyFont="1" applyFill="1" applyBorder="1" applyAlignment="1">
      <alignment horizontal="right"/>
      <protection/>
    </xf>
    <xf numFmtId="4" fontId="5" fillId="0" borderId="15" xfId="586" applyNumberFormat="1" applyFont="1" applyFill="1" applyBorder="1" applyAlignment="1">
      <alignment horizontal="right"/>
      <protection/>
    </xf>
    <xf numFmtId="1" fontId="5" fillId="0" borderId="13" xfId="586" applyNumberFormat="1" applyFont="1" applyFill="1" applyBorder="1" applyAlignment="1">
      <alignment horizontal="right"/>
      <protection/>
    </xf>
    <xf numFmtId="4" fontId="36" fillId="4" borderId="19" xfId="586" applyNumberFormat="1" applyFont="1" applyFill="1" applyBorder="1" applyAlignment="1">
      <alignment horizontal="right"/>
      <protection/>
    </xf>
    <xf numFmtId="4" fontId="36" fillId="4" borderId="17" xfId="586" applyNumberFormat="1" applyFont="1" applyFill="1" applyBorder="1" applyAlignment="1">
      <alignment horizontal="right"/>
      <protection/>
    </xf>
    <xf numFmtId="0" fontId="32" fillId="3" borderId="26" xfId="586" applyFont="1" applyFill="1" applyBorder="1">
      <alignment/>
      <protection/>
    </xf>
    <xf numFmtId="0" fontId="32" fillId="3" borderId="27" xfId="586" applyFont="1" applyFill="1" applyBorder="1">
      <alignment/>
      <protection/>
    </xf>
    <xf numFmtId="0" fontId="32" fillId="3" borderId="28" xfId="586" applyFont="1" applyFill="1" applyBorder="1">
      <alignment/>
      <protection/>
    </xf>
    <xf numFmtId="3" fontId="38" fillId="3" borderId="29" xfId="586" applyNumberFormat="1" applyFont="1" applyFill="1" applyBorder="1" applyAlignment="1">
      <alignment horizontal="right"/>
      <protection/>
    </xf>
    <xf numFmtId="3" fontId="38" fillId="3" borderId="26" xfId="586" applyNumberFormat="1" applyFont="1" applyFill="1" applyBorder="1" applyAlignment="1">
      <alignment horizontal="right"/>
      <protection/>
    </xf>
    <xf numFmtId="4" fontId="38" fillId="3" borderId="29" xfId="586" applyNumberFormat="1" applyFont="1" applyFill="1" applyBorder="1" applyAlignment="1">
      <alignment horizontal="right"/>
      <protection/>
    </xf>
    <xf numFmtId="4" fontId="38" fillId="3" borderId="28" xfId="586" applyNumberFormat="1" applyFont="1" applyFill="1" applyBorder="1" applyAlignment="1">
      <alignment horizontal="right"/>
      <protection/>
    </xf>
    <xf numFmtId="4" fontId="38" fillId="3" borderId="26" xfId="586" applyNumberFormat="1" applyFont="1" applyFill="1" applyBorder="1" applyAlignment="1">
      <alignment horizontal="right"/>
      <protection/>
    </xf>
    <xf numFmtId="1" fontId="36" fillId="0" borderId="0" xfId="586" applyNumberFormat="1" applyFont="1" applyFill="1" applyBorder="1" applyAlignment="1">
      <alignment horizontal="right"/>
      <protection/>
    </xf>
    <xf numFmtId="0" fontId="32" fillId="7" borderId="14" xfId="586" applyFont="1" applyFill="1" applyBorder="1" applyAlignment="1">
      <alignment vertical="top"/>
      <protection/>
    </xf>
    <xf numFmtId="0" fontId="32" fillId="7" borderId="22" xfId="586" applyFont="1" applyFill="1" applyBorder="1" applyAlignment="1">
      <alignment horizontal="center"/>
      <protection/>
    </xf>
    <xf numFmtId="4" fontId="32" fillId="7" borderId="15" xfId="586" applyNumberFormat="1" applyFont="1" applyFill="1" applyBorder="1" applyAlignment="1">
      <alignment horizontal="justify" vertical="top"/>
      <protection/>
    </xf>
    <xf numFmtId="2" fontId="32" fillId="7" borderId="19" xfId="586" applyNumberFormat="1" applyFont="1" applyFill="1" applyBorder="1" applyAlignment="1">
      <alignment horizontal="justify" vertical="center"/>
      <protection/>
    </xf>
    <xf numFmtId="1" fontId="32" fillId="7" borderId="19" xfId="586" applyNumberFormat="1" applyFont="1" applyFill="1" applyBorder="1" applyAlignment="1">
      <alignment horizontal="center" vertical="center"/>
      <protection/>
    </xf>
    <xf numFmtId="0" fontId="37" fillId="0" borderId="22" xfId="586" applyFont="1" applyBorder="1" applyAlignment="1">
      <alignment horizontal="left"/>
      <protection/>
    </xf>
    <xf numFmtId="0" fontId="37" fillId="0" borderId="24" xfId="586" applyFont="1" applyBorder="1" applyAlignment="1">
      <alignment horizontal="left"/>
      <protection/>
    </xf>
    <xf numFmtId="4" fontId="37" fillId="0" borderId="17" xfId="586" applyNumberFormat="1" applyFont="1" applyBorder="1">
      <alignment/>
      <protection/>
    </xf>
    <xf numFmtId="4" fontId="36" fillId="4" borderId="15" xfId="586" applyNumberFormat="1" applyFont="1" applyFill="1" applyBorder="1">
      <alignment/>
      <protection/>
    </xf>
    <xf numFmtId="4" fontId="36" fillId="4" borderId="13" xfId="586" applyNumberFormat="1" applyFont="1" applyFill="1" applyBorder="1">
      <alignment/>
      <protection/>
    </xf>
    <xf numFmtId="4" fontId="36" fillId="0" borderId="0" xfId="586" applyNumberFormat="1" applyFont="1" applyFill="1" applyBorder="1">
      <alignment/>
      <protection/>
    </xf>
    <xf numFmtId="0" fontId="37" fillId="0" borderId="0" xfId="586" applyFont="1" applyBorder="1" applyAlignment="1">
      <alignment horizontal="left"/>
      <protection/>
    </xf>
    <xf numFmtId="4" fontId="37" fillId="0" borderId="13" xfId="586" applyNumberFormat="1" applyFont="1" applyBorder="1">
      <alignment/>
      <protection/>
    </xf>
    <xf numFmtId="0" fontId="5" fillId="0" borderId="0" xfId="586">
      <alignment/>
      <protection/>
    </xf>
    <xf numFmtId="10" fontId="5" fillId="0" borderId="0" xfId="586" applyNumberFormat="1" applyFont="1" applyBorder="1">
      <alignment/>
      <protection/>
    </xf>
    <xf numFmtId="4" fontId="37" fillId="0" borderId="21" xfId="586" applyNumberFormat="1" applyFont="1" applyBorder="1">
      <alignment/>
      <protection/>
    </xf>
    <xf numFmtId="4" fontId="37" fillId="0" borderId="16" xfId="586" applyNumberFormat="1" applyFont="1" applyBorder="1">
      <alignment/>
      <protection/>
    </xf>
    <xf numFmtId="4" fontId="37" fillId="0" borderId="0" xfId="586" applyNumberFormat="1" applyFont="1" applyBorder="1" applyAlignment="1">
      <alignment horizontal="right"/>
      <protection/>
    </xf>
    <xf numFmtId="4" fontId="36" fillId="4" borderId="19" xfId="586" applyNumberFormat="1" applyFont="1" applyFill="1" applyBorder="1">
      <alignment/>
      <protection/>
    </xf>
    <xf numFmtId="0" fontId="5" fillId="3" borderId="27" xfId="586" applyFont="1" applyFill="1" applyBorder="1">
      <alignment/>
      <protection/>
    </xf>
    <xf numFmtId="4" fontId="38" fillId="3" borderId="29" xfId="586" applyNumberFormat="1" applyFont="1" applyFill="1" applyBorder="1">
      <alignment/>
      <protection/>
    </xf>
    <xf numFmtId="4" fontId="38" fillId="0" borderId="0" xfId="586" applyNumberFormat="1" applyFont="1" applyFill="1" applyBorder="1">
      <alignment/>
      <protection/>
    </xf>
    <xf numFmtId="0" fontId="33" fillId="0" borderId="0" xfId="586" applyFont="1" applyFill="1" applyBorder="1">
      <alignment/>
      <protection/>
    </xf>
    <xf numFmtId="0" fontId="32" fillId="4" borderId="0" xfId="586" applyFont="1" applyFill="1" applyBorder="1" applyAlignment="1">
      <alignment/>
      <protection/>
    </xf>
    <xf numFmtId="0" fontId="32" fillId="0" borderId="0" xfId="586" applyFont="1" applyFill="1" applyBorder="1" applyAlignment="1">
      <alignment/>
      <protection/>
    </xf>
    <xf numFmtId="0" fontId="37" fillId="0" borderId="15" xfId="586" applyFont="1" applyBorder="1">
      <alignment/>
      <protection/>
    </xf>
    <xf numFmtId="0" fontId="37" fillId="0" borderId="16" xfId="586" applyFont="1" applyBorder="1">
      <alignment/>
      <protection/>
    </xf>
    <xf numFmtId="0" fontId="37" fillId="0" borderId="24" xfId="586" applyFont="1" applyBorder="1">
      <alignment/>
      <protection/>
    </xf>
    <xf numFmtId="0" fontId="37" fillId="0" borderId="21" xfId="586" applyFont="1" applyBorder="1">
      <alignment/>
      <protection/>
    </xf>
    <xf numFmtId="0" fontId="35" fillId="4" borderId="13" xfId="586" applyFont="1" applyFill="1" applyBorder="1">
      <alignment/>
      <protection/>
    </xf>
    <xf numFmtId="0" fontId="35" fillId="4" borderId="14" xfId="586" applyFont="1" applyFill="1" applyBorder="1">
      <alignment/>
      <protection/>
    </xf>
    <xf numFmtId="0" fontId="35" fillId="4" borderId="22" xfId="586" applyFont="1" applyFill="1" applyBorder="1">
      <alignment/>
      <protection/>
    </xf>
    <xf numFmtId="0" fontId="36" fillId="4" borderId="15" xfId="586" applyFont="1" applyFill="1" applyBorder="1">
      <alignment/>
      <protection/>
    </xf>
    <xf numFmtId="0" fontId="38" fillId="0" borderId="0" xfId="586" applyFont="1" applyBorder="1" applyAlignment="1">
      <alignment horizontal="left"/>
      <protection/>
    </xf>
    <xf numFmtId="0" fontId="32" fillId="0" borderId="0" xfId="586" applyFont="1" applyFill="1" applyBorder="1">
      <alignment/>
      <protection/>
    </xf>
    <xf numFmtId="4" fontId="32" fillId="0" borderId="0" xfId="586" applyNumberFormat="1" applyFont="1" applyFill="1" applyBorder="1">
      <alignment/>
      <protection/>
    </xf>
    <xf numFmtId="0" fontId="32" fillId="7" borderId="14" xfId="586" applyFont="1" applyFill="1" applyBorder="1" applyAlignment="1">
      <alignment horizontal="center" vertical="center"/>
      <protection/>
    </xf>
    <xf numFmtId="4" fontId="37" fillId="0" borderId="15" xfId="586" applyNumberFormat="1" applyFont="1" applyFill="1" applyBorder="1">
      <alignment/>
      <protection/>
    </xf>
    <xf numFmtId="3" fontId="37" fillId="0" borderId="21" xfId="586" applyNumberFormat="1" applyFont="1" applyBorder="1">
      <alignment/>
      <protection/>
    </xf>
    <xf numFmtId="4" fontId="37" fillId="0" borderId="18" xfId="586" applyNumberFormat="1" applyFont="1" applyBorder="1" applyAlignment="1">
      <alignment horizontal="right"/>
      <protection/>
    </xf>
    <xf numFmtId="3" fontId="32" fillId="0" borderId="0" xfId="586" applyNumberFormat="1" applyFont="1" applyFill="1" applyBorder="1" applyAlignment="1">
      <alignment horizontal="right"/>
      <protection/>
    </xf>
    <xf numFmtId="2" fontId="32" fillId="0" borderId="0" xfId="586" applyNumberFormat="1" applyFont="1" applyFill="1" applyBorder="1" applyAlignment="1">
      <alignment horizontal="center"/>
      <protection/>
    </xf>
    <xf numFmtId="0" fontId="38" fillId="0" borderId="0" xfId="586" applyFont="1" applyBorder="1">
      <alignment/>
      <protection/>
    </xf>
    <xf numFmtId="0" fontId="37" fillId="3" borderId="0" xfId="586" applyFont="1" applyFill="1" applyBorder="1">
      <alignment/>
      <protection/>
    </xf>
    <xf numFmtId="2" fontId="37" fillId="3" borderId="0" xfId="586" applyNumberFormat="1" applyFont="1" applyFill="1" applyBorder="1" applyAlignment="1">
      <alignment horizontal="center"/>
      <protection/>
    </xf>
    <xf numFmtId="0" fontId="5" fillId="3" borderId="0" xfId="586" applyFont="1" applyFill="1" applyBorder="1">
      <alignment/>
      <protection/>
    </xf>
    <xf numFmtId="3" fontId="37" fillId="0" borderId="19" xfId="586" applyNumberFormat="1" applyFont="1" applyBorder="1">
      <alignment/>
      <protection/>
    </xf>
    <xf numFmtId="3" fontId="38" fillId="3" borderId="29" xfId="586" applyNumberFormat="1" applyFont="1" applyFill="1" applyBorder="1">
      <alignment/>
      <protection/>
    </xf>
    <xf numFmtId="4" fontId="37" fillId="3" borderId="29" xfId="586" applyNumberFormat="1" applyFont="1" applyFill="1" applyBorder="1">
      <alignment/>
      <protection/>
    </xf>
    <xf numFmtId="0" fontId="5" fillId="0" borderId="13" xfId="586" applyFont="1" applyBorder="1">
      <alignment/>
      <protection/>
    </xf>
    <xf numFmtId="0" fontId="5" fillId="0" borderId="14" xfId="586" applyFont="1" applyBorder="1">
      <alignment/>
      <protection/>
    </xf>
    <xf numFmtId="0" fontId="5" fillId="0" borderId="22" xfId="586" applyFont="1" applyBorder="1">
      <alignment/>
      <protection/>
    </xf>
    <xf numFmtId="4" fontId="40" fillId="0" borderId="0" xfId="586" applyNumberFormat="1" applyFont="1" applyBorder="1">
      <alignment/>
      <protection/>
    </xf>
    <xf numFmtId="4" fontId="42" fillId="0" borderId="0" xfId="586" applyNumberFormat="1" applyFont="1" applyBorder="1">
      <alignment/>
      <protection/>
    </xf>
    <xf numFmtId="0" fontId="32" fillId="4" borderId="13" xfId="586" applyFont="1" applyFill="1" applyBorder="1">
      <alignment/>
      <protection/>
    </xf>
    <xf numFmtId="0" fontId="5" fillId="4" borderId="14" xfId="586" applyFont="1" applyFill="1" applyBorder="1">
      <alignment/>
      <protection/>
    </xf>
    <xf numFmtId="0" fontId="5" fillId="4" borderId="22" xfId="586" applyFont="1" applyFill="1" applyBorder="1">
      <alignment/>
      <protection/>
    </xf>
    <xf numFmtId="4" fontId="37" fillId="4" borderId="16" xfId="586" applyNumberFormat="1" applyFont="1" applyFill="1" applyBorder="1">
      <alignment/>
      <protection/>
    </xf>
    <xf numFmtId="4" fontId="37" fillId="4" borderId="13" xfId="586" applyNumberFormat="1" applyFont="1" applyFill="1" applyBorder="1" applyAlignment="1">
      <alignment horizontal="right"/>
      <protection/>
    </xf>
    <xf numFmtId="0" fontId="45" fillId="0" borderId="0" xfId="0" applyFont="1" applyAlignment="1">
      <alignment horizontal="center"/>
    </xf>
    <xf numFmtId="0" fontId="0" fillId="0" borderId="0" xfId="0" applyBorder="1" applyAlignment="1">
      <alignment/>
    </xf>
    <xf numFmtId="166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25" fillId="0" borderId="0" xfId="0" applyFont="1" applyAlignment="1">
      <alignment/>
    </xf>
    <xf numFmtId="166" fontId="46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47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/>
    </xf>
    <xf numFmtId="49" fontId="48" fillId="0" borderId="0" xfId="0" applyNumberFormat="1" applyFont="1" applyFill="1" applyBorder="1" applyAlignment="1">
      <alignment horizontal="center"/>
    </xf>
    <xf numFmtId="0" fontId="48" fillId="0" borderId="0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3" fontId="46" fillId="0" borderId="0" xfId="0" applyNumberFormat="1" applyFont="1" applyAlignment="1">
      <alignment/>
    </xf>
    <xf numFmtId="0" fontId="45" fillId="9" borderId="29" xfId="0" applyFont="1" applyFill="1" applyBorder="1" applyAlignment="1">
      <alignment horizontal="center"/>
    </xf>
    <xf numFmtId="0" fontId="25" fillId="9" borderId="30" xfId="0" applyFont="1" applyFill="1" applyBorder="1" applyAlignment="1">
      <alignment horizontal="left"/>
    </xf>
    <xf numFmtId="49" fontId="47" fillId="9" borderId="27" xfId="0" applyNumberFormat="1" applyFont="1" applyFill="1" applyBorder="1" applyAlignment="1">
      <alignment horizontal="center"/>
    </xf>
    <xf numFmtId="0" fontId="0" fillId="9" borderId="27" xfId="0" applyFont="1" applyFill="1" applyBorder="1" applyAlignment="1">
      <alignment/>
    </xf>
    <xf numFmtId="0" fontId="0" fillId="9" borderId="28" xfId="0" applyFont="1" applyFill="1" applyBorder="1" applyAlignment="1">
      <alignment/>
    </xf>
    <xf numFmtId="0" fontId="45" fillId="9" borderId="31" xfId="0" applyFont="1" applyFill="1" applyBorder="1" applyAlignment="1">
      <alignment horizontal="center"/>
    </xf>
    <xf numFmtId="0" fontId="45" fillId="9" borderId="23" xfId="0" applyFont="1" applyFill="1" applyBorder="1" applyAlignment="1">
      <alignment horizontal="center"/>
    </xf>
    <xf numFmtId="49" fontId="45" fillId="9" borderId="23" xfId="0" applyNumberFormat="1" applyFont="1" applyFill="1" applyBorder="1" applyAlignment="1">
      <alignment horizontal="center"/>
    </xf>
    <xf numFmtId="0" fontId="49" fillId="9" borderId="32" xfId="0" applyFont="1" applyFill="1" applyBorder="1" applyAlignment="1">
      <alignment/>
    </xf>
    <xf numFmtId="0" fontId="49" fillId="9" borderId="32" xfId="0" applyFont="1" applyFill="1" applyBorder="1" applyAlignment="1">
      <alignment horizontal="center"/>
    </xf>
    <xf numFmtId="0" fontId="49" fillId="9" borderId="33" xfId="0" applyFont="1" applyFill="1" applyBorder="1" applyAlignment="1">
      <alignment horizontal="center"/>
    </xf>
    <xf numFmtId="166" fontId="0" fillId="9" borderId="34" xfId="0" applyNumberFormat="1" applyFont="1" applyFill="1" applyBorder="1" applyAlignment="1">
      <alignment horizontal="center"/>
    </xf>
    <xf numFmtId="166" fontId="0" fillId="9" borderId="35" xfId="0" applyNumberFormat="1" applyFont="1" applyFill="1" applyBorder="1" applyAlignment="1">
      <alignment horizontal="center"/>
    </xf>
    <xf numFmtId="166" fontId="0" fillId="9" borderId="36" xfId="0" applyNumberFormat="1" applyFont="1" applyFill="1" applyBorder="1" applyAlignment="1">
      <alignment horizontal="center"/>
    </xf>
    <xf numFmtId="1" fontId="0" fillId="9" borderId="34" xfId="0" applyNumberFormat="1" applyFont="1" applyFill="1" applyBorder="1" applyAlignment="1">
      <alignment horizontal="center" vertical="center"/>
    </xf>
    <xf numFmtId="1" fontId="0" fillId="9" borderId="37" xfId="0" applyNumberFormat="1" applyFont="1" applyFill="1" applyBorder="1" applyAlignment="1">
      <alignment horizontal="center" vertical="center"/>
    </xf>
    <xf numFmtId="1" fontId="0" fillId="9" borderId="38" xfId="0" applyNumberFormat="1" applyFont="1" applyFill="1" applyBorder="1" applyAlignment="1">
      <alignment horizontal="center" vertical="center"/>
    </xf>
    <xf numFmtId="0" fontId="45" fillId="0" borderId="39" xfId="0" applyFont="1" applyBorder="1" applyAlignment="1">
      <alignment horizontal="center"/>
    </xf>
    <xf numFmtId="0" fontId="50" fillId="7" borderId="40" xfId="0" applyFont="1" applyFill="1" applyBorder="1" applyAlignment="1">
      <alignment horizontal="left" vertical="center"/>
    </xf>
    <xf numFmtId="0" fontId="50" fillId="7" borderId="40" xfId="0" applyFont="1" applyFill="1" applyBorder="1" applyAlignment="1">
      <alignment vertical="center"/>
    </xf>
    <xf numFmtId="0" fontId="50" fillId="7" borderId="40" xfId="0" applyFont="1" applyFill="1" applyBorder="1" applyAlignment="1">
      <alignment/>
    </xf>
    <xf numFmtId="0" fontId="50" fillId="7" borderId="41" xfId="0" applyFont="1" applyFill="1" applyBorder="1" applyAlignment="1">
      <alignment/>
    </xf>
    <xf numFmtId="166" fontId="50" fillId="7" borderId="32" xfId="0" applyNumberFormat="1" applyFont="1" applyFill="1" applyBorder="1" applyAlignment="1">
      <alignment/>
    </xf>
    <xf numFmtId="3" fontId="50" fillId="7" borderId="33" xfId="0" applyNumberFormat="1" applyFont="1" applyFill="1" applyBorder="1" applyAlignment="1">
      <alignment/>
    </xf>
    <xf numFmtId="0" fontId="45" fillId="0" borderId="31" xfId="0" applyFont="1" applyBorder="1" applyAlignment="1">
      <alignment horizontal="center"/>
    </xf>
    <xf numFmtId="0" fontId="51" fillId="7" borderId="23" xfId="0" applyFont="1" applyFill="1" applyBorder="1" applyAlignment="1">
      <alignment/>
    </xf>
    <xf numFmtId="0" fontId="51" fillId="7" borderId="42" xfId="0" applyFont="1" applyFill="1" applyBorder="1" applyAlignment="1">
      <alignment/>
    </xf>
    <xf numFmtId="0" fontId="45" fillId="7" borderId="0" xfId="0" applyFont="1" applyFill="1" applyBorder="1" applyAlignment="1">
      <alignment/>
    </xf>
    <xf numFmtId="0" fontId="51" fillId="7" borderId="0" xfId="0" applyFont="1" applyFill="1" applyBorder="1" applyAlignment="1">
      <alignment/>
    </xf>
    <xf numFmtId="0" fontId="51" fillId="7" borderId="43" xfId="0" applyFont="1" applyFill="1" applyBorder="1" applyAlignment="1">
      <alignment/>
    </xf>
    <xf numFmtId="166" fontId="52" fillId="7" borderId="44" xfId="0" applyNumberFormat="1" applyFont="1" applyFill="1" applyBorder="1" applyAlignment="1">
      <alignment/>
    </xf>
    <xf numFmtId="3" fontId="53" fillId="7" borderId="31" xfId="0" applyNumberFormat="1" applyFont="1" applyFill="1" applyBorder="1" applyAlignment="1">
      <alignment/>
    </xf>
    <xf numFmtId="0" fontId="51" fillId="7" borderId="45" xfId="0" applyFont="1" applyFill="1" applyBorder="1" applyAlignment="1">
      <alignment/>
    </xf>
    <xf numFmtId="0" fontId="51" fillId="7" borderId="46" xfId="0" applyFont="1" applyFill="1" applyBorder="1" applyAlignment="1">
      <alignment/>
    </xf>
    <xf numFmtId="0" fontId="45" fillId="7" borderId="47" xfId="0" applyFont="1" applyFill="1" applyBorder="1" applyAlignment="1">
      <alignment/>
    </xf>
    <xf numFmtId="0" fontId="51" fillId="7" borderId="47" xfId="0" applyFont="1" applyFill="1" applyBorder="1" applyAlignment="1">
      <alignment/>
    </xf>
    <xf numFmtId="0" fontId="51" fillId="7" borderId="48" xfId="0" applyFont="1" applyFill="1" applyBorder="1" applyAlignment="1">
      <alignment/>
    </xf>
    <xf numFmtId="166" fontId="52" fillId="7" borderId="49" xfId="0" applyNumberFormat="1" applyFont="1" applyFill="1" applyBorder="1" applyAlignment="1">
      <alignment/>
    </xf>
    <xf numFmtId="3" fontId="53" fillId="7" borderId="50" xfId="0" applyNumberFormat="1" applyFont="1" applyFill="1" applyBorder="1" applyAlignment="1">
      <alignment/>
    </xf>
    <xf numFmtId="0" fontId="52" fillId="10" borderId="23" xfId="0" applyFont="1" applyFill="1" applyBorder="1" applyAlignment="1">
      <alignment horizontal="center"/>
    </xf>
    <xf numFmtId="0" fontId="54" fillId="10" borderId="23" xfId="0" applyFont="1" applyFill="1" applyBorder="1" applyAlignment="1">
      <alignment/>
    </xf>
    <xf numFmtId="0" fontId="45" fillId="10" borderId="0" xfId="0" applyFont="1" applyFill="1" applyBorder="1" applyAlignment="1">
      <alignment/>
    </xf>
    <xf numFmtId="0" fontId="45" fillId="10" borderId="43" xfId="0" applyFont="1" applyFill="1" applyBorder="1" applyAlignment="1">
      <alignment/>
    </xf>
    <xf numFmtId="166" fontId="53" fillId="10" borderId="44" xfId="0" applyNumberFormat="1" applyFont="1" applyFill="1" applyBorder="1" applyAlignment="1">
      <alignment/>
    </xf>
    <xf numFmtId="3" fontId="53" fillId="10" borderId="39" xfId="0" applyNumberFormat="1" applyFont="1" applyFill="1" applyBorder="1" applyAlignment="1">
      <alignment/>
    </xf>
    <xf numFmtId="3" fontId="53" fillId="10" borderId="31" xfId="0" applyNumberFormat="1" applyFont="1" applyFill="1" applyBorder="1" applyAlignment="1">
      <alignment/>
    </xf>
    <xf numFmtId="0" fontId="55" fillId="0" borderId="23" xfId="0" applyFont="1" applyFill="1" applyBorder="1" applyAlignment="1">
      <alignment horizontal="center"/>
    </xf>
    <xf numFmtId="49" fontId="51" fillId="3" borderId="0" xfId="0" applyNumberFormat="1" applyFont="1" applyFill="1" applyBorder="1" applyAlignment="1">
      <alignment horizontal="left"/>
    </xf>
    <xf numFmtId="0" fontId="56" fillId="3" borderId="0" xfId="0" applyFont="1" applyFill="1" applyBorder="1" applyAlignment="1">
      <alignment/>
    </xf>
    <xf numFmtId="0" fontId="45" fillId="3" borderId="0" xfId="0" applyFont="1" applyFill="1" applyBorder="1" applyAlignment="1">
      <alignment/>
    </xf>
    <xf numFmtId="0" fontId="51" fillId="3" borderId="43" xfId="0" applyFont="1" applyFill="1" applyBorder="1" applyAlignment="1">
      <alignment/>
    </xf>
    <xf numFmtId="166" fontId="51" fillId="3" borderId="44" xfId="0" applyNumberFormat="1" applyFont="1" applyFill="1" applyBorder="1" applyAlignment="1">
      <alignment horizontal="right"/>
    </xf>
    <xf numFmtId="3" fontId="51" fillId="3" borderId="31" xfId="0" applyNumberFormat="1" applyFont="1" applyFill="1" applyBorder="1" applyAlignment="1">
      <alignment horizontal="right"/>
    </xf>
    <xf numFmtId="0" fontId="45" fillId="0" borderId="0" xfId="0" applyFont="1" applyFill="1" applyAlignment="1">
      <alignment/>
    </xf>
    <xf numFmtId="0" fontId="52" fillId="0" borderId="23" xfId="0" applyFont="1" applyFill="1" applyBorder="1" applyAlignment="1">
      <alignment horizontal="center"/>
    </xf>
    <xf numFmtId="0" fontId="54" fillId="0" borderId="0" xfId="0" applyFont="1" applyFill="1" applyBorder="1" applyAlignment="1">
      <alignment/>
    </xf>
    <xf numFmtId="0" fontId="0" fillId="7" borderId="0" xfId="0" applyFont="1" applyFill="1" applyBorder="1" applyAlignment="1">
      <alignment/>
    </xf>
    <xf numFmtId="0" fontId="0" fillId="7" borderId="43" xfId="0" applyFont="1" applyFill="1" applyBorder="1" applyAlignment="1">
      <alignment/>
    </xf>
    <xf numFmtId="166" fontId="51" fillId="7" borderId="44" xfId="0" applyNumberFormat="1" applyFont="1" applyFill="1" applyBorder="1" applyAlignment="1">
      <alignment/>
    </xf>
    <xf numFmtId="3" fontId="51" fillId="7" borderId="31" xfId="0" applyNumberFormat="1" applyFont="1" applyFill="1" applyBorder="1" applyAlignment="1">
      <alignment/>
    </xf>
    <xf numFmtId="0" fontId="45" fillId="0" borderId="0" xfId="0" applyFont="1" applyBorder="1" applyAlignment="1">
      <alignment horizontal="center"/>
    </xf>
    <xf numFmtId="49" fontId="52" fillId="15" borderId="21" xfId="0" applyNumberFormat="1" applyFont="1" applyFill="1" applyBorder="1" applyAlignment="1">
      <alignment horizontal="center"/>
    </xf>
    <xf numFmtId="49" fontId="53" fillId="15" borderId="13" xfId="0" applyNumberFormat="1" applyFont="1" applyFill="1" applyBorder="1" applyAlignment="1">
      <alignment horizontal="left"/>
    </xf>
    <xf numFmtId="0" fontId="53" fillId="15" borderId="14" xfId="0" applyFont="1" applyFill="1" applyBorder="1" applyAlignment="1">
      <alignment/>
    </xf>
    <xf numFmtId="0" fontId="53" fillId="15" borderId="51" xfId="0" applyFont="1" applyFill="1" applyBorder="1" applyAlignment="1">
      <alignment/>
    </xf>
    <xf numFmtId="166" fontId="53" fillId="15" borderId="52" xfId="0" applyNumberFormat="1" applyFont="1" applyFill="1" applyBorder="1" applyAlignment="1">
      <alignment horizontal="right"/>
    </xf>
    <xf numFmtId="3" fontId="51" fillId="15" borderId="53" xfId="0" applyNumberFormat="1" applyFont="1" applyFill="1" applyBorder="1" applyAlignment="1">
      <alignment horizontal="right"/>
    </xf>
    <xf numFmtId="0" fontId="45" fillId="0" borderId="0" xfId="0" applyFont="1" applyFill="1" applyBorder="1" applyAlignment="1">
      <alignment horizontal="center"/>
    </xf>
    <xf numFmtId="49" fontId="57" fillId="0" borderId="20" xfId="0" applyNumberFormat="1" applyFont="1" applyFill="1" applyBorder="1" applyAlignment="1">
      <alignment horizontal="right"/>
    </xf>
    <xf numFmtId="0" fontId="45" fillId="0" borderId="21" xfId="0" applyFont="1" applyBorder="1" applyAlignment="1">
      <alignment horizontal="center"/>
    </xf>
    <xf numFmtId="0" fontId="45" fillId="8" borderId="20" xfId="0" applyFont="1" applyFill="1" applyBorder="1" applyAlignment="1">
      <alignment/>
    </xf>
    <xf numFmtId="0" fontId="45" fillId="8" borderId="23" xfId="0" applyFont="1" applyFill="1" applyBorder="1" applyAlignment="1">
      <alignment/>
    </xf>
    <xf numFmtId="166" fontId="45" fillId="0" borderId="0" xfId="0" applyNumberFormat="1" applyFont="1" applyFill="1" applyBorder="1" applyAlignment="1">
      <alignment horizontal="right"/>
    </xf>
    <xf numFmtId="3" fontId="45" fillId="0" borderId="31" xfId="0" applyNumberFormat="1" applyFont="1" applyFill="1" applyBorder="1" applyAlignment="1">
      <alignment horizontal="right"/>
    </xf>
    <xf numFmtId="0" fontId="45" fillId="0" borderId="15" xfId="0" applyFont="1" applyBorder="1" applyAlignment="1">
      <alignment horizontal="center"/>
    </xf>
    <xf numFmtId="0" fontId="45" fillId="0" borderId="13" xfId="0" applyFont="1" applyFill="1" applyBorder="1" applyAlignment="1">
      <alignment/>
    </xf>
    <xf numFmtId="0" fontId="45" fillId="0" borderId="22" xfId="0" applyFont="1" applyFill="1" applyBorder="1" applyAlignment="1">
      <alignment/>
    </xf>
    <xf numFmtId="166" fontId="45" fillId="0" borderId="14" xfId="0" applyNumberFormat="1" applyFont="1" applyFill="1" applyBorder="1" applyAlignment="1">
      <alignment horizontal="right"/>
    </xf>
    <xf numFmtId="3" fontId="45" fillId="0" borderId="53" xfId="0" applyNumberFormat="1" applyFont="1" applyFill="1" applyBorder="1" applyAlignment="1">
      <alignment horizontal="right"/>
    </xf>
    <xf numFmtId="0" fontId="45" fillId="8" borderId="13" xfId="0" applyFont="1" applyFill="1" applyBorder="1" applyAlignment="1">
      <alignment/>
    </xf>
    <xf numFmtId="0" fontId="45" fillId="8" borderId="22" xfId="0" applyFont="1" applyFill="1" applyBorder="1" applyAlignment="1">
      <alignment/>
    </xf>
    <xf numFmtId="0" fontId="45" fillId="8" borderId="17" xfId="0" applyFont="1" applyFill="1" applyBorder="1" applyAlignment="1">
      <alignment/>
    </xf>
    <xf numFmtId="0" fontId="45" fillId="8" borderId="24" xfId="0" applyFont="1" applyFill="1" applyBorder="1" applyAlignment="1">
      <alignment/>
    </xf>
    <xf numFmtId="166" fontId="45" fillId="0" borderId="18" xfId="0" applyNumberFormat="1" applyFont="1" applyFill="1" applyBorder="1" applyAlignment="1">
      <alignment horizontal="right"/>
    </xf>
    <xf numFmtId="3" fontId="45" fillId="0" borderId="37" xfId="0" applyNumberFormat="1" applyFont="1" applyFill="1" applyBorder="1" applyAlignment="1">
      <alignment horizontal="right"/>
    </xf>
    <xf numFmtId="0" fontId="45" fillId="7" borderId="0" xfId="0" applyFont="1" applyFill="1" applyBorder="1" applyAlignment="1">
      <alignment/>
    </xf>
    <xf numFmtId="0" fontId="45" fillId="8" borderId="51" xfId="0" applyFont="1" applyFill="1" applyBorder="1" applyAlignment="1">
      <alignment/>
    </xf>
    <xf numFmtId="166" fontId="45" fillId="0" borderId="52" xfId="0" applyNumberFormat="1" applyFont="1" applyFill="1" applyBorder="1" applyAlignment="1">
      <alignment horizontal="right"/>
    </xf>
    <xf numFmtId="0" fontId="45" fillId="0" borderId="23" xfId="0" applyFont="1" applyBorder="1" applyAlignment="1">
      <alignment horizontal="center"/>
    </xf>
    <xf numFmtId="0" fontId="0" fillId="3" borderId="0" xfId="0" applyFont="1" applyFill="1" applyBorder="1" applyAlignment="1">
      <alignment/>
    </xf>
    <xf numFmtId="0" fontId="53" fillId="3" borderId="43" xfId="0" applyFont="1" applyFill="1" applyBorder="1" applyAlignment="1">
      <alignment/>
    </xf>
    <xf numFmtId="166" fontId="53" fillId="3" borderId="44" xfId="0" applyNumberFormat="1" applyFont="1" applyFill="1" applyBorder="1" applyAlignment="1">
      <alignment horizontal="right"/>
    </xf>
    <xf numFmtId="3" fontId="53" fillId="3" borderId="31" xfId="0" applyNumberFormat="1" applyFont="1" applyFill="1" applyBorder="1" applyAlignment="1">
      <alignment horizontal="right"/>
    </xf>
    <xf numFmtId="0" fontId="45" fillId="0" borderId="23" xfId="0" applyFont="1" applyFill="1" applyBorder="1" applyAlignment="1">
      <alignment horizontal="center"/>
    </xf>
    <xf numFmtId="0" fontId="0" fillId="0" borderId="0" xfId="0" applyFill="1" applyAlignment="1">
      <alignment/>
    </xf>
    <xf numFmtId="49" fontId="52" fillId="15" borderId="23" xfId="0" applyNumberFormat="1" applyFont="1" applyFill="1" applyBorder="1" applyAlignment="1">
      <alignment horizontal="center"/>
    </xf>
    <xf numFmtId="0" fontId="53" fillId="15" borderId="13" xfId="0" applyFont="1" applyFill="1" applyBorder="1" applyAlignment="1">
      <alignment/>
    </xf>
    <xf numFmtId="0" fontId="51" fillId="15" borderId="51" xfId="0" applyFont="1" applyFill="1" applyBorder="1" applyAlignment="1">
      <alignment/>
    </xf>
    <xf numFmtId="166" fontId="51" fillId="15" borderId="52" xfId="0" applyNumberFormat="1" applyFont="1" applyFill="1" applyBorder="1" applyAlignment="1">
      <alignment horizontal="right"/>
    </xf>
    <xf numFmtId="49" fontId="57" fillId="0" borderId="23" xfId="0" applyNumberFormat="1" applyFont="1" applyFill="1" applyBorder="1" applyAlignment="1">
      <alignment horizontal="right"/>
    </xf>
    <xf numFmtId="0" fontId="45" fillId="0" borderId="21" xfId="0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0" fontId="45" fillId="0" borderId="43" xfId="0" applyFont="1" applyFill="1" applyBorder="1" applyAlignment="1">
      <alignment/>
    </xf>
    <xf numFmtId="166" fontId="51" fillId="0" borderId="44" xfId="0" applyNumberFormat="1" applyFont="1" applyFill="1" applyBorder="1" applyAlignment="1">
      <alignment horizontal="right"/>
    </xf>
    <xf numFmtId="0" fontId="45" fillId="0" borderId="15" xfId="0" applyFont="1" applyFill="1" applyBorder="1" applyAlignment="1">
      <alignment horizontal="center"/>
    </xf>
    <xf numFmtId="0" fontId="45" fillId="0" borderId="14" xfId="0" applyFont="1" applyFill="1" applyBorder="1" applyAlignment="1">
      <alignment/>
    </xf>
    <xf numFmtId="0" fontId="45" fillId="0" borderId="51" xfId="0" applyFont="1" applyFill="1" applyBorder="1" applyAlignment="1">
      <alignment/>
    </xf>
    <xf numFmtId="166" fontId="51" fillId="0" borderId="52" xfId="0" applyNumberFormat="1" applyFont="1" applyFill="1" applyBorder="1" applyAlignment="1">
      <alignment horizontal="right"/>
    </xf>
    <xf numFmtId="0" fontId="51" fillId="0" borderId="51" xfId="0" applyFont="1" applyFill="1" applyBorder="1" applyAlignment="1">
      <alignment/>
    </xf>
    <xf numFmtId="166" fontId="45" fillId="0" borderId="52" xfId="0" applyNumberFormat="1" applyFont="1" applyFill="1" applyBorder="1" applyAlignment="1">
      <alignment/>
    </xf>
    <xf numFmtId="3" fontId="45" fillId="0" borderId="53" xfId="0" applyNumberFormat="1" applyFont="1" applyFill="1" applyBorder="1" applyAlignment="1">
      <alignment/>
    </xf>
    <xf numFmtId="166" fontId="51" fillId="15" borderId="52" xfId="0" applyNumberFormat="1" applyFont="1" applyFill="1" applyBorder="1" applyAlignment="1">
      <alignment/>
    </xf>
    <xf numFmtId="3" fontId="51" fillId="15" borderId="53" xfId="0" applyNumberFormat="1" applyFont="1" applyFill="1" applyBorder="1" applyAlignment="1">
      <alignment/>
    </xf>
    <xf numFmtId="49" fontId="45" fillId="0" borderId="21" xfId="0" applyNumberFormat="1" applyFont="1" applyFill="1" applyBorder="1" applyAlignment="1">
      <alignment horizontal="center"/>
    </xf>
    <xf numFmtId="0" fontId="45" fillId="8" borderId="43" xfId="0" applyFont="1" applyFill="1" applyBorder="1" applyAlignment="1">
      <alignment/>
    </xf>
    <xf numFmtId="166" fontId="45" fillId="0" borderId="44" xfId="0" applyNumberFormat="1" applyFont="1" applyFill="1" applyBorder="1" applyAlignment="1">
      <alignment/>
    </xf>
    <xf numFmtId="3" fontId="45" fillId="0" borderId="31" xfId="0" applyNumberFormat="1" applyFont="1" applyFill="1" applyBorder="1" applyAlignment="1">
      <alignment/>
    </xf>
    <xf numFmtId="49" fontId="57" fillId="0" borderId="0" xfId="0" applyNumberFormat="1" applyFont="1" applyFill="1" applyBorder="1" applyAlignment="1">
      <alignment horizontal="right"/>
    </xf>
    <xf numFmtId="49" fontId="45" fillId="0" borderId="15" xfId="0" applyNumberFormat="1" applyFont="1" applyFill="1" applyBorder="1" applyAlignment="1">
      <alignment horizontal="center"/>
    </xf>
    <xf numFmtId="49" fontId="57" fillId="0" borderId="21" xfId="0" applyNumberFormat="1" applyFont="1" applyFill="1" applyBorder="1" applyAlignment="1">
      <alignment horizontal="right"/>
    </xf>
    <xf numFmtId="166" fontId="45" fillId="0" borderId="44" xfId="0" applyNumberFormat="1" applyFont="1" applyFill="1" applyBorder="1" applyAlignment="1">
      <alignment horizontal="right"/>
    </xf>
    <xf numFmtId="0" fontId="45" fillId="0" borderId="0" xfId="0" applyFont="1" applyBorder="1" applyAlignment="1">
      <alignment/>
    </xf>
    <xf numFmtId="0" fontId="45" fillId="0" borderId="20" xfId="0" applyFont="1" applyBorder="1" applyAlignment="1">
      <alignment/>
    </xf>
    <xf numFmtId="0" fontId="45" fillId="0" borderId="31" xfId="0" applyFont="1" applyBorder="1" applyAlignment="1">
      <alignment/>
    </xf>
    <xf numFmtId="0" fontId="45" fillId="0" borderId="0" xfId="0" applyFont="1" applyAlignment="1">
      <alignment/>
    </xf>
    <xf numFmtId="0" fontId="45" fillId="0" borderId="13" xfId="0" applyFont="1" applyBorder="1" applyAlignment="1">
      <alignment/>
    </xf>
    <xf numFmtId="0" fontId="45" fillId="0" borderId="14" xfId="0" applyFont="1" applyBorder="1" applyAlignment="1">
      <alignment/>
    </xf>
    <xf numFmtId="0" fontId="45" fillId="0" borderId="53" xfId="0" applyFont="1" applyBorder="1" applyAlignment="1">
      <alignment/>
    </xf>
    <xf numFmtId="0" fontId="54" fillId="0" borderId="20" xfId="0" applyFont="1" applyFill="1" applyBorder="1" applyAlignment="1">
      <alignment/>
    </xf>
    <xf numFmtId="166" fontId="53" fillId="15" borderId="52" xfId="0" applyNumberFormat="1" applyFont="1" applyFill="1" applyBorder="1" applyAlignment="1">
      <alignment/>
    </xf>
    <xf numFmtId="3" fontId="51" fillId="15" borderId="53" xfId="0" applyNumberFormat="1" applyFont="1" applyFill="1" applyBorder="1" applyAlignment="1">
      <alignment/>
    </xf>
    <xf numFmtId="0" fontId="51" fillId="0" borderId="43" xfId="0" applyFont="1" applyFill="1" applyBorder="1" applyAlignment="1">
      <alignment/>
    </xf>
    <xf numFmtId="166" fontId="51" fillId="0" borderId="44" xfId="0" applyNumberFormat="1" applyFont="1" applyFill="1" applyBorder="1" applyAlignment="1">
      <alignment/>
    </xf>
    <xf numFmtId="3" fontId="45" fillId="0" borderId="31" xfId="0" applyNumberFormat="1" applyFont="1" applyFill="1" applyBorder="1" applyAlignment="1">
      <alignment/>
    </xf>
    <xf numFmtId="166" fontId="51" fillId="0" borderId="52" xfId="0" applyNumberFormat="1" applyFont="1" applyFill="1" applyBorder="1" applyAlignment="1">
      <alignment/>
    </xf>
    <xf numFmtId="3" fontId="45" fillId="0" borderId="53" xfId="0" applyNumberFormat="1" applyFont="1" applyFill="1" applyBorder="1" applyAlignment="1">
      <alignment/>
    </xf>
    <xf numFmtId="0" fontId="52" fillId="10" borderId="0" xfId="0" applyFont="1" applyFill="1" applyBorder="1" applyAlignment="1">
      <alignment horizontal="center"/>
    </xf>
    <xf numFmtId="0" fontId="54" fillId="10" borderId="20" xfId="0" applyFont="1" applyFill="1" applyBorder="1" applyAlignment="1">
      <alignment/>
    </xf>
    <xf numFmtId="0" fontId="52" fillId="0" borderId="0" xfId="0" applyFont="1" applyFill="1" applyBorder="1" applyAlignment="1">
      <alignment horizontal="center"/>
    </xf>
    <xf numFmtId="49" fontId="55" fillId="15" borderId="21" xfId="0" applyNumberFormat="1" applyFont="1" applyFill="1" applyBorder="1" applyAlignment="1">
      <alignment horizontal="center"/>
    </xf>
    <xf numFmtId="0" fontId="45" fillId="0" borderId="20" xfId="0" applyFont="1" applyFill="1" applyBorder="1" applyAlignment="1">
      <alignment/>
    </xf>
    <xf numFmtId="0" fontId="54" fillId="10" borderId="0" xfId="0" applyFont="1" applyFill="1" applyBorder="1" applyAlignment="1">
      <alignment/>
    </xf>
    <xf numFmtId="0" fontId="51" fillId="10" borderId="43" xfId="0" applyFont="1" applyFill="1" applyBorder="1" applyAlignment="1">
      <alignment/>
    </xf>
    <xf numFmtId="49" fontId="55" fillId="15" borderId="23" xfId="0" applyNumberFormat="1" applyFont="1" applyFill="1" applyBorder="1" applyAlignment="1">
      <alignment horizontal="center"/>
    </xf>
    <xf numFmtId="0" fontId="57" fillId="0" borderId="0" xfId="0" applyFont="1" applyBorder="1" applyAlignment="1">
      <alignment horizontal="right"/>
    </xf>
    <xf numFmtId="0" fontId="45" fillId="0" borderId="14" xfId="0" applyFont="1" applyFill="1" applyBorder="1" applyAlignment="1">
      <alignment/>
    </xf>
    <xf numFmtId="0" fontId="51" fillId="0" borderId="51" xfId="0" applyFont="1" applyFill="1" applyBorder="1" applyAlignment="1">
      <alignment/>
    </xf>
    <xf numFmtId="166" fontId="53" fillId="0" borderId="52" xfId="0" applyNumberFormat="1" applyFont="1" applyFill="1" applyBorder="1" applyAlignment="1">
      <alignment/>
    </xf>
    <xf numFmtId="0" fontId="45" fillId="0" borderId="54" xfId="0" applyFont="1" applyBorder="1" applyAlignment="1">
      <alignment horizontal="center"/>
    </xf>
    <xf numFmtId="0" fontId="52" fillId="0" borderId="55" xfId="0" applyFont="1" applyFill="1" applyBorder="1" applyAlignment="1">
      <alignment horizontal="center"/>
    </xf>
    <xf numFmtId="0" fontId="57" fillId="0" borderId="56" xfId="0" applyFont="1" applyBorder="1" applyAlignment="1">
      <alignment horizontal="right"/>
    </xf>
    <xf numFmtId="0" fontId="45" fillId="0" borderId="57" xfId="0" applyFont="1" applyFill="1" applyBorder="1" applyAlignment="1">
      <alignment horizontal="center"/>
    </xf>
    <xf numFmtId="0" fontId="45" fillId="0" borderId="56" xfId="0" applyFont="1" applyFill="1" applyBorder="1" applyAlignment="1">
      <alignment/>
    </xf>
    <xf numFmtId="0" fontId="51" fillId="0" borderId="58" xfId="0" applyFont="1" applyFill="1" applyBorder="1" applyAlignment="1">
      <alignment/>
    </xf>
    <xf numFmtId="166" fontId="53" fillId="0" borderId="59" xfId="0" applyNumberFormat="1" applyFont="1" applyFill="1" applyBorder="1" applyAlignment="1">
      <alignment/>
    </xf>
    <xf numFmtId="3" fontId="49" fillId="0" borderId="54" xfId="0" applyNumberFormat="1" applyFont="1" applyFill="1" applyBorder="1" applyAlignment="1">
      <alignment/>
    </xf>
    <xf numFmtId="166" fontId="0" fillId="0" borderId="0" xfId="0" applyNumberFormat="1" applyFont="1" applyFill="1" applyAlignment="1">
      <alignment/>
    </xf>
    <xf numFmtId="3" fontId="46" fillId="0" borderId="0" xfId="0" applyNumberFormat="1" applyFont="1" applyFill="1" applyAlignment="1">
      <alignment/>
    </xf>
    <xf numFmtId="166" fontId="0" fillId="0" borderId="0" xfId="0" applyNumberFormat="1" applyFont="1" applyAlignment="1">
      <alignment/>
    </xf>
    <xf numFmtId="166" fontId="0" fillId="9" borderId="44" xfId="0" applyNumberFormat="1" applyFont="1" applyFill="1" applyBorder="1" applyAlignment="1">
      <alignment horizontal="center"/>
    </xf>
    <xf numFmtId="0" fontId="45" fillId="9" borderId="54" xfId="0" applyFont="1" applyFill="1" applyBorder="1" applyAlignment="1">
      <alignment horizontal="center"/>
    </xf>
    <xf numFmtId="0" fontId="45" fillId="9" borderId="60" xfId="0" applyFont="1" applyFill="1" applyBorder="1" applyAlignment="1">
      <alignment horizontal="center"/>
    </xf>
    <xf numFmtId="49" fontId="45" fillId="9" borderId="60" xfId="0" applyNumberFormat="1" applyFont="1" applyFill="1" applyBorder="1" applyAlignment="1">
      <alignment horizontal="center"/>
    </xf>
    <xf numFmtId="1" fontId="0" fillId="9" borderId="61" xfId="0" applyNumberFormat="1" applyFont="1" applyFill="1" applyBorder="1" applyAlignment="1">
      <alignment horizontal="center" vertical="center"/>
    </xf>
    <xf numFmtId="1" fontId="0" fillId="9" borderId="62" xfId="0" applyNumberFormat="1" applyFont="1" applyFill="1" applyBorder="1" applyAlignment="1">
      <alignment horizontal="center" vertical="center"/>
    </xf>
    <xf numFmtId="0" fontId="50" fillId="7" borderId="63" xfId="0" applyFont="1" applyFill="1" applyBorder="1" applyAlignment="1">
      <alignment horizontal="left" vertical="center"/>
    </xf>
    <xf numFmtId="0" fontId="50" fillId="7" borderId="64" xfId="0" applyFont="1" applyFill="1" applyBorder="1" applyAlignment="1">
      <alignment vertical="center"/>
    </xf>
    <xf numFmtId="0" fontId="58" fillId="7" borderId="64" xfId="0" applyFont="1" applyFill="1" applyBorder="1" applyAlignment="1">
      <alignment/>
    </xf>
    <xf numFmtId="0" fontId="50" fillId="7" borderId="64" xfId="0" applyFont="1" applyFill="1" applyBorder="1" applyAlignment="1">
      <alignment/>
    </xf>
    <xf numFmtId="0" fontId="58" fillId="7" borderId="36" xfId="0" applyFont="1" applyFill="1" applyBorder="1" applyAlignment="1">
      <alignment/>
    </xf>
    <xf numFmtId="166" fontId="50" fillId="7" borderId="63" xfId="0" applyNumberFormat="1" applyFont="1" applyFill="1" applyBorder="1" applyAlignment="1">
      <alignment/>
    </xf>
    <xf numFmtId="3" fontId="50" fillId="7" borderId="64" xfId="0" applyNumberFormat="1" applyFont="1" applyFill="1" applyBorder="1" applyAlignment="1">
      <alignment/>
    </xf>
    <xf numFmtId="0" fontId="51" fillId="7" borderId="65" xfId="0" applyFont="1" applyFill="1" applyBorder="1" applyAlignment="1">
      <alignment/>
    </xf>
    <xf numFmtId="166" fontId="53" fillId="7" borderId="44" xfId="0" applyNumberFormat="1" applyFont="1" applyFill="1" applyBorder="1" applyAlignment="1">
      <alignment/>
    </xf>
    <xf numFmtId="3" fontId="53" fillId="7" borderId="0" xfId="0" applyNumberFormat="1" applyFont="1" applyFill="1" applyBorder="1" applyAlignment="1">
      <alignment/>
    </xf>
    <xf numFmtId="3" fontId="53" fillId="7" borderId="31" xfId="0" applyNumberFormat="1" applyFont="1" applyFill="1" applyBorder="1" applyAlignment="1">
      <alignment/>
    </xf>
    <xf numFmtId="3" fontId="53" fillId="7" borderId="44" xfId="0" applyNumberFormat="1" applyFont="1" applyFill="1" applyBorder="1" applyAlignment="1">
      <alignment/>
    </xf>
    <xf numFmtId="0" fontId="51" fillId="7" borderId="66" xfId="0" applyFont="1" applyFill="1" applyBorder="1" applyAlignment="1">
      <alignment/>
    </xf>
    <xf numFmtId="166" fontId="53" fillId="7" borderId="49" xfId="0" applyNumberFormat="1" applyFont="1" applyFill="1" applyBorder="1" applyAlignment="1">
      <alignment/>
    </xf>
    <xf numFmtId="3" fontId="53" fillId="7" borderId="47" xfId="0" applyNumberFormat="1" applyFont="1" applyFill="1" applyBorder="1" applyAlignment="1">
      <alignment/>
    </xf>
    <xf numFmtId="3" fontId="53" fillId="7" borderId="50" xfId="0" applyNumberFormat="1" applyFont="1" applyFill="1" applyBorder="1" applyAlignment="1">
      <alignment/>
    </xf>
    <xf numFmtId="0" fontId="52" fillId="10" borderId="65" xfId="0" applyFont="1" applyFill="1" applyBorder="1" applyAlignment="1">
      <alignment horizontal="center"/>
    </xf>
    <xf numFmtId="3" fontId="53" fillId="10" borderId="0" xfId="0" applyNumberFormat="1" applyFont="1" applyFill="1" applyBorder="1" applyAlignment="1">
      <alignment/>
    </xf>
    <xf numFmtId="0" fontId="52" fillId="0" borderId="65" xfId="0" applyFont="1" applyFill="1" applyBorder="1" applyAlignment="1">
      <alignment horizontal="center"/>
    </xf>
    <xf numFmtId="3" fontId="51" fillId="7" borderId="0" xfId="0" applyNumberFormat="1" applyFont="1" applyFill="1" applyBorder="1" applyAlignment="1">
      <alignment/>
    </xf>
    <xf numFmtId="0" fontId="45" fillId="0" borderId="65" xfId="0" applyFont="1" applyBorder="1" applyAlignment="1">
      <alignment horizontal="center"/>
    </xf>
    <xf numFmtId="49" fontId="55" fillId="15" borderId="0" xfId="0" applyNumberFormat="1" applyFont="1" applyFill="1" applyBorder="1" applyAlignment="1">
      <alignment horizontal="center"/>
    </xf>
    <xf numFmtId="0" fontId="45" fillId="15" borderId="14" xfId="0" applyFont="1" applyFill="1" applyBorder="1" applyAlignment="1">
      <alignment/>
    </xf>
    <xf numFmtId="0" fontId="45" fillId="15" borderId="51" xfId="0" applyFont="1" applyFill="1" applyBorder="1" applyAlignment="1">
      <alignment/>
    </xf>
    <xf numFmtId="3" fontId="51" fillId="15" borderId="52" xfId="0" applyNumberFormat="1" applyFont="1" applyFill="1" applyBorder="1" applyAlignment="1">
      <alignment horizontal="right"/>
    </xf>
    <xf numFmtId="3" fontId="45" fillId="0" borderId="14" xfId="0" applyNumberFormat="1" applyFont="1" applyFill="1" applyBorder="1" applyAlignment="1">
      <alignment horizontal="right"/>
    </xf>
    <xf numFmtId="0" fontId="45" fillId="0" borderId="55" xfId="0" applyFont="1" applyBorder="1" applyAlignment="1">
      <alignment horizontal="center"/>
    </xf>
    <xf numFmtId="49" fontId="57" fillId="0" borderId="56" xfId="0" applyNumberFormat="1" applyFont="1" applyFill="1" applyBorder="1" applyAlignment="1">
      <alignment horizontal="right"/>
    </xf>
    <xf numFmtId="49" fontId="45" fillId="0" borderId="57" xfId="0" applyNumberFormat="1" applyFont="1" applyFill="1" applyBorder="1" applyAlignment="1">
      <alignment horizontal="center"/>
    </xf>
    <xf numFmtId="0" fontId="45" fillId="0" borderId="67" xfId="0" applyFont="1" applyFill="1" applyBorder="1" applyAlignment="1">
      <alignment/>
    </xf>
    <xf numFmtId="0" fontId="45" fillId="0" borderId="58" xfId="0" applyFont="1" applyFill="1" applyBorder="1" applyAlignment="1">
      <alignment/>
    </xf>
    <xf numFmtId="166" fontId="51" fillId="0" borderId="59" xfId="0" applyNumberFormat="1" applyFont="1" applyFill="1" applyBorder="1" applyAlignment="1">
      <alignment horizontal="right"/>
    </xf>
    <xf numFmtId="3" fontId="45" fillId="0" borderId="56" xfId="0" applyNumberFormat="1" applyFont="1" applyFill="1" applyBorder="1" applyAlignment="1">
      <alignment horizontal="right"/>
    </xf>
    <xf numFmtId="3" fontId="45" fillId="0" borderId="54" xfId="0" applyNumberFormat="1" applyFont="1" applyFill="1" applyBorder="1" applyAlignment="1">
      <alignment horizontal="right"/>
    </xf>
    <xf numFmtId="0" fontId="59" fillId="0" borderId="0" xfId="0" applyFont="1" applyBorder="1" applyAlignment="1">
      <alignment/>
    </xf>
    <xf numFmtId="0" fontId="25" fillId="0" borderId="0" xfId="0" applyFont="1" applyBorder="1" applyAlignment="1">
      <alignment/>
    </xf>
    <xf numFmtId="166" fontId="0" fillId="0" borderId="0" xfId="0" applyNumberFormat="1" applyFont="1" applyBorder="1" applyAlignment="1">
      <alignment/>
    </xf>
    <xf numFmtId="3" fontId="60" fillId="0" borderId="0" xfId="0" applyNumberFormat="1" applyFont="1" applyBorder="1" applyAlignment="1">
      <alignment/>
    </xf>
    <xf numFmtId="3" fontId="60" fillId="0" borderId="0" xfId="0" applyNumberFormat="1" applyFont="1" applyFill="1" applyAlignment="1">
      <alignment/>
    </xf>
    <xf numFmtId="0" fontId="56" fillId="7" borderId="32" xfId="0" applyFont="1" applyFill="1" applyBorder="1" applyAlignment="1">
      <alignment horizontal="left" vertical="center"/>
    </xf>
    <xf numFmtId="0" fontId="50" fillId="7" borderId="68" xfId="0" applyFont="1" applyFill="1" applyBorder="1" applyAlignment="1">
      <alignment vertical="center"/>
    </xf>
    <xf numFmtId="0" fontId="58" fillId="7" borderId="40" xfId="0" applyFont="1" applyFill="1" applyBorder="1" applyAlignment="1">
      <alignment/>
    </xf>
    <xf numFmtId="0" fontId="58" fillId="7" borderId="41" xfId="0" applyFont="1" applyFill="1" applyBorder="1" applyAlignment="1">
      <alignment/>
    </xf>
    <xf numFmtId="0" fontId="52" fillId="10" borderId="44" xfId="0" applyFont="1" applyFill="1" applyBorder="1" applyAlignment="1">
      <alignment horizontal="center"/>
    </xf>
    <xf numFmtId="0" fontId="52" fillId="0" borderId="44" xfId="0" applyFont="1" applyFill="1" applyBorder="1" applyAlignment="1">
      <alignment horizontal="center"/>
    </xf>
    <xf numFmtId="0" fontId="45" fillId="0" borderId="44" xfId="0" applyFont="1" applyBorder="1" applyAlignment="1">
      <alignment horizontal="center"/>
    </xf>
    <xf numFmtId="49" fontId="55" fillId="15" borderId="21" xfId="0" applyNumberFormat="1" applyFont="1" applyFill="1" applyBorder="1" applyAlignment="1">
      <alignment horizontal="right"/>
    </xf>
    <xf numFmtId="0" fontId="45" fillId="8" borderId="0" xfId="0" applyFont="1" applyFill="1" applyBorder="1" applyAlignment="1">
      <alignment/>
    </xf>
    <xf numFmtId="3" fontId="45" fillId="0" borderId="0" xfId="0" applyNumberFormat="1" applyFont="1" applyFill="1" applyBorder="1" applyAlignment="1">
      <alignment horizontal="right"/>
    </xf>
    <xf numFmtId="0" fontId="45" fillId="8" borderId="14" xfId="0" applyFont="1" applyFill="1" applyBorder="1" applyAlignment="1">
      <alignment/>
    </xf>
    <xf numFmtId="0" fontId="54" fillId="10" borderId="44" xfId="0" applyFont="1" applyFill="1" applyBorder="1" applyAlignment="1">
      <alignment horizontal="center"/>
    </xf>
    <xf numFmtId="0" fontId="54" fillId="10" borderId="43" xfId="0" applyFont="1" applyFill="1" applyBorder="1" applyAlignment="1">
      <alignment/>
    </xf>
    <xf numFmtId="166" fontId="45" fillId="10" borderId="44" xfId="0" applyNumberFormat="1" applyFont="1" applyFill="1" applyBorder="1" applyAlignment="1">
      <alignment horizontal="right"/>
    </xf>
    <xf numFmtId="3" fontId="53" fillId="10" borderId="31" xfId="0" applyNumberFormat="1" applyFont="1" applyFill="1" applyBorder="1" applyAlignment="1">
      <alignment horizontal="right"/>
    </xf>
    <xf numFmtId="3" fontId="53" fillId="10" borderId="0" xfId="0" applyNumberFormat="1" applyFont="1" applyFill="1" applyBorder="1" applyAlignment="1">
      <alignment horizontal="right"/>
    </xf>
    <xf numFmtId="0" fontId="0" fillId="0" borderId="44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45" fillId="0" borderId="44" xfId="0" applyFont="1" applyFill="1" applyBorder="1" applyAlignment="1">
      <alignment horizontal="center"/>
    </xf>
    <xf numFmtId="0" fontId="45" fillId="8" borderId="15" xfId="0" applyFont="1" applyFill="1" applyBorder="1" applyAlignment="1">
      <alignment horizontal="center"/>
    </xf>
    <xf numFmtId="0" fontId="45" fillId="8" borderId="21" xfId="0" applyFont="1" applyFill="1" applyBorder="1" applyAlignment="1">
      <alignment horizontal="center"/>
    </xf>
    <xf numFmtId="0" fontId="49" fillId="0" borderId="15" xfId="0" applyFont="1" applyFill="1" applyBorder="1" applyAlignment="1">
      <alignment horizontal="center"/>
    </xf>
    <xf numFmtId="0" fontId="37" fillId="0" borderId="59" xfId="0" applyFont="1" applyFill="1" applyBorder="1" applyAlignment="1">
      <alignment horizontal="center"/>
    </xf>
    <xf numFmtId="49" fontId="39" fillId="0" borderId="57" xfId="0" applyNumberFormat="1" applyFont="1" applyFill="1" applyBorder="1" applyAlignment="1">
      <alignment horizontal="right"/>
    </xf>
    <xf numFmtId="0" fontId="37" fillId="0" borderId="57" xfId="0" applyFont="1" applyFill="1" applyBorder="1" applyAlignment="1">
      <alignment horizontal="center"/>
    </xf>
    <xf numFmtId="0" fontId="37" fillId="0" borderId="67" xfId="0" applyFont="1" applyFill="1" applyBorder="1" applyAlignment="1">
      <alignment/>
    </xf>
    <xf numFmtId="0" fontId="37" fillId="0" borderId="58" xfId="0" applyFont="1" applyFill="1" applyBorder="1" applyAlignment="1">
      <alignment/>
    </xf>
    <xf numFmtId="166" fontId="37" fillId="0" borderId="59" xfId="0" applyNumberFormat="1" applyFont="1" applyFill="1" applyBorder="1" applyAlignment="1">
      <alignment horizontal="right"/>
    </xf>
    <xf numFmtId="3" fontId="37" fillId="0" borderId="54" xfId="0" applyNumberFormat="1" applyFont="1" applyFill="1" applyBorder="1" applyAlignment="1">
      <alignment horizontal="right"/>
    </xf>
    <xf numFmtId="3" fontId="37" fillId="0" borderId="56" xfId="0" applyNumberFormat="1" applyFont="1" applyFill="1" applyBorder="1" applyAlignment="1">
      <alignment horizontal="right"/>
    </xf>
    <xf numFmtId="1" fontId="0" fillId="9" borderId="69" xfId="0" applyNumberFormat="1" applyFont="1" applyFill="1" applyBorder="1" applyAlignment="1">
      <alignment horizontal="center" vertical="center"/>
    </xf>
    <xf numFmtId="166" fontId="61" fillId="7" borderId="32" xfId="0" applyNumberFormat="1" applyFont="1" applyFill="1" applyBorder="1" applyAlignment="1">
      <alignment/>
    </xf>
    <xf numFmtId="3" fontId="53" fillId="7" borderId="48" xfId="0" applyNumberFormat="1" applyFont="1" applyFill="1" applyBorder="1" applyAlignment="1">
      <alignment/>
    </xf>
    <xf numFmtId="3" fontId="51" fillId="7" borderId="43" xfId="0" applyNumberFormat="1" applyFont="1" applyFill="1" applyBorder="1" applyAlignment="1">
      <alignment/>
    </xf>
    <xf numFmtId="3" fontId="45" fillId="0" borderId="43" xfId="0" applyNumberFormat="1" applyFont="1" applyFill="1" applyBorder="1" applyAlignment="1">
      <alignment horizontal="right"/>
    </xf>
    <xf numFmtId="3" fontId="45" fillId="0" borderId="51" xfId="0" applyNumberFormat="1" applyFont="1" applyFill="1" applyBorder="1" applyAlignment="1">
      <alignment horizontal="right"/>
    </xf>
    <xf numFmtId="3" fontId="53" fillId="10" borderId="43" xfId="0" applyNumberFormat="1" applyFont="1" applyFill="1" applyBorder="1" applyAlignment="1">
      <alignment/>
    </xf>
    <xf numFmtId="0" fontId="0" fillId="15" borderId="51" xfId="0" applyFont="1" applyFill="1" applyBorder="1" applyAlignment="1">
      <alignment/>
    </xf>
    <xf numFmtId="3" fontId="45" fillId="0" borderId="43" xfId="0" applyNumberFormat="1" applyFont="1" applyBorder="1" applyAlignment="1">
      <alignment/>
    </xf>
    <xf numFmtId="3" fontId="45" fillId="0" borderId="51" xfId="0" applyNumberFormat="1" applyFont="1" applyBorder="1" applyAlignment="1">
      <alignment/>
    </xf>
    <xf numFmtId="0" fontId="45" fillId="7" borderId="43" xfId="0" applyFont="1" applyFill="1" applyBorder="1" applyAlignment="1">
      <alignment/>
    </xf>
    <xf numFmtId="166" fontId="45" fillId="7" borderId="44" xfId="0" applyNumberFormat="1" applyFont="1" applyFill="1" applyBorder="1" applyAlignment="1">
      <alignment horizontal="right"/>
    </xf>
    <xf numFmtId="3" fontId="51" fillId="7" borderId="31" xfId="0" applyNumberFormat="1" applyFont="1" applyFill="1" applyBorder="1" applyAlignment="1">
      <alignment horizontal="right"/>
    </xf>
    <xf numFmtId="0" fontId="57" fillId="0" borderId="21" xfId="0" applyFont="1" applyBorder="1" applyAlignment="1">
      <alignment horizontal="right"/>
    </xf>
    <xf numFmtId="0" fontId="0" fillId="0" borderId="51" xfId="0" applyFont="1" applyFill="1" applyBorder="1" applyAlignment="1">
      <alignment/>
    </xf>
    <xf numFmtId="0" fontId="56" fillId="0" borderId="0" xfId="0" applyFont="1" applyBorder="1" applyAlignment="1">
      <alignment horizontal="center"/>
    </xf>
    <xf numFmtId="0" fontId="56" fillId="15" borderId="51" xfId="0" applyFont="1" applyFill="1" applyBorder="1" applyAlignment="1">
      <alignment/>
    </xf>
    <xf numFmtId="0" fontId="56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45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57" fillId="0" borderId="0" xfId="0" applyFont="1" applyBorder="1" applyAlignment="1">
      <alignment/>
    </xf>
    <xf numFmtId="0" fontId="45" fillId="0" borderId="14" xfId="0" applyFont="1" applyBorder="1" applyAlignment="1">
      <alignment/>
    </xf>
    <xf numFmtId="0" fontId="45" fillId="0" borderId="51" xfId="0" applyFont="1" applyBorder="1" applyAlignment="1">
      <alignment/>
    </xf>
    <xf numFmtId="0" fontId="54" fillId="10" borderId="0" xfId="0" applyFont="1" applyFill="1" applyBorder="1" applyAlignment="1">
      <alignment horizontal="center"/>
    </xf>
    <xf numFmtId="0" fontId="0" fillId="10" borderId="0" xfId="0" applyFont="1" applyFill="1" applyBorder="1" applyAlignment="1">
      <alignment/>
    </xf>
    <xf numFmtId="0" fontId="0" fillId="10" borderId="43" xfId="0" applyFont="1" applyFill="1" applyBorder="1" applyAlignment="1">
      <alignment/>
    </xf>
    <xf numFmtId="166" fontId="56" fillId="10" borderId="44" xfId="0" applyNumberFormat="1" applyFont="1" applyFill="1" applyBorder="1" applyAlignment="1">
      <alignment/>
    </xf>
    <xf numFmtId="0" fontId="45" fillId="0" borderId="56" xfId="0" applyFont="1" applyBorder="1" applyAlignment="1">
      <alignment horizontal="center"/>
    </xf>
    <xf numFmtId="49" fontId="57" fillId="0" borderId="57" xfId="0" applyNumberFormat="1" applyFont="1" applyFill="1" applyBorder="1" applyAlignment="1">
      <alignment horizontal="right"/>
    </xf>
    <xf numFmtId="0" fontId="45" fillId="8" borderId="67" xfId="0" applyFont="1" applyFill="1" applyBorder="1" applyAlignment="1">
      <alignment/>
    </xf>
    <xf numFmtId="0" fontId="45" fillId="8" borderId="58" xfId="0" applyFont="1" applyFill="1" applyBorder="1" applyAlignment="1">
      <alignment/>
    </xf>
    <xf numFmtId="166" fontId="45" fillId="0" borderId="59" xfId="0" applyNumberFormat="1" applyFont="1" applyFill="1" applyBorder="1" applyAlignment="1">
      <alignment horizontal="right"/>
    </xf>
    <xf numFmtId="3" fontId="45" fillId="0" borderId="58" xfId="0" applyNumberFormat="1" applyFont="1" applyFill="1" applyBorder="1" applyAlignment="1">
      <alignment horizontal="right"/>
    </xf>
    <xf numFmtId="0" fontId="54" fillId="10" borderId="0" xfId="0" applyFont="1" applyFill="1" applyBorder="1" applyAlignment="1">
      <alignment horizontal="left"/>
    </xf>
    <xf numFmtId="0" fontId="54" fillId="0" borderId="0" xfId="0" applyFont="1" applyFill="1" applyBorder="1" applyAlignment="1">
      <alignment horizontal="right"/>
    </xf>
    <xf numFmtId="49" fontId="55" fillId="15" borderId="0" xfId="0" applyNumberFormat="1" applyFont="1" applyFill="1" applyBorder="1" applyAlignment="1">
      <alignment horizontal="right"/>
    </xf>
    <xf numFmtId="166" fontId="51" fillId="7" borderId="44" xfId="0" applyNumberFormat="1" applyFont="1" applyFill="1" applyBorder="1" applyAlignment="1">
      <alignment horizontal="right"/>
    </xf>
    <xf numFmtId="3" fontId="45" fillId="15" borderId="53" xfId="0" applyNumberFormat="1" applyFont="1" applyFill="1" applyBorder="1" applyAlignment="1">
      <alignment horizontal="right"/>
    </xf>
    <xf numFmtId="166" fontId="51" fillId="0" borderId="14" xfId="0" applyNumberFormat="1" applyFont="1" applyFill="1" applyBorder="1" applyAlignment="1">
      <alignment horizontal="right"/>
    </xf>
    <xf numFmtId="0" fontId="45" fillId="0" borderId="55" xfId="0" applyFont="1" applyFill="1" applyBorder="1" applyAlignment="1">
      <alignment horizontal="center"/>
    </xf>
    <xf numFmtId="0" fontId="45" fillId="0" borderId="56" xfId="0" applyFont="1" applyFill="1" applyBorder="1" applyAlignment="1">
      <alignment/>
    </xf>
    <xf numFmtId="0" fontId="62" fillId="0" borderId="13" xfId="0" applyFont="1" applyFill="1" applyBorder="1" applyAlignment="1">
      <alignment/>
    </xf>
    <xf numFmtId="0" fontId="62" fillId="0" borderId="51" xfId="0" applyFont="1" applyFill="1" applyBorder="1" applyAlignment="1">
      <alignment/>
    </xf>
    <xf numFmtId="166" fontId="63" fillId="0" borderId="52" xfId="0" applyNumberFormat="1" applyFont="1" applyFill="1" applyBorder="1" applyAlignment="1">
      <alignment horizontal="right"/>
    </xf>
    <xf numFmtId="0" fontId="52" fillId="10" borderId="70" xfId="0" applyFont="1" applyFill="1" applyBorder="1" applyAlignment="1">
      <alignment horizontal="center"/>
    </xf>
    <xf numFmtId="0" fontId="54" fillId="10" borderId="71" xfId="0" applyFont="1" applyFill="1" applyBorder="1" applyAlignment="1">
      <alignment/>
    </xf>
    <xf numFmtId="0" fontId="45" fillId="10" borderId="71" xfId="0" applyFont="1" applyFill="1" applyBorder="1" applyAlignment="1">
      <alignment/>
    </xf>
    <xf numFmtId="0" fontId="45" fillId="10" borderId="72" xfId="0" applyFont="1" applyFill="1" applyBorder="1" applyAlignment="1">
      <alignment/>
    </xf>
    <xf numFmtId="166" fontId="53" fillId="10" borderId="73" xfId="0" applyNumberFormat="1" applyFont="1" applyFill="1" applyBorder="1" applyAlignment="1">
      <alignment/>
    </xf>
    <xf numFmtId="49" fontId="45" fillId="0" borderId="74" xfId="0" applyNumberFormat="1" applyFont="1" applyFill="1" applyBorder="1" applyAlignment="1">
      <alignment horizontal="center"/>
    </xf>
    <xf numFmtId="0" fontId="45" fillId="8" borderId="75" xfId="0" applyFont="1" applyFill="1" applyBorder="1" applyAlignment="1">
      <alignment/>
    </xf>
    <xf numFmtId="0" fontId="45" fillId="8" borderId="69" xfId="0" applyFont="1" applyFill="1" applyBorder="1" applyAlignment="1">
      <alignment/>
    </xf>
    <xf numFmtId="166" fontId="45" fillId="0" borderId="61" xfId="0" applyNumberFormat="1" applyFont="1" applyFill="1" applyBorder="1" applyAlignment="1">
      <alignment horizontal="right"/>
    </xf>
    <xf numFmtId="3" fontId="45" fillId="0" borderId="62" xfId="0" applyNumberFormat="1" applyFont="1" applyFill="1" applyBorder="1" applyAlignment="1">
      <alignment horizontal="right"/>
    </xf>
    <xf numFmtId="166" fontId="0" fillId="9" borderId="63" xfId="0" applyNumberFormat="1" applyFont="1" applyFill="1" applyBorder="1" applyAlignment="1">
      <alignment horizontal="center"/>
    </xf>
    <xf numFmtId="0" fontId="61" fillId="7" borderId="40" xfId="0" applyFont="1" applyFill="1" applyBorder="1" applyAlignment="1">
      <alignment vertical="center"/>
    </xf>
    <xf numFmtId="0" fontId="64" fillId="7" borderId="40" xfId="0" applyFont="1" applyFill="1" applyBorder="1" applyAlignment="1">
      <alignment/>
    </xf>
    <xf numFmtId="0" fontId="64" fillId="7" borderId="41" xfId="0" applyFont="1" applyFill="1" applyBorder="1" applyAlignment="1">
      <alignment/>
    </xf>
    <xf numFmtId="0" fontId="53" fillId="0" borderId="43" xfId="0" applyFont="1" applyFill="1" applyBorder="1" applyAlignment="1">
      <alignment/>
    </xf>
    <xf numFmtId="166" fontId="51" fillId="0" borderId="44" xfId="0" applyNumberFormat="1" applyFont="1" applyFill="1" applyBorder="1" applyAlignment="1">
      <alignment/>
    </xf>
    <xf numFmtId="3" fontId="45" fillId="0" borderId="0" xfId="0" applyNumberFormat="1" applyFont="1" applyFill="1" applyBorder="1" applyAlignment="1">
      <alignment/>
    </xf>
    <xf numFmtId="0" fontId="53" fillId="0" borderId="51" xfId="0" applyFont="1" applyFill="1" applyBorder="1" applyAlignment="1">
      <alignment/>
    </xf>
    <xf numFmtId="166" fontId="51" fillId="0" borderId="52" xfId="0" applyNumberFormat="1" applyFont="1" applyFill="1" applyBorder="1" applyAlignment="1">
      <alignment/>
    </xf>
    <xf numFmtId="3" fontId="45" fillId="0" borderId="14" xfId="0" applyNumberFormat="1" applyFont="1" applyFill="1" applyBorder="1" applyAlignment="1">
      <alignment/>
    </xf>
    <xf numFmtId="166" fontId="49" fillId="0" borderId="44" xfId="0" applyNumberFormat="1" applyFont="1" applyFill="1" applyBorder="1" applyAlignment="1">
      <alignment/>
    </xf>
    <xf numFmtId="166" fontId="49" fillId="0" borderId="52" xfId="0" applyNumberFormat="1" applyFont="1" applyFill="1" applyBorder="1" applyAlignment="1">
      <alignment/>
    </xf>
    <xf numFmtId="3" fontId="51" fillId="7" borderId="0" xfId="0" applyNumberFormat="1" applyFont="1" applyFill="1" applyBorder="1" applyAlignment="1">
      <alignment horizontal="right"/>
    </xf>
    <xf numFmtId="3" fontId="51" fillId="15" borderId="14" xfId="0" applyNumberFormat="1" applyFont="1" applyFill="1" applyBorder="1" applyAlignment="1">
      <alignment horizontal="right"/>
    </xf>
    <xf numFmtId="3" fontId="51" fillId="3" borderId="0" xfId="0" applyNumberFormat="1" applyFont="1" applyFill="1" applyBorder="1" applyAlignment="1">
      <alignment horizontal="right"/>
    </xf>
    <xf numFmtId="0" fontId="0" fillId="0" borderId="23" xfId="0" applyFont="1" applyBorder="1" applyAlignment="1">
      <alignment horizontal="center"/>
    </xf>
    <xf numFmtId="49" fontId="51" fillId="3" borderId="0" xfId="0" applyNumberFormat="1" applyFont="1" applyFill="1" applyBorder="1" applyAlignment="1">
      <alignment horizontal="right"/>
    </xf>
    <xf numFmtId="0" fontId="45" fillId="3" borderId="43" xfId="0" applyFont="1" applyFill="1" applyBorder="1" applyAlignment="1">
      <alignment/>
    </xf>
    <xf numFmtId="166" fontId="45" fillId="3" borderId="44" xfId="0" applyNumberFormat="1" applyFont="1" applyFill="1" applyBorder="1" applyAlignment="1">
      <alignment horizontal="right"/>
    </xf>
    <xf numFmtId="3" fontId="45" fillId="7" borderId="31" xfId="0" applyNumberFormat="1" applyFont="1" applyFill="1" applyBorder="1" applyAlignment="1">
      <alignment horizontal="right"/>
    </xf>
    <xf numFmtId="3" fontId="45" fillId="7" borderId="0" xfId="0" applyNumberFormat="1" applyFont="1" applyFill="1" applyBorder="1" applyAlignment="1">
      <alignment horizontal="right"/>
    </xf>
    <xf numFmtId="0" fontId="51" fillId="0" borderId="23" xfId="0" applyFont="1" applyBorder="1" applyAlignment="1">
      <alignment horizontal="center"/>
    </xf>
    <xf numFmtId="49" fontId="45" fillId="0" borderId="13" xfId="0" applyNumberFormat="1" applyFont="1" applyFill="1" applyBorder="1" applyAlignment="1">
      <alignment horizontal="center"/>
    </xf>
    <xf numFmtId="0" fontId="37" fillId="8" borderId="0" xfId="0" applyFont="1" applyFill="1" applyBorder="1" applyAlignment="1">
      <alignment/>
    </xf>
    <xf numFmtId="4" fontId="45" fillId="0" borderId="0" xfId="0" applyNumberFormat="1" applyFont="1" applyAlignment="1">
      <alignment/>
    </xf>
    <xf numFmtId="0" fontId="0" fillId="0" borderId="0" xfId="0" applyFont="1" applyAlignment="1">
      <alignment/>
    </xf>
    <xf numFmtId="166" fontId="0" fillId="9" borderId="76" xfId="0" applyNumberFormat="1" applyFont="1" applyFill="1" applyBorder="1" applyAlignment="1">
      <alignment horizontal="center"/>
    </xf>
    <xf numFmtId="0" fontId="45" fillId="0" borderId="70" xfId="0" applyFont="1" applyFill="1" applyBorder="1" applyAlignment="1">
      <alignment horizontal="center"/>
    </xf>
    <xf numFmtId="0" fontId="50" fillId="7" borderId="68" xfId="0" applyFont="1" applyFill="1" applyBorder="1" applyAlignment="1">
      <alignment horizontal="left" vertical="center"/>
    </xf>
    <xf numFmtId="3" fontId="56" fillId="7" borderId="33" xfId="0" applyNumberFormat="1" applyFont="1" applyFill="1" applyBorder="1" applyAlignment="1">
      <alignment/>
    </xf>
    <xf numFmtId="0" fontId="45" fillId="0" borderId="65" xfId="0" applyFont="1" applyFill="1" applyBorder="1" applyAlignment="1">
      <alignment horizontal="center"/>
    </xf>
    <xf numFmtId="0" fontId="52" fillId="10" borderId="21" xfId="0" applyFont="1" applyFill="1" applyBorder="1" applyAlignment="1">
      <alignment horizontal="center"/>
    </xf>
    <xf numFmtId="0" fontId="52" fillId="0" borderId="21" xfId="0" applyFont="1" applyFill="1" applyBorder="1" applyAlignment="1">
      <alignment horizontal="center"/>
    </xf>
    <xf numFmtId="0" fontId="62" fillId="8" borderId="13" xfId="0" applyFont="1" applyFill="1" applyBorder="1" applyAlignment="1">
      <alignment/>
    </xf>
    <xf numFmtId="0" fontId="65" fillId="8" borderId="51" xfId="0" applyFont="1" applyFill="1" applyBorder="1" applyAlignment="1">
      <alignment/>
    </xf>
    <xf numFmtId="166" fontId="65" fillId="0" borderId="52" xfId="0" applyNumberFormat="1" applyFont="1" applyFill="1" applyBorder="1" applyAlignment="1">
      <alignment horizontal="right"/>
    </xf>
    <xf numFmtId="3" fontId="62" fillId="0" borderId="53" xfId="0" applyNumberFormat="1" applyFont="1" applyFill="1" applyBorder="1" applyAlignment="1">
      <alignment horizontal="right"/>
    </xf>
    <xf numFmtId="3" fontId="62" fillId="0" borderId="14" xfId="0" applyNumberFormat="1" applyFont="1" applyFill="1" applyBorder="1" applyAlignment="1">
      <alignment horizontal="right"/>
    </xf>
    <xf numFmtId="49" fontId="45" fillId="0" borderId="23" xfId="0" applyNumberFormat="1" applyFont="1" applyFill="1" applyBorder="1" applyAlignment="1">
      <alignment horizontal="right"/>
    </xf>
    <xf numFmtId="0" fontId="52" fillId="8" borderId="21" xfId="0" applyFont="1" applyFill="1" applyBorder="1" applyAlignment="1">
      <alignment horizontal="center"/>
    </xf>
    <xf numFmtId="0" fontId="54" fillId="8" borderId="77" xfId="0" applyFont="1" applyFill="1" applyBorder="1" applyAlignment="1">
      <alignment/>
    </xf>
    <xf numFmtId="0" fontId="62" fillId="8" borderId="14" xfId="0" applyFont="1" applyFill="1" applyBorder="1" applyAlignment="1">
      <alignment/>
    </xf>
    <xf numFmtId="0" fontId="66" fillId="8" borderId="78" xfId="0" applyFont="1" applyFill="1" applyBorder="1" applyAlignment="1">
      <alignment/>
    </xf>
    <xf numFmtId="166" fontId="63" fillId="8" borderId="79" xfId="0" applyNumberFormat="1" applyFont="1" applyFill="1" applyBorder="1" applyAlignment="1">
      <alignment/>
    </xf>
    <xf numFmtId="3" fontId="62" fillId="8" borderId="53" xfId="0" applyNumberFormat="1" applyFont="1" applyFill="1" applyBorder="1" applyAlignment="1">
      <alignment/>
    </xf>
    <xf numFmtId="0" fontId="66" fillId="8" borderId="14" xfId="0" applyFont="1" applyFill="1" applyBorder="1" applyAlignment="1">
      <alignment/>
    </xf>
    <xf numFmtId="166" fontId="63" fillId="8" borderId="14" xfId="0" applyNumberFormat="1" applyFont="1" applyFill="1" applyBorder="1" applyAlignment="1">
      <alignment/>
    </xf>
    <xf numFmtId="0" fontId="0" fillId="8" borderId="14" xfId="0" applyFont="1" applyFill="1" applyBorder="1" applyAlignment="1">
      <alignment/>
    </xf>
    <xf numFmtId="166" fontId="51" fillId="8" borderId="14" xfId="0" applyNumberFormat="1" applyFont="1" applyFill="1" applyBorder="1" applyAlignment="1">
      <alignment/>
    </xf>
    <xf numFmtId="3" fontId="45" fillId="8" borderId="53" xfId="0" applyNumberFormat="1" applyFont="1" applyFill="1" applyBorder="1" applyAlignment="1">
      <alignment/>
    </xf>
    <xf numFmtId="0" fontId="65" fillId="8" borderId="22" xfId="0" applyFont="1" applyFill="1" applyBorder="1" applyAlignment="1">
      <alignment/>
    </xf>
    <xf numFmtId="166" fontId="65" fillId="0" borderId="0" xfId="0" applyNumberFormat="1" applyFont="1" applyFill="1" applyBorder="1" applyAlignment="1">
      <alignment horizontal="right"/>
    </xf>
    <xf numFmtId="3" fontId="62" fillId="8" borderId="15" xfId="0" applyNumberFormat="1" applyFont="1" applyFill="1" applyBorder="1" applyAlignment="1">
      <alignment/>
    </xf>
    <xf numFmtId="0" fontId="47" fillId="0" borderId="43" xfId="0" applyFont="1" applyFill="1" applyBorder="1" applyAlignment="1">
      <alignment/>
    </xf>
    <xf numFmtId="166" fontId="47" fillId="0" borderId="44" xfId="0" applyNumberFormat="1" applyFont="1" applyFill="1" applyBorder="1" applyAlignment="1">
      <alignment horizontal="right"/>
    </xf>
    <xf numFmtId="0" fontId="45" fillId="0" borderId="57" xfId="0" applyFont="1" applyBorder="1" applyAlignment="1">
      <alignment horizontal="center"/>
    </xf>
    <xf numFmtId="49" fontId="57" fillId="0" borderId="60" xfId="0" applyNumberFormat="1" applyFont="1" applyFill="1" applyBorder="1" applyAlignment="1">
      <alignment horizontal="right"/>
    </xf>
    <xf numFmtId="166" fontId="25" fillId="0" borderId="0" xfId="0" applyNumberFormat="1" applyFont="1" applyAlignment="1">
      <alignment/>
    </xf>
    <xf numFmtId="0" fontId="50" fillId="7" borderId="76" xfId="0" applyFont="1" applyFill="1" applyBorder="1" applyAlignment="1">
      <alignment horizontal="left" vertical="center"/>
    </xf>
    <xf numFmtId="166" fontId="50" fillId="7" borderId="63" xfId="0" applyNumberFormat="1" applyFont="1" applyFill="1" applyBorder="1" applyAlignment="1">
      <alignment/>
    </xf>
    <xf numFmtId="3" fontId="50" fillId="7" borderId="35" xfId="0" applyNumberFormat="1" applyFont="1" applyFill="1" applyBorder="1" applyAlignment="1">
      <alignment/>
    </xf>
    <xf numFmtId="3" fontId="56" fillId="7" borderId="35" xfId="0" applyNumberFormat="1" applyFont="1" applyFill="1" applyBorder="1" applyAlignment="1">
      <alignment/>
    </xf>
    <xf numFmtId="167" fontId="53" fillId="10" borderId="44" xfId="0" applyNumberFormat="1" applyFont="1" applyFill="1" applyBorder="1" applyAlignment="1">
      <alignment/>
    </xf>
    <xf numFmtId="3" fontId="53" fillId="10" borderId="44" xfId="0" applyNumberFormat="1" applyFont="1" applyFill="1" applyBorder="1" applyAlignment="1">
      <alignment/>
    </xf>
    <xf numFmtId="167" fontId="51" fillId="7" borderId="44" xfId="0" applyNumberFormat="1" applyFont="1" applyFill="1" applyBorder="1" applyAlignment="1">
      <alignment/>
    </xf>
    <xf numFmtId="3" fontId="51" fillId="7" borderId="44" xfId="0" applyNumberFormat="1" applyFont="1" applyFill="1" applyBorder="1" applyAlignment="1">
      <alignment/>
    </xf>
    <xf numFmtId="167" fontId="51" fillId="15" borderId="52" xfId="0" applyNumberFormat="1" applyFont="1" applyFill="1" applyBorder="1" applyAlignment="1">
      <alignment horizontal="right"/>
    </xf>
    <xf numFmtId="3" fontId="53" fillId="10" borderId="31" xfId="0" applyNumberFormat="1" applyFont="1" applyFill="1" applyBorder="1" applyAlignment="1">
      <alignment/>
    </xf>
    <xf numFmtId="3" fontId="53" fillId="10" borderId="44" xfId="0" applyNumberFormat="1" applyFont="1" applyFill="1" applyBorder="1" applyAlignment="1">
      <alignment/>
    </xf>
    <xf numFmtId="3" fontId="51" fillId="15" borderId="52" xfId="0" applyNumberFormat="1" applyFont="1" applyFill="1" applyBorder="1" applyAlignment="1">
      <alignment/>
    </xf>
    <xf numFmtId="3" fontId="45" fillId="0" borderId="52" xfId="0" applyNumberFormat="1" applyFont="1" applyFill="1" applyBorder="1" applyAlignment="1">
      <alignment horizontal="right"/>
    </xf>
    <xf numFmtId="166" fontId="45" fillId="7" borderId="0" xfId="0" applyNumberFormat="1" applyFont="1" applyFill="1" applyBorder="1" applyAlignment="1">
      <alignment horizontal="right"/>
    </xf>
    <xf numFmtId="0" fontId="56" fillId="10" borderId="23" xfId="0" applyFont="1" applyFill="1" applyBorder="1" applyAlignment="1">
      <alignment horizontal="center"/>
    </xf>
    <xf numFmtId="0" fontId="0" fillId="10" borderId="80" xfId="0" applyFont="1" applyFill="1" applyBorder="1" applyAlignment="1">
      <alignment/>
    </xf>
    <xf numFmtId="166" fontId="0" fillId="10" borderId="44" xfId="0" applyNumberFormat="1" applyFont="1" applyFill="1" applyBorder="1" applyAlignment="1">
      <alignment horizontal="right"/>
    </xf>
    <xf numFmtId="3" fontId="53" fillId="10" borderId="44" xfId="0" applyNumberFormat="1" applyFont="1" applyFill="1" applyBorder="1" applyAlignment="1">
      <alignment horizontal="right"/>
    </xf>
    <xf numFmtId="3" fontId="45" fillId="7" borderId="44" xfId="0" applyNumberFormat="1" applyFont="1" applyFill="1" applyBorder="1" applyAlignment="1">
      <alignment horizontal="right"/>
    </xf>
    <xf numFmtId="3" fontId="45" fillId="15" borderId="52" xfId="0" applyNumberFormat="1" applyFont="1" applyFill="1" applyBorder="1" applyAlignment="1">
      <alignment horizontal="right"/>
    </xf>
    <xf numFmtId="0" fontId="62" fillId="8" borderId="51" xfId="0" applyFont="1" applyFill="1" applyBorder="1" applyAlignment="1">
      <alignment/>
    </xf>
    <xf numFmtId="166" fontId="62" fillId="0" borderId="52" xfId="0" applyNumberFormat="1" applyFont="1" applyFill="1" applyBorder="1" applyAlignment="1">
      <alignment horizontal="right"/>
    </xf>
    <xf numFmtId="3" fontId="62" fillId="0" borderId="52" xfId="0" applyNumberFormat="1" applyFont="1" applyFill="1" applyBorder="1" applyAlignment="1">
      <alignment horizontal="right"/>
    </xf>
    <xf numFmtId="166" fontId="45" fillId="0" borderId="54" xfId="0" applyNumberFormat="1" applyFont="1" applyFill="1" applyBorder="1" applyAlignment="1">
      <alignment horizontal="right"/>
    </xf>
    <xf numFmtId="3" fontId="45" fillId="0" borderId="54" xfId="0" applyNumberFormat="1" applyFont="1" applyBorder="1" applyAlignment="1">
      <alignment/>
    </xf>
    <xf numFmtId="3" fontId="45" fillId="0" borderId="59" xfId="0" applyNumberFormat="1" applyFont="1" applyFill="1" applyBorder="1" applyAlignment="1">
      <alignment horizontal="right"/>
    </xf>
    <xf numFmtId="0" fontId="27" fillId="0" borderId="0" xfId="0" applyFont="1" applyAlignment="1">
      <alignment/>
    </xf>
    <xf numFmtId="0" fontId="32" fillId="0" borderId="0" xfId="0" applyFont="1" applyFill="1" applyBorder="1" applyAlignment="1">
      <alignment/>
    </xf>
    <xf numFmtId="3" fontId="32" fillId="0" borderId="0" xfId="0" applyNumberFormat="1" applyFont="1" applyFill="1" applyBorder="1" applyAlignment="1">
      <alignment horizontal="right"/>
    </xf>
    <xf numFmtId="0" fontId="56" fillId="10" borderId="73" xfId="0" applyFont="1" applyFill="1" applyBorder="1" applyAlignment="1">
      <alignment vertical="center"/>
    </xf>
    <xf numFmtId="0" fontId="56" fillId="10" borderId="72" xfId="0" applyFont="1" applyFill="1" applyBorder="1" applyAlignment="1">
      <alignment vertical="center"/>
    </xf>
    <xf numFmtId="0" fontId="56" fillId="10" borderId="44" xfId="0" applyFont="1" applyFill="1" applyBorder="1" applyAlignment="1">
      <alignment horizontal="left" vertical="center"/>
    </xf>
    <xf numFmtId="0" fontId="56" fillId="10" borderId="0" xfId="0" applyFont="1" applyFill="1" applyBorder="1" applyAlignment="1">
      <alignment horizontal="left" vertical="center"/>
    </xf>
    <xf numFmtId="0" fontId="0" fillId="10" borderId="29" xfId="0" applyFont="1" applyFill="1" applyBorder="1" applyAlignment="1">
      <alignment horizontal="center"/>
    </xf>
    <xf numFmtId="0" fontId="0" fillId="10" borderId="33" xfId="0" applyFont="1" applyFill="1" applyBorder="1" applyAlignment="1">
      <alignment horizontal="center"/>
    </xf>
    <xf numFmtId="0" fontId="0" fillId="10" borderId="35" xfId="0" applyFont="1" applyFill="1" applyBorder="1" applyAlignment="1">
      <alignment horizontal="center"/>
    </xf>
    <xf numFmtId="0" fontId="56" fillId="10" borderId="59" xfId="0" applyFont="1" applyFill="1" applyBorder="1" applyAlignment="1">
      <alignment horizontal="left" vertical="center"/>
    </xf>
    <xf numFmtId="0" fontId="56" fillId="10" borderId="56" xfId="0" applyFont="1" applyFill="1" applyBorder="1" applyAlignment="1">
      <alignment horizontal="left" vertical="center"/>
    </xf>
    <xf numFmtId="0" fontId="5" fillId="10" borderId="31" xfId="0" applyFont="1" applyFill="1" applyBorder="1" applyAlignment="1">
      <alignment horizontal="center" vertical="center"/>
    </xf>
    <xf numFmtId="0" fontId="5" fillId="10" borderId="62" xfId="0" applyFont="1" applyFill="1" applyBorder="1" applyAlignment="1">
      <alignment horizontal="center" vertical="center"/>
    </xf>
    <xf numFmtId="0" fontId="54" fillId="0" borderId="73" xfId="0" applyFont="1" applyFill="1" applyBorder="1" applyAlignment="1">
      <alignment horizontal="left" vertical="center"/>
    </xf>
    <xf numFmtId="0" fontId="0" fillId="0" borderId="71" xfId="0" applyFont="1" applyFill="1" applyBorder="1" applyAlignment="1">
      <alignment horizontal="left" vertical="center"/>
    </xf>
    <xf numFmtId="3" fontId="67" fillId="0" borderId="39" xfId="0" applyNumberFormat="1" applyFont="1" applyBorder="1" applyAlignment="1">
      <alignment/>
    </xf>
    <xf numFmtId="0" fontId="67" fillId="0" borderId="39" xfId="0" applyFont="1" applyBorder="1" applyAlignment="1">
      <alignment/>
    </xf>
    <xf numFmtId="0" fontId="0" fillId="0" borderId="52" xfId="0" applyFont="1" applyBorder="1" applyAlignment="1">
      <alignment/>
    </xf>
    <xf numFmtId="0" fontId="0" fillId="0" borderId="14" xfId="0" applyFont="1" applyBorder="1" applyAlignment="1">
      <alignment/>
    </xf>
    <xf numFmtId="3" fontId="0" fillId="0" borderId="53" xfId="0" applyNumberFormat="1" applyFont="1" applyBorder="1" applyAlignment="1">
      <alignment/>
    </xf>
    <xf numFmtId="0" fontId="0" fillId="0" borderId="44" xfId="0" applyFont="1" applyBorder="1" applyAlignment="1">
      <alignment/>
    </xf>
    <xf numFmtId="0" fontId="0" fillId="0" borderId="0" xfId="0" applyFont="1" applyBorder="1" applyAlignment="1">
      <alignment/>
    </xf>
    <xf numFmtId="3" fontId="0" fillId="0" borderId="31" xfId="0" applyNumberFormat="1" applyFont="1" applyBorder="1" applyAlignment="1">
      <alignment/>
    </xf>
    <xf numFmtId="0" fontId="56" fillId="15" borderId="26" xfId="0" applyFont="1" applyFill="1" applyBorder="1" applyAlignment="1">
      <alignment/>
    </xf>
    <xf numFmtId="0" fontId="56" fillId="15" borderId="27" xfId="0" applyFont="1" applyFill="1" applyBorder="1" applyAlignment="1">
      <alignment/>
    </xf>
    <xf numFmtId="3" fontId="56" fillId="15" borderId="29" xfId="0" applyNumberFormat="1" applyFont="1" applyFill="1" applyBorder="1" applyAlignment="1">
      <alignment/>
    </xf>
    <xf numFmtId="3" fontId="56" fillId="0" borderId="0" xfId="0" applyNumberFormat="1" applyFont="1" applyAlignment="1">
      <alignment/>
    </xf>
    <xf numFmtId="0" fontId="56" fillId="0" borderId="44" xfId="0" applyFont="1" applyFill="1" applyBorder="1" applyAlignment="1">
      <alignment/>
    </xf>
    <xf numFmtId="0" fontId="56" fillId="0" borderId="0" xfId="0" applyFont="1" applyFill="1" applyBorder="1" applyAlignment="1">
      <alignment/>
    </xf>
    <xf numFmtId="3" fontId="0" fillId="0" borderId="31" xfId="0" applyNumberFormat="1" applyFont="1" applyFill="1" applyBorder="1" applyAlignment="1">
      <alignment/>
    </xf>
    <xf numFmtId="0" fontId="54" fillId="0" borderId="52" xfId="0" applyFont="1" applyFill="1" applyBorder="1" applyAlignment="1">
      <alignment/>
    </xf>
    <xf numFmtId="0" fontId="54" fillId="0" borderId="14" xfId="0" applyFont="1" applyFill="1" applyBorder="1" applyAlignment="1">
      <alignment/>
    </xf>
    <xf numFmtId="0" fontId="0" fillId="0" borderId="65" xfId="0" applyFont="1" applyBorder="1" applyAlignment="1">
      <alignment/>
    </xf>
    <xf numFmtId="0" fontId="0" fillId="0" borderId="20" xfId="0" applyFont="1" applyBorder="1" applyAlignment="1">
      <alignment/>
    </xf>
    <xf numFmtId="0" fontId="56" fillId="15" borderId="81" xfId="0" applyFont="1" applyFill="1" applyBorder="1" applyAlignment="1">
      <alignment/>
    </xf>
    <xf numFmtId="0" fontId="0" fillId="0" borderId="26" xfId="0" applyFont="1" applyBorder="1" applyAlignment="1">
      <alignment/>
    </xf>
    <xf numFmtId="166" fontId="0" fillId="0" borderId="31" xfId="0" applyNumberFormat="1" applyFont="1" applyBorder="1" applyAlignment="1">
      <alignment/>
    </xf>
    <xf numFmtId="3" fontId="56" fillId="7" borderId="29" xfId="0" applyNumberFormat="1" applyFont="1" applyFill="1" applyBorder="1" applyAlignment="1">
      <alignment/>
    </xf>
    <xf numFmtId="0" fontId="5" fillId="10" borderId="54" xfId="0" applyFont="1" applyFill="1" applyBorder="1" applyAlignment="1">
      <alignment horizontal="center" vertical="center"/>
    </xf>
    <xf numFmtId="3" fontId="0" fillId="15" borderId="64" xfId="0" applyNumberFormat="1" applyFill="1" applyBorder="1" applyAlignment="1">
      <alignment/>
    </xf>
    <xf numFmtId="3" fontId="0" fillId="15" borderId="16" xfId="0" applyNumberFormat="1" applyFill="1" applyBorder="1" applyAlignment="1">
      <alignment/>
    </xf>
    <xf numFmtId="3" fontId="0" fillId="15" borderId="82" xfId="0" applyNumberFormat="1" applyFill="1" applyBorder="1" applyAlignment="1">
      <alignment/>
    </xf>
    <xf numFmtId="3" fontId="0" fillId="3" borderId="14" xfId="0" applyNumberFormat="1" applyFill="1" applyBorder="1" applyAlignment="1">
      <alignment/>
    </xf>
    <xf numFmtId="3" fontId="0" fillId="3" borderId="15" xfId="0" applyNumberFormat="1" applyFill="1" applyBorder="1" applyAlignment="1">
      <alignment/>
    </xf>
    <xf numFmtId="3" fontId="0" fillId="3" borderId="83" xfId="0" applyNumberFormat="1" applyFill="1" applyBorder="1" applyAlignment="1">
      <alignment/>
    </xf>
    <xf numFmtId="3" fontId="0" fillId="4" borderId="14" xfId="0" applyNumberFormat="1" applyFill="1" applyBorder="1" applyAlignment="1">
      <alignment/>
    </xf>
    <xf numFmtId="3" fontId="0" fillId="4" borderId="15" xfId="0" applyNumberFormat="1" applyFill="1" applyBorder="1" applyAlignment="1">
      <alignment/>
    </xf>
    <xf numFmtId="3" fontId="0" fillId="4" borderId="83" xfId="0" applyNumberFormat="1" applyFill="1" applyBorder="1" applyAlignment="1">
      <alignment/>
    </xf>
    <xf numFmtId="3" fontId="0" fillId="0" borderId="0" xfId="0" applyNumberFormat="1" applyBorder="1" applyAlignment="1">
      <alignment/>
    </xf>
    <xf numFmtId="0" fontId="0" fillId="0" borderId="43" xfId="0" applyBorder="1" applyAlignment="1">
      <alignment/>
    </xf>
    <xf numFmtId="3" fontId="0" fillId="15" borderId="22" xfId="0" applyNumberFormat="1" applyFont="1" applyFill="1" applyBorder="1" applyAlignment="1">
      <alignment/>
    </xf>
    <xf numFmtId="3" fontId="0" fillId="15" borderId="15" xfId="0" applyNumberFormat="1" applyFont="1" applyFill="1" applyBorder="1" applyAlignment="1">
      <alignment/>
    </xf>
    <xf numFmtId="3" fontId="0" fillId="15" borderId="15" xfId="0" applyNumberFormat="1" applyFill="1" applyBorder="1" applyAlignment="1">
      <alignment/>
    </xf>
    <xf numFmtId="3" fontId="0" fillId="15" borderId="83" xfId="0" applyNumberFormat="1" applyFill="1" applyBorder="1" applyAlignment="1">
      <alignment/>
    </xf>
    <xf numFmtId="3" fontId="0" fillId="3" borderId="22" xfId="0" applyNumberFormat="1" applyFont="1" applyFill="1" applyBorder="1" applyAlignment="1">
      <alignment/>
    </xf>
    <xf numFmtId="3" fontId="0" fillId="3" borderId="15" xfId="0" applyNumberFormat="1" applyFont="1" applyFill="1" applyBorder="1" applyAlignment="1">
      <alignment/>
    </xf>
    <xf numFmtId="3" fontId="0" fillId="3" borderId="15" xfId="0" applyNumberFormat="1" applyFill="1" applyBorder="1" applyAlignment="1">
      <alignment/>
    </xf>
    <xf numFmtId="3" fontId="0" fillId="3" borderId="83" xfId="0" applyNumberFormat="1" applyFill="1" applyBorder="1" applyAlignment="1">
      <alignment/>
    </xf>
    <xf numFmtId="3" fontId="0" fillId="4" borderId="22" xfId="0" applyNumberFormat="1" applyFont="1" applyFill="1" applyBorder="1" applyAlignment="1">
      <alignment/>
    </xf>
    <xf numFmtId="3" fontId="0" fillId="4" borderId="15" xfId="0" applyNumberFormat="1" applyFont="1" applyFill="1" applyBorder="1" applyAlignment="1">
      <alignment/>
    </xf>
    <xf numFmtId="3" fontId="0" fillId="4" borderId="83" xfId="0" applyNumberFormat="1" applyFont="1" applyFill="1" applyBorder="1" applyAlignment="1">
      <alignment/>
    </xf>
    <xf numFmtId="3" fontId="0" fillId="4" borderId="84" xfId="0" applyNumberFormat="1" applyFont="1" applyFill="1" applyBorder="1" applyAlignment="1">
      <alignment/>
    </xf>
    <xf numFmtId="3" fontId="0" fillId="4" borderId="74" xfId="0" applyNumberFormat="1" applyFont="1" applyFill="1" applyBorder="1" applyAlignment="1">
      <alignment/>
    </xf>
    <xf numFmtId="3" fontId="0" fillId="4" borderId="85" xfId="0" applyNumberFormat="1" applyFont="1" applyFill="1" applyBorder="1" applyAlignment="1">
      <alignment/>
    </xf>
    <xf numFmtId="0" fontId="56" fillId="0" borderId="0" xfId="0" applyFont="1" applyAlignment="1">
      <alignment/>
    </xf>
    <xf numFmtId="3" fontId="56" fillId="0" borderId="0" xfId="0" applyNumberFormat="1" applyFont="1" applyAlignment="1">
      <alignment/>
    </xf>
    <xf numFmtId="0" fontId="0" fillId="4" borderId="15" xfId="0" applyFont="1" applyFill="1" applyBorder="1" applyAlignment="1">
      <alignment horizontal="center"/>
    </xf>
    <xf numFmtId="3" fontId="0" fillId="4" borderId="15" xfId="0" applyNumberFormat="1" applyFont="1" applyFill="1" applyBorder="1" applyAlignment="1">
      <alignment horizontal="center"/>
    </xf>
    <xf numFmtId="0" fontId="56" fillId="7" borderId="14" xfId="0" applyFont="1" applyFill="1" applyBorder="1" applyAlignment="1">
      <alignment/>
    </xf>
    <xf numFmtId="0" fontId="56" fillId="7" borderId="22" xfId="0" applyFont="1" applyFill="1" applyBorder="1" applyAlignment="1">
      <alignment/>
    </xf>
    <xf numFmtId="3" fontId="56" fillId="0" borderId="15" xfId="0" applyNumberFormat="1" applyFont="1" applyBorder="1" applyAlignment="1">
      <alignment horizontal="center"/>
    </xf>
    <xf numFmtId="2" fontId="56" fillId="0" borderId="15" xfId="0" applyNumberFormat="1" applyFont="1" applyBorder="1" applyAlignment="1">
      <alignment horizontal="center"/>
    </xf>
    <xf numFmtId="0" fontId="0" fillId="15" borderId="13" xfId="0" applyFont="1" applyFill="1" applyBorder="1" applyAlignment="1">
      <alignment/>
    </xf>
    <xf numFmtId="0" fontId="56" fillId="15" borderId="14" xfId="0" applyFont="1" applyFill="1" applyBorder="1" applyAlignment="1">
      <alignment/>
    </xf>
    <xf numFmtId="0" fontId="56" fillId="15" borderId="22" xfId="0" applyFont="1" applyFill="1" applyBorder="1" applyAlignment="1">
      <alignment/>
    </xf>
    <xf numFmtId="2" fontId="0" fillId="15" borderId="15" xfId="0" applyNumberFormat="1" applyFill="1" applyBorder="1" applyAlignment="1">
      <alignment/>
    </xf>
    <xf numFmtId="0" fontId="0" fillId="3" borderId="13" xfId="0" applyFont="1" applyFill="1" applyBorder="1" applyAlignment="1">
      <alignment/>
    </xf>
    <xf numFmtId="0" fontId="56" fillId="3" borderId="14" xfId="0" applyFont="1" applyFill="1" applyBorder="1" applyAlignment="1">
      <alignment/>
    </xf>
    <xf numFmtId="0" fontId="56" fillId="3" borderId="14" xfId="0" applyFont="1" applyFill="1" applyBorder="1" applyAlignment="1">
      <alignment horizontal="center"/>
    </xf>
    <xf numFmtId="0" fontId="56" fillId="3" borderId="22" xfId="0" applyFont="1" applyFill="1" applyBorder="1" applyAlignment="1">
      <alignment horizontal="center"/>
    </xf>
    <xf numFmtId="2" fontId="0" fillId="3" borderId="15" xfId="0" applyNumberFormat="1" applyFill="1" applyBorder="1" applyAlignment="1">
      <alignment/>
    </xf>
    <xf numFmtId="0" fontId="0" fillId="10" borderId="13" xfId="0" applyFont="1" applyFill="1" applyBorder="1" applyAlignment="1">
      <alignment/>
    </xf>
    <xf numFmtId="0" fontId="0" fillId="10" borderId="14" xfId="0" applyFill="1" applyBorder="1" applyAlignment="1">
      <alignment/>
    </xf>
    <xf numFmtId="0" fontId="0" fillId="10" borderId="22" xfId="0" applyFill="1" applyBorder="1" applyAlignment="1">
      <alignment/>
    </xf>
    <xf numFmtId="3" fontId="0" fillId="10" borderId="15" xfId="0" applyNumberFormat="1" applyFill="1" applyBorder="1" applyAlignment="1">
      <alignment/>
    </xf>
    <xf numFmtId="2" fontId="0" fillId="10" borderId="15" xfId="0" applyNumberFormat="1" applyFill="1" applyBorder="1" applyAlignment="1">
      <alignment/>
    </xf>
    <xf numFmtId="0" fontId="56" fillId="15" borderId="13" xfId="0" applyFont="1" applyFill="1" applyBorder="1" applyAlignment="1">
      <alignment/>
    </xf>
    <xf numFmtId="0" fontId="56" fillId="15" borderId="14" xfId="0" applyFont="1" applyFill="1" applyBorder="1" applyAlignment="1">
      <alignment/>
    </xf>
    <xf numFmtId="0" fontId="56" fillId="15" borderId="22" xfId="0" applyFont="1" applyFill="1" applyBorder="1" applyAlignment="1">
      <alignment/>
    </xf>
    <xf numFmtId="3" fontId="56" fillId="15" borderId="15" xfId="0" applyNumberFormat="1" applyFont="1" applyFill="1" applyBorder="1" applyAlignment="1">
      <alignment/>
    </xf>
    <xf numFmtId="3" fontId="56" fillId="15" borderId="14" xfId="0" applyNumberFormat="1" applyFont="1" applyFill="1" applyBorder="1" applyAlignment="1">
      <alignment/>
    </xf>
    <xf numFmtId="2" fontId="56" fillId="15" borderId="15" xfId="0" applyNumberFormat="1" applyFont="1" applyFill="1" applyBorder="1" applyAlignment="1">
      <alignment/>
    </xf>
    <xf numFmtId="0" fontId="56" fillId="3" borderId="13" xfId="0" applyFont="1" applyFill="1" applyBorder="1" applyAlignment="1">
      <alignment/>
    </xf>
    <xf numFmtId="0" fontId="56" fillId="3" borderId="14" xfId="0" applyFont="1" applyFill="1" applyBorder="1" applyAlignment="1">
      <alignment/>
    </xf>
    <xf numFmtId="0" fontId="56" fillId="3" borderId="22" xfId="0" applyFont="1" applyFill="1" applyBorder="1" applyAlignment="1">
      <alignment/>
    </xf>
    <xf numFmtId="3" fontId="56" fillId="3" borderId="21" xfId="0" applyNumberFormat="1" applyFont="1" applyFill="1" applyBorder="1" applyAlignment="1">
      <alignment/>
    </xf>
    <xf numFmtId="3" fontId="56" fillId="3" borderId="0" xfId="0" applyNumberFormat="1" applyFont="1" applyFill="1" applyAlignment="1">
      <alignment/>
    </xf>
    <xf numFmtId="2" fontId="56" fillId="3" borderId="21" xfId="0" applyNumberFormat="1" applyFont="1" applyFill="1" applyBorder="1" applyAlignment="1">
      <alignment/>
    </xf>
    <xf numFmtId="0" fontId="56" fillId="10" borderId="13" xfId="0" applyFont="1" applyFill="1" applyBorder="1" applyAlignment="1">
      <alignment/>
    </xf>
    <xf numFmtId="0" fontId="56" fillId="10" borderId="14" xfId="0" applyFont="1" applyFill="1" applyBorder="1" applyAlignment="1">
      <alignment/>
    </xf>
    <xf numFmtId="0" fontId="56" fillId="10" borderId="22" xfId="0" applyFont="1" applyFill="1" applyBorder="1" applyAlignment="1">
      <alignment/>
    </xf>
    <xf numFmtId="3" fontId="56" fillId="10" borderId="15" xfId="0" applyNumberFormat="1" applyFont="1" applyFill="1" applyBorder="1" applyAlignment="1">
      <alignment/>
    </xf>
    <xf numFmtId="3" fontId="56" fillId="10" borderId="14" xfId="0" applyNumberFormat="1" applyFont="1" applyFill="1" applyBorder="1" applyAlignment="1">
      <alignment/>
    </xf>
    <xf numFmtId="2" fontId="56" fillId="10" borderId="15" xfId="0" applyNumberFormat="1" applyFont="1" applyFill="1" applyBorder="1" applyAlignment="1">
      <alignment/>
    </xf>
    <xf numFmtId="0" fontId="56" fillId="4" borderId="13" xfId="0" applyFont="1" applyFill="1" applyBorder="1" applyAlignment="1">
      <alignment/>
    </xf>
    <xf numFmtId="0" fontId="56" fillId="4" borderId="14" xfId="0" applyFont="1" applyFill="1" applyBorder="1" applyAlignment="1">
      <alignment/>
    </xf>
    <xf numFmtId="0" fontId="56" fillId="4" borderId="22" xfId="0" applyFont="1" applyFill="1" applyBorder="1" applyAlignment="1">
      <alignment/>
    </xf>
    <xf numFmtId="3" fontId="56" fillId="4" borderId="15" xfId="0" applyNumberFormat="1" applyFont="1" applyFill="1" applyBorder="1" applyAlignment="1">
      <alignment/>
    </xf>
    <xf numFmtId="3" fontId="56" fillId="4" borderId="14" xfId="0" applyNumberFormat="1" applyFont="1" applyFill="1" applyBorder="1" applyAlignment="1">
      <alignment/>
    </xf>
    <xf numFmtId="2" fontId="56" fillId="4" borderId="15" xfId="0" applyNumberFormat="1" applyFont="1" applyFill="1" applyBorder="1" applyAlignment="1">
      <alignment/>
    </xf>
    <xf numFmtId="4" fontId="5" fillId="0" borderId="0" xfId="586" applyNumberFormat="1" applyFont="1" applyBorder="1">
      <alignment/>
      <protection/>
    </xf>
    <xf numFmtId="4" fontId="5" fillId="0" borderId="0" xfId="586" applyNumberFormat="1" applyFont="1" applyBorder="1" applyAlignment="1">
      <alignment horizontal="center"/>
      <protection/>
    </xf>
    <xf numFmtId="165" fontId="25" fillId="0" borderId="0" xfId="565" applyFont="1" applyFill="1" applyBorder="1" applyAlignment="1" applyProtection="1">
      <alignment/>
      <protection/>
    </xf>
    <xf numFmtId="0" fontId="32" fillId="3" borderId="0" xfId="586" applyFont="1" applyFill="1" applyBorder="1">
      <alignment/>
      <protection/>
    </xf>
    <xf numFmtId="4" fontId="32" fillId="0" borderId="0" xfId="586" applyNumberFormat="1" applyFont="1" applyBorder="1">
      <alignment/>
      <protection/>
    </xf>
    <xf numFmtId="4" fontId="44" fillId="0" borderId="0" xfId="586" applyNumberFormat="1" applyFont="1" applyFill="1" applyBorder="1" applyAlignment="1">
      <alignment horizontal="justify" vertical="top"/>
      <protection/>
    </xf>
    <xf numFmtId="1" fontId="44" fillId="0" borderId="0" xfId="586" applyNumberFormat="1" applyFont="1" applyFill="1" applyBorder="1" applyAlignment="1">
      <alignment horizontal="justify" vertical="top"/>
      <protection/>
    </xf>
    <xf numFmtId="1" fontId="44" fillId="0" borderId="0" xfId="586" applyNumberFormat="1" applyFont="1" applyFill="1" applyBorder="1" applyAlignment="1">
      <alignment horizontal="center" vertical="center"/>
      <protection/>
    </xf>
    <xf numFmtId="0" fontId="68" fillId="0" borderId="0" xfId="586" applyFont="1" applyFill="1" applyBorder="1" applyAlignment="1">
      <alignment horizontal="left"/>
      <protection/>
    </xf>
    <xf numFmtId="0" fontId="69" fillId="0" borderId="0" xfId="586" applyFont="1" applyFill="1" applyBorder="1">
      <alignment/>
      <protection/>
    </xf>
    <xf numFmtId="0" fontId="35" fillId="15" borderId="14" xfId="586" applyFont="1" applyFill="1" applyBorder="1" applyAlignment="1">
      <alignment vertical="top"/>
      <protection/>
    </xf>
    <xf numFmtId="0" fontId="35" fillId="15" borderId="22" xfId="586" applyFont="1" applyFill="1" applyBorder="1" applyAlignment="1">
      <alignment horizontal="left"/>
      <protection/>
    </xf>
    <xf numFmtId="4" fontId="36" fillId="15" borderId="19" xfId="586" applyNumberFormat="1" applyFont="1" applyFill="1" applyBorder="1">
      <alignment/>
      <protection/>
    </xf>
    <xf numFmtId="3" fontId="36" fillId="0" borderId="0" xfId="586" applyNumberFormat="1" applyFont="1" applyFill="1" applyBorder="1">
      <alignment/>
      <protection/>
    </xf>
    <xf numFmtId="0" fontId="68" fillId="0" borderId="0" xfId="586" applyFont="1" applyBorder="1" applyAlignment="1">
      <alignment horizontal="left"/>
      <protection/>
    </xf>
    <xf numFmtId="0" fontId="37" fillId="0" borderId="14" xfId="586" applyFont="1" applyFill="1" applyBorder="1" applyAlignment="1">
      <alignment vertical="top"/>
      <protection/>
    </xf>
    <xf numFmtId="0" fontId="37" fillId="0" borderId="22" xfId="586" applyFont="1" applyFill="1" applyBorder="1" applyAlignment="1">
      <alignment horizontal="left"/>
      <protection/>
    </xf>
    <xf numFmtId="4" fontId="37" fillId="0" borderId="19" xfId="586" applyNumberFormat="1" applyFont="1" applyFill="1" applyBorder="1">
      <alignment/>
      <protection/>
    </xf>
    <xf numFmtId="0" fontId="70" fillId="0" borderId="22" xfId="586" applyFont="1" applyFill="1" applyBorder="1" applyAlignment="1">
      <alignment horizontal="left"/>
      <protection/>
    </xf>
    <xf numFmtId="4" fontId="70" fillId="0" borderId="19" xfId="586" applyNumberFormat="1" applyFont="1" applyFill="1" applyBorder="1" applyAlignment="1">
      <alignment horizontal="left"/>
      <protection/>
    </xf>
    <xf numFmtId="4" fontId="70" fillId="0" borderId="0" xfId="586" applyNumberFormat="1" applyFont="1" applyFill="1" applyBorder="1">
      <alignment/>
      <protection/>
    </xf>
    <xf numFmtId="0" fontId="71" fillId="0" borderId="14" xfId="586" applyFont="1" applyFill="1" applyBorder="1" applyAlignment="1">
      <alignment vertical="top"/>
      <protection/>
    </xf>
    <xf numFmtId="0" fontId="70" fillId="0" borderId="14" xfId="586" applyFont="1" applyFill="1" applyBorder="1" applyAlignment="1">
      <alignment horizontal="left"/>
      <protection/>
    </xf>
    <xf numFmtId="4" fontId="70" fillId="0" borderId="15" xfId="586" applyNumberFormat="1" applyFont="1" applyFill="1" applyBorder="1" applyAlignment="1">
      <alignment horizontal="left"/>
      <protection/>
    </xf>
    <xf numFmtId="0" fontId="38" fillId="8" borderId="14" xfId="586" applyFont="1" applyFill="1" applyBorder="1">
      <alignment/>
      <protection/>
    </xf>
    <xf numFmtId="4" fontId="38" fillId="8" borderId="15" xfId="586" applyNumberFormat="1" applyFont="1" applyFill="1" applyBorder="1">
      <alignment/>
      <protection/>
    </xf>
    <xf numFmtId="0" fontId="72" fillId="0" borderId="14" xfId="586" applyFont="1" applyFill="1" applyBorder="1">
      <alignment/>
      <protection/>
    </xf>
    <xf numFmtId="4" fontId="72" fillId="0" borderId="15" xfId="586" applyNumberFormat="1" applyFont="1" applyFill="1" applyBorder="1">
      <alignment/>
      <protection/>
    </xf>
    <xf numFmtId="4" fontId="72" fillId="0" borderId="0" xfId="586" applyNumberFormat="1" applyFont="1" applyFill="1" applyBorder="1">
      <alignment/>
      <protection/>
    </xf>
    <xf numFmtId="0" fontId="72" fillId="0" borderId="0" xfId="586" applyFont="1" applyFill="1" applyBorder="1">
      <alignment/>
      <protection/>
    </xf>
    <xf numFmtId="3" fontId="72" fillId="0" borderId="0" xfId="586" applyNumberFormat="1" applyFont="1" applyFill="1" applyBorder="1">
      <alignment/>
      <protection/>
    </xf>
    <xf numFmtId="0" fontId="72" fillId="0" borderId="18" xfId="586" applyFont="1" applyFill="1" applyBorder="1">
      <alignment/>
      <protection/>
    </xf>
    <xf numFmtId="0" fontId="70" fillId="0" borderId="14" xfId="586" applyFont="1" applyFill="1" applyBorder="1">
      <alignment/>
      <protection/>
    </xf>
    <xf numFmtId="0" fontId="73" fillId="0" borderId="14" xfId="586" applyFont="1" applyFill="1" applyBorder="1">
      <alignment/>
      <protection/>
    </xf>
    <xf numFmtId="0" fontId="73" fillId="0" borderId="0" xfId="586" applyFont="1" applyFill="1" applyBorder="1">
      <alignment/>
      <protection/>
    </xf>
    <xf numFmtId="3" fontId="73" fillId="0" borderId="0" xfId="586" applyNumberFormat="1" applyFont="1" applyFill="1" applyBorder="1">
      <alignment/>
      <protection/>
    </xf>
    <xf numFmtId="0" fontId="74" fillId="0" borderId="0" xfId="586" applyFont="1" applyFill="1" applyBorder="1">
      <alignment/>
      <protection/>
    </xf>
    <xf numFmtId="0" fontId="75" fillId="0" borderId="64" xfId="586" applyFont="1" applyFill="1" applyBorder="1">
      <alignment/>
      <protection/>
    </xf>
    <xf numFmtId="4" fontId="75" fillId="0" borderId="15" xfId="586" applyNumberFormat="1" applyFont="1" applyFill="1" applyBorder="1" applyAlignment="1">
      <alignment horizontal="right"/>
      <protection/>
    </xf>
    <xf numFmtId="4" fontId="75" fillId="0" borderId="0" xfId="586" applyNumberFormat="1" applyFont="1" applyFill="1" applyBorder="1" applyAlignment="1">
      <alignment horizontal="right"/>
      <protection/>
    </xf>
    <xf numFmtId="3" fontId="75" fillId="0" borderId="0" xfId="586" applyNumberFormat="1" applyFont="1" applyFill="1" applyBorder="1" applyAlignment="1">
      <alignment horizontal="right"/>
      <protection/>
    </xf>
    <xf numFmtId="0" fontId="37" fillId="0" borderId="64" xfId="586" applyFont="1" applyFill="1" applyBorder="1">
      <alignment/>
      <protection/>
    </xf>
    <xf numFmtId="164" fontId="37" fillId="0" borderId="14" xfId="425" applyFont="1" applyFill="1" applyBorder="1" applyAlignment="1" applyProtection="1">
      <alignment horizontal="left"/>
      <protection/>
    </xf>
    <xf numFmtId="0" fontId="70" fillId="0" borderId="14" xfId="586" applyFont="1" applyBorder="1">
      <alignment/>
      <protection/>
    </xf>
    <xf numFmtId="0" fontId="74" fillId="0" borderId="0" xfId="586" applyFont="1" applyBorder="1">
      <alignment/>
      <protection/>
    </xf>
    <xf numFmtId="0" fontId="68" fillId="0" borderId="0" xfId="586" applyFont="1" applyBorder="1">
      <alignment/>
      <protection/>
    </xf>
    <xf numFmtId="0" fontId="70" fillId="0" borderId="0" xfId="586" applyFont="1" applyFill="1" applyBorder="1">
      <alignment/>
      <protection/>
    </xf>
    <xf numFmtId="3" fontId="70" fillId="0" borderId="0" xfId="586" applyNumberFormat="1" applyFont="1" applyFill="1" applyBorder="1">
      <alignment/>
      <protection/>
    </xf>
    <xf numFmtId="4" fontId="75" fillId="0" borderId="15" xfId="586" applyNumberFormat="1" applyFont="1" applyFill="1" applyBorder="1">
      <alignment/>
      <protection/>
    </xf>
    <xf numFmtId="4" fontId="75" fillId="0" borderId="0" xfId="586" applyNumberFormat="1" applyFont="1" applyFill="1" applyBorder="1">
      <alignment/>
      <protection/>
    </xf>
    <xf numFmtId="3" fontId="75" fillId="0" borderId="0" xfId="586" applyNumberFormat="1" applyFont="1" applyFill="1" applyBorder="1">
      <alignment/>
      <protection/>
    </xf>
    <xf numFmtId="0" fontId="37" fillId="0" borderId="64" xfId="586" applyFont="1" applyBorder="1">
      <alignment/>
      <protection/>
    </xf>
    <xf numFmtId="0" fontId="70" fillId="0" borderId="64" xfId="586" applyFont="1" applyBorder="1">
      <alignment/>
      <protection/>
    </xf>
    <xf numFmtId="0" fontId="75" fillId="0" borderId="14" xfId="586" applyFont="1" applyFill="1" applyBorder="1">
      <alignment/>
      <protection/>
    </xf>
    <xf numFmtId="0" fontId="37" fillId="0" borderId="20" xfId="586" applyFont="1" applyBorder="1">
      <alignment/>
      <protection/>
    </xf>
    <xf numFmtId="4" fontId="5" fillId="0" borderId="15" xfId="586" applyNumberFormat="1" applyFont="1" applyBorder="1">
      <alignment/>
      <protection/>
    </xf>
    <xf numFmtId="0" fontId="39" fillId="0" borderId="0" xfId="586" applyFont="1" applyFill="1" applyBorder="1" applyAlignment="1">
      <alignment horizontal="left"/>
      <protection/>
    </xf>
    <xf numFmtId="4" fontId="70" fillId="0" borderId="15" xfId="586" applyNumberFormat="1" applyFont="1" applyBorder="1" applyAlignment="1">
      <alignment horizontal="left"/>
      <protection/>
    </xf>
    <xf numFmtId="3" fontId="70" fillId="0" borderId="0" xfId="586" applyNumberFormat="1" applyFont="1" applyFill="1" applyBorder="1" applyAlignment="1">
      <alignment horizontal="right"/>
      <protection/>
    </xf>
    <xf numFmtId="3" fontId="41" fillId="0" borderId="0" xfId="586" applyNumberFormat="1" applyFont="1" applyFill="1" applyBorder="1" applyAlignment="1">
      <alignment horizontal="right"/>
      <protection/>
    </xf>
    <xf numFmtId="0" fontId="70" fillId="0" borderId="18" xfId="586" applyFont="1" applyBorder="1">
      <alignment/>
      <protection/>
    </xf>
    <xf numFmtId="0" fontId="76" fillId="0" borderId="0" xfId="586" applyFont="1" applyFill="1" applyBorder="1">
      <alignment/>
      <protection/>
    </xf>
    <xf numFmtId="3" fontId="37" fillId="0" borderId="0" xfId="586" applyNumberFormat="1" applyFont="1" applyFill="1" applyBorder="1" applyAlignment="1">
      <alignment horizontal="left"/>
      <protection/>
    </xf>
    <xf numFmtId="0" fontId="35" fillId="15" borderId="14" xfId="586" applyFont="1" applyFill="1" applyBorder="1">
      <alignment/>
      <protection/>
    </xf>
    <xf numFmtId="4" fontId="36" fillId="15" borderId="15" xfId="586" applyNumberFormat="1" applyFont="1" applyFill="1" applyBorder="1">
      <alignment/>
      <protection/>
    </xf>
    <xf numFmtId="0" fontId="36" fillId="0" borderId="0" xfId="586" applyFont="1" applyFill="1" applyBorder="1">
      <alignment/>
      <protection/>
    </xf>
    <xf numFmtId="0" fontId="37" fillId="0" borderId="64" xfId="586" applyFont="1" applyFill="1" applyBorder="1" applyAlignment="1">
      <alignment horizontal="left"/>
      <protection/>
    </xf>
    <xf numFmtId="0" fontId="35" fillId="15" borderId="18" xfId="586" applyFont="1" applyFill="1" applyBorder="1">
      <alignment/>
      <protection/>
    </xf>
    <xf numFmtId="0" fontId="37" fillId="0" borderId="14" xfId="586" applyFont="1" applyFill="1" applyBorder="1" applyAlignment="1">
      <alignment horizontal="left"/>
      <protection/>
    </xf>
    <xf numFmtId="3" fontId="70" fillId="0" borderId="0" xfId="586" applyNumberFormat="1" applyFont="1" applyFill="1" applyBorder="1" applyAlignment="1">
      <alignment horizontal="left"/>
      <protection/>
    </xf>
    <xf numFmtId="2" fontId="77" fillId="0" borderId="0" xfId="586" applyNumberFormat="1" applyFont="1" applyBorder="1" applyAlignment="1">
      <alignment horizontal="left"/>
      <protection/>
    </xf>
    <xf numFmtId="4" fontId="37" fillId="0" borderId="0" xfId="586" applyNumberFormat="1" applyFont="1" applyFill="1" applyBorder="1" applyAlignment="1">
      <alignment horizontal="left"/>
      <protection/>
    </xf>
    <xf numFmtId="0" fontId="44" fillId="0" borderId="0" xfId="586" applyFont="1" applyFill="1" applyBorder="1" applyAlignment="1">
      <alignment horizontal="justify" vertical="center"/>
      <protection/>
    </xf>
    <xf numFmtId="0" fontId="44" fillId="0" borderId="0" xfId="586" applyFont="1" applyFill="1" applyBorder="1" applyAlignment="1">
      <alignment horizontal="center" vertical="center"/>
      <protection/>
    </xf>
    <xf numFmtId="2" fontId="44" fillId="0" borderId="0" xfId="586" applyNumberFormat="1" applyFont="1" applyFill="1" applyBorder="1" applyAlignment="1">
      <alignment horizontal="justify" vertical="center"/>
      <protection/>
    </xf>
    <xf numFmtId="0" fontId="69" fillId="0" borderId="0" xfId="586" applyFont="1" applyBorder="1">
      <alignment/>
      <protection/>
    </xf>
    <xf numFmtId="4" fontId="38" fillId="15" borderId="15" xfId="586" applyNumberFormat="1" applyFont="1" applyFill="1" applyBorder="1">
      <alignment/>
      <protection/>
    </xf>
    <xf numFmtId="1" fontId="36" fillId="0" borderId="0" xfId="586" applyNumberFormat="1" applyFont="1" applyFill="1" applyBorder="1">
      <alignment/>
      <protection/>
    </xf>
    <xf numFmtId="2" fontId="36" fillId="0" borderId="0" xfId="586" applyNumberFormat="1" applyFont="1" applyFill="1" applyBorder="1">
      <alignment/>
      <protection/>
    </xf>
    <xf numFmtId="0" fontId="38" fillId="0" borderId="0" xfId="586" applyFont="1" applyFill="1" applyBorder="1">
      <alignment/>
      <protection/>
    </xf>
    <xf numFmtId="0" fontId="35" fillId="0" borderId="0" xfId="586" applyFont="1" applyBorder="1">
      <alignment/>
      <protection/>
    </xf>
    <xf numFmtId="0" fontId="37" fillId="0" borderId="0" xfId="586" applyFont="1" applyFill="1" applyBorder="1" applyAlignment="1">
      <alignment horizontal="right"/>
      <protection/>
    </xf>
    <xf numFmtId="49" fontId="32" fillId="0" borderId="0" xfId="586" applyNumberFormat="1" applyFont="1" applyFill="1" applyBorder="1" applyAlignment="1">
      <alignment horizontal="right"/>
      <protection/>
    </xf>
    <xf numFmtId="4" fontId="32" fillId="0" borderId="0" xfId="586" applyNumberFormat="1" applyFont="1" applyFill="1" applyBorder="1" applyAlignment="1">
      <alignment horizontal="right"/>
      <protection/>
    </xf>
    <xf numFmtId="4" fontId="32" fillId="0" borderId="0" xfId="586" applyNumberFormat="1" applyFont="1" applyFill="1" applyBorder="1" applyAlignment="1">
      <alignment horizontal="center"/>
      <protection/>
    </xf>
    <xf numFmtId="0" fontId="32" fillId="0" borderId="0" xfId="586" applyFont="1" applyFill="1" applyBorder="1" applyAlignment="1">
      <alignment horizontal="center"/>
      <protection/>
    </xf>
    <xf numFmtId="3" fontId="36" fillId="0" borderId="0" xfId="586" applyNumberFormat="1" applyFont="1" applyFill="1" applyBorder="1" applyAlignment="1">
      <alignment horizontal="right"/>
      <protection/>
    </xf>
    <xf numFmtId="0" fontId="37" fillId="0" borderId="0" xfId="586" applyFont="1" applyFill="1" applyBorder="1" applyAlignment="1">
      <alignment horizontal="left"/>
      <protection/>
    </xf>
    <xf numFmtId="4" fontId="77" fillId="0" borderId="0" xfId="586" applyNumberFormat="1" applyFont="1" applyBorder="1" applyAlignment="1">
      <alignment horizontal="left"/>
      <protection/>
    </xf>
    <xf numFmtId="0" fontId="5" fillId="0" borderId="20" xfId="586" applyFont="1" applyFill="1" applyBorder="1">
      <alignment/>
      <protection/>
    </xf>
    <xf numFmtId="3" fontId="71" fillId="0" borderId="0" xfId="586" applyNumberFormat="1" applyFont="1" applyFill="1" applyBorder="1">
      <alignment/>
      <protection/>
    </xf>
    <xf numFmtId="4" fontId="77" fillId="0" borderId="0" xfId="586" applyNumberFormat="1" applyFont="1" applyFill="1" applyBorder="1" applyAlignment="1">
      <alignment horizontal="left"/>
      <protection/>
    </xf>
    <xf numFmtId="49" fontId="32" fillId="8" borderId="0" xfId="586" applyNumberFormat="1" applyFont="1" applyFill="1" applyBorder="1" applyAlignment="1">
      <alignment horizontal="right"/>
      <protection/>
    </xf>
    <xf numFmtId="0" fontId="37" fillId="8" borderId="0" xfId="586" applyFont="1" applyFill="1" applyBorder="1">
      <alignment/>
      <protection/>
    </xf>
    <xf numFmtId="0" fontId="32" fillId="8" borderId="0" xfId="586" applyFont="1" applyFill="1" applyBorder="1">
      <alignment/>
      <protection/>
    </xf>
    <xf numFmtId="4" fontId="32" fillId="8" borderId="0" xfId="586" applyNumberFormat="1" applyFont="1" applyFill="1" applyBorder="1" applyAlignment="1">
      <alignment horizontal="right"/>
      <protection/>
    </xf>
    <xf numFmtId="4" fontId="32" fillId="8" borderId="0" xfId="586" applyNumberFormat="1" applyFont="1" applyFill="1" applyBorder="1" applyAlignment="1">
      <alignment horizontal="center"/>
      <protection/>
    </xf>
    <xf numFmtId="2" fontId="35" fillId="0" borderId="0" xfId="586" applyNumberFormat="1" applyFont="1" applyFill="1" applyBorder="1">
      <alignment/>
      <protection/>
    </xf>
    <xf numFmtId="3" fontId="32" fillId="0" borderId="0" xfId="586" applyNumberFormat="1" applyFont="1" applyFill="1" applyBorder="1" applyAlignment="1">
      <alignment/>
      <protection/>
    </xf>
    <xf numFmtId="0" fontId="35" fillId="15" borderId="86" xfId="586" applyFont="1" applyFill="1" applyBorder="1">
      <alignment/>
      <protection/>
    </xf>
    <xf numFmtId="0" fontId="38" fillId="0" borderId="14" xfId="586" applyFont="1" applyBorder="1">
      <alignment/>
      <protection/>
    </xf>
    <xf numFmtId="0" fontId="38" fillId="0" borderId="22" xfId="586" applyFont="1" applyFill="1" applyBorder="1">
      <alignment/>
      <protection/>
    </xf>
    <xf numFmtId="4" fontId="36" fillId="15" borderId="24" xfId="586" applyNumberFormat="1" applyFont="1" applyFill="1" applyBorder="1">
      <alignment/>
      <protection/>
    </xf>
    <xf numFmtId="4" fontId="37" fillId="0" borderId="22" xfId="586" applyNumberFormat="1" applyFont="1" applyBorder="1">
      <alignment/>
      <protection/>
    </xf>
    <xf numFmtId="4" fontId="70" fillId="0" borderId="22" xfId="586" applyNumberFormat="1" applyFont="1" applyBorder="1" applyAlignment="1">
      <alignment horizontal="left"/>
      <protection/>
    </xf>
    <xf numFmtId="0" fontId="71" fillId="0" borderId="0" xfId="586" applyFont="1" applyFill="1" applyBorder="1" applyAlignment="1">
      <alignment horizontal="left"/>
      <protection/>
    </xf>
    <xf numFmtId="0" fontId="71" fillId="0" borderId="0" xfId="586" applyFont="1" applyFill="1" applyBorder="1">
      <alignment/>
      <protection/>
    </xf>
    <xf numFmtId="4" fontId="37" fillId="0" borderId="22" xfId="586" applyNumberFormat="1" applyFont="1" applyBorder="1" applyAlignment="1">
      <alignment horizontal="right"/>
      <protection/>
    </xf>
    <xf numFmtId="0" fontId="38" fillId="0" borderId="20" xfId="586" applyFont="1" applyBorder="1">
      <alignment/>
      <protection/>
    </xf>
    <xf numFmtId="4" fontId="38" fillId="0" borderId="0" xfId="586" applyNumberFormat="1" applyFont="1" applyBorder="1" applyAlignment="1">
      <alignment horizontal="right"/>
      <protection/>
    </xf>
    <xf numFmtId="0" fontId="36" fillId="15" borderId="14" xfId="586" applyFont="1" applyFill="1" applyBorder="1">
      <alignment/>
      <protection/>
    </xf>
    <xf numFmtId="0" fontId="38" fillId="0" borderId="14" xfId="586" applyFont="1" applyFill="1" applyBorder="1">
      <alignment/>
      <protection/>
    </xf>
    <xf numFmtId="0" fontId="37" fillId="0" borderId="18" xfId="586" applyFont="1" applyFill="1" applyBorder="1" applyAlignment="1">
      <alignment horizontal="left"/>
      <protection/>
    </xf>
    <xf numFmtId="3" fontId="5" fillId="0" borderId="0" xfId="586" applyNumberFormat="1" applyFont="1" applyFill="1" applyBorder="1" applyAlignment="1">
      <alignment horizontal="center"/>
      <protection/>
    </xf>
    <xf numFmtId="0" fontId="39" fillId="0" borderId="87" xfId="586" applyFont="1" applyFill="1" applyBorder="1">
      <alignment/>
      <protection/>
    </xf>
    <xf numFmtId="0" fontId="37" fillId="0" borderId="87" xfId="586" applyFont="1" applyFill="1" applyBorder="1">
      <alignment/>
      <protection/>
    </xf>
    <xf numFmtId="0" fontId="39" fillId="0" borderId="18" xfId="586" applyFont="1" applyFill="1" applyBorder="1">
      <alignment/>
      <protection/>
    </xf>
    <xf numFmtId="0" fontId="39" fillId="0" borderId="14" xfId="586" applyFont="1" applyFill="1" applyBorder="1">
      <alignment/>
      <protection/>
    </xf>
    <xf numFmtId="4" fontId="38" fillId="0" borderId="21" xfId="586" applyNumberFormat="1" applyFont="1" applyBorder="1" applyAlignment="1">
      <alignment horizontal="right"/>
      <protection/>
    </xf>
    <xf numFmtId="4" fontId="38" fillId="0" borderId="20" xfId="586" applyNumberFormat="1" applyFont="1" applyBorder="1" applyAlignment="1">
      <alignment horizontal="right"/>
      <protection/>
    </xf>
    <xf numFmtId="0" fontId="39" fillId="0" borderId="0" xfId="586" applyFont="1" applyFill="1" applyBorder="1">
      <alignment/>
      <protection/>
    </xf>
    <xf numFmtId="2" fontId="38" fillId="0" borderId="0" xfId="586" applyNumberFormat="1" applyFont="1" applyFill="1" applyBorder="1">
      <alignment/>
      <protection/>
    </xf>
    <xf numFmtId="4" fontId="36" fillId="15" borderId="22" xfId="586" applyNumberFormat="1" applyFont="1" applyFill="1" applyBorder="1">
      <alignment/>
      <protection/>
    </xf>
    <xf numFmtId="0" fontId="70" fillId="0" borderId="0" xfId="586" applyFont="1" applyBorder="1" applyAlignment="1">
      <alignment horizontal="left"/>
      <protection/>
    </xf>
    <xf numFmtId="0" fontId="77" fillId="0" borderId="0" xfId="586" applyFont="1" applyFill="1" applyBorder="1">
      <alignment/>
      <protection/>
    </xf>
    <xf numFmtId="3" fontId="68" fillId="0" borderId="0" xfId="586" applyNumberFormat="1" applyFont="1" applyFill="1" applyBorder="1" applyAlignment="1">
      <alignment horizontal="left"/>
      <protection/>
    </xf>
    <xf numFmtId="0" fontId="78" fillId="0" borderId="0" xfId="586" applyFont="1" applyFill="1" applyBorder="1" applyAlignment="1">
      <alignment horizontal="left"/>
      <protection/>
    </xf>
    <xf numFmtId="4" fontId="38" fillId="0" borderId="0" xfId="586" applyNumberFormat="1" applyFont="1" applyBorder="1">
      <alignment/>
      <protection/>
    </xf>
    <xf numFmtId="4" fontId="38" fillId="0" borderId="0" xfId="586" applyNumberFormat="1" applyFont="1" applyBorder="1" applyAlignment="1">
      <alignment horizontal="center"/>
      <protection/>
    </xf>
    <xf numFmtId="49" fontId="32" fillId="8" borderId="0" xfId="586" applyNumberFormat="1" applyFont="1" applyFill="1" applyBorder="1" applyAlignment="1">
      <alignment/>
      <protection/>
    </xf>
    <xf numFmtId="4" fontId="32" fillId="8" borderId="0" xfId="586" applyNumberFormat="1" applyFont="1" applyFill="1" applyBorder="1" applyAlignment="1">
      <alignment/>
      <protection/>
    </xf>
    <xf numFmtId="4" fontId="5" fillId="0" borderId="0" xfId="586" applyNumberFormat="1" applyFont="1" applyFill="1" applyBorder="1" applyAlignment="1">
      <alignment horizontal="left"/>
      <protection/>
    </xf>
    <xf numFmtId="4" fontId="5" fillId="0" borderId="0" xfId="586" applyNumberFormat="1" applyFont="1" applyFill="1" applyBorder="1" applyAlignment="1">
      <alignment horizontal="center"/>
      <protection/>
    </xf>
    <xf numFmtId="4" fontId="37" fillId="0" borderId="22" xfId="586" applyNumberFormat="1" applyFont="1" applyBorder="1" applyAlignment="1">
      <alignment horizontal="left"/>
      <protection/>
    </xf>
    <xf numFmtId="0" fontId="38" fillId="0" borderId="20" xfId="586" applyFont="1" applyFill="1" applyBorder="1">
      <alignment/>
      <protection/>
    </xf>
    <xf numFmtId="0" fontId="38" fillId="0" borderId="14" xfId="586" applyFont="1" applyFill="1" applyBorder="1" applyAlignment="1">
      <alignment vertical="top"/>
      <protection/>
    </xf>
    <xf numFmtId="0" fontId="38" fillId="0" borderId="14" xfId="586" applyFont="1" applyFill="1" applyBorder="1" applyAlignment="1">
      <alignment horizontal="left"/>
      <protection/>
    </xf>
    <xf numFmtId="0" fontId="39" fillId="0" borderId="14" xfId="586" applyFont="1" applyFill="1" applyBorder="1" applyAlignment="1">
      <alignment vertical="top"/>
      <protection/>
    </xf>
    <xf numFmtId="0" fontId="39" fillId="0" borderId="14" xfId="586" applyFont="1" applyFill="1" applyBorder="1" applyAlignment="1">
      <alignment horizontal="left"/>
      <protection/>
    </xf>
    <xf numFmtId="4" fontId="39" fillId="0" borderId="22" xfId="586" applyNumberFormat="1" applyFont="1" applyBorder="1" applyAlignment="1">
      <alignment horizontal="left"/>
      <protection/>
    </xf>
    <xf numFmtId="0" fontId="37" fillId="0" borderId="14" xfId="586" applyFont="1" applyFill="1" applyBorder="1" applyAlignment="1">
      <alignment horizontal="right"/>
      <protection/>
    </xf>
    <xf numFmtId="0" fontId="68" fillId="0" borderId="14" xfId="586" applyFont="1" applyFill="1" applyBorder="1" applyAlignment="1">
      <alignment horizontal="left"/>
      <protection/>
    </xf>
    <xf numFmtId="4" fontId="68" fillId="0" borderId="22" xfId="586" applyNumberFormat="1" applyFont="1" applyFill="1" applyBorder="1">
      <alignment/>
      <protection/>
    </xf>
    <xf numFmtId="4" fontId="68" fillId="0" borderId="15" xfId="586" applyNumberFormat="1" applyFont="1" applyFill="1" applyBorder="1">
      <alignment/>
      <protection/>
    </xf>
    <xf numFmtId="4" fontId="68" fillId="0" borderId="22" xfId="586" applyNumberFormat="1" applyFont="1" applyBorder="1" applyAlignment="1">
      <alignment horizontal="right"/>
      <protection/>
    </xf>
    <xf numFmtId="4" fontId="68" fillId="0" borderId="15" xfId="586" applyNumberFormat="1" applyFont="1" applyBorder="1" applyAlignment="1">
      <alignment horizontal="right"/>
      <protection/>
    </xf>
    <xf numFmtId="4" fontId="68" fillId="0" borderId="22" xfId="586" applyNumberFormat="1" applyFont="1" applyBorder="1" applyAlignment="1">
      <alignment horizontal="left"/>
      <protection/>
    </xf>
    <xf numFmtId="4" fontId="68" fillId="0" borderId="15" xfId="586" applyNumberFormat="1" applyFont="1" applyBorder="1" applyAlignment="1">
      <alignment horizontal="left"/>
      <protection/>
    </xf>
    <xf numFmtId="0" fontId="37" fillId="0" borderId="20" xfId="586" applyFont="1" applyFill="1" applyBorder="1" applyAlignment="1">
      <alignment horizontal="left"/>
      <protection/>
    </xf>
    <xf numFmtId="0" fontId="38" fillId="0" borderId="0" xfId="586" applyFont="1" applyFill="1" applyBorder="1" applyAlignment="1">
      <alignment horizontal="left"/>
      <protection/>
    </xf>
    <xf numFmtId="4" fontId="39" fillId="0" borderId="22" xfId="586" applyNumberFormat="1" applyFont="1" applyBorder="1" applyAlignment="1">
      <alignment horizontal="right"/>
      <protection/>
    </xf>
    <xf numFmtId="4" fontId="39" fillId="0" borderId="15" xfId="586" applyNumberFormat="1" applyFont="1" applyBorder="1" applyAlignment="1">
      <alignment horizontal="right"/>
      <protection/>
    </xf>
    <xf numFmtId="4" fontId="70" fillId="0" borderId="22" xfId="586" applyNumberFormat="1" applyFont="1" applyBorder="1">
      <alignment/>
      <protection/>
    </xf>
    <xf numFmtId="4" fontId="70" fillId="0" borderId="15" xfId="586" applyNumberFormat="1" applyFont="1" applyBorder="1">
      <alignment/>
      <protection/>
    </xf>
    <xf numFmtId="0" fontId="78" fillId="0" borderId="0" xfId="586" applyFont="1" applyBorder="1">
      <alignment/>
      <protection/>
    </xf>
    <xf numFmtId="0" fontId="70" fillId="0" borderId="0" xfId="586" applyFont="1" applyFill="1" applyBorder="1" applyAlignment="1">
      <alignment horizontal="right"/>
      <protection/>
    </xf>
    <xf numFmtId="4" fontId="68" fillId="0" borderId="19" xfId="586" applyNumberFormat="1" applyFont="1" applyFill="1" applyBorder="1" applyAlignment="1">
      <alignment horizontal="left"/>
      <protection/>
    </xf>
    <xf numFmtId="3" fontId="37" fillId="0" borderId="14" xfId="586" applyNumberFormat="1" applyFont="1" applyBorder="1">
      <alignment/>
      <protection/>
    </xf>
    <xf numFmtId="4" fontId="37" fillId="0" borderId="76" xfId="586" applyNumberFormat="1" applyFont="1" applyBorder="1" applyAlignment="1">
      <alignment horizontal="left"/>
      <protection/>
    </xf>
    <xf numFmtId="4" fontId="37" fillId="0" borderId="16" xfId="586" applyNumberFormat="1" applyFont="1" applyBorder="1" applyAlignment="1">
      <alignment horizontal="left"/>
      <protection/>
    </xf>
    <xf numFmtId="4" fontId="38" fillId="0" borderId="22" xfId="586" applyNumberFormat="1" applyFont="1" applyBorder="1">
      <alignment/>
      <protection/>
    </xf>
    <xf numFmtId="4" fontId="38" fillId="0" borderId="15" xfId="586" applyNumberFormat="1" applyFont="1" applyBorder="1">
      <alignment/>
      <protection/>
    </xf>
    <xf numFmtId="4" fontId="34" fillId="0" borderId="0" xfId="586" applyNumberFormat="1" applyFont="1" applyFill="1" applyBorder="1">
      <alignment/>
      <protection/>
    </xf>
    <xf numFmtId="4" fontId="38" fillId="0" borderId="22" xfId="586" applyNumberFormat="1" applyFont="1" applyFill="1" applyBorder="1" applyAlignment="1">
      <alignment horizontal="right"/>
      <protection/>
    </xf>
    <xf numFmtId="0" fontId="35" fillId="0" borderId="14" xfId="586" applyFont="1" applyFill="1" applyBorder="1" applyAlignment="1">
      <alignment vertical="top"/>
      <protection/>
    </xf>
    <xf numFmtId="3" fontId="37" fillId="0" borderId="0" xfId="586" applyNumberFormat="1" applyFont="1" applyFill="1" applyBorder="1" applyAlignment="1">
      <alignment horizontal="right" vertical="center"/>
      <protection/>
    </xf>
    <xf numFmtId="3" fontId="37" fillId="0" borderId="0" xfId="586" applyNumberFormat="1" applyFont="1" applyFill="1" applyBorder="1" applyAlignment="1">
      <alignment horizontal="left" vertical="center"/>
      <protection/>
    </xf>
    <xf numFmtId="3" fontId="39" fillId="0" borderId="0" xfId="586" applyNumberFormat="1" applyFont="1" applyFill="1" applyBorder="1" applyAlignment="1">
      <alignment horizontal="left"/>
      <protection/>
    </xf>
    <xf numFmtId="3" fontId="39" fillId="0" borderId="0" xfId="586" applyNumberFormat="1" applyFont="1" applyFill="1" applyBorder="1" applyAlignment="1">
      <alignment horizontal="right"/>
      <protection/>
    </xf>
    <xf numFmtId="0" fontId="70" fillId="8" borderId="14" xfId="586" applyFont="1" applyFill="1" applyBorder="1">
      <alignment/>
      <protection/>
    </xf>
    <xf numFmtId="4" fontId="79" fillId="0" borderId="22" xfId="586" applyNumberFormat="1" applyFont="1" applyBorder="1" applyAlignment="1">
      <alignment horizontal="left"/>
      <protection/>
    </xf>
    <xf numFmtId="4" fontId="79" fillId="0" borderId="15" xfId="586" applyNumberFormat="1" applyFont="1" applyBorder="1" applyAlignment="1">
      <alignment horizontal="left"/>
      <protection/>
    </xf>
    <xf numFmtId="4" fontId="80" fillId="0" borderId="0" xfId="586" applyNumberFormat="1" applyFont="1" applyFill="1" applyBorder="1" applyAlignment="1">
      <alignment horizontal="right"/>
      <protection/>
    </xf>
    <xf numFmtId="3" fontId="79" fillId="0" borderId="0" xfId="586" applyNumberFormat="1" applyFont="1" applyFill="1" applyBorder="1" applyAlignment="1">
      <alignment horizontal="left"/>
      <protection/>
    </xf>
    <xf numFmtId="3" fontId="68" fillId="0" borderId="0" xfId="586" applyNumberFormat="1" applyFont="1" applyFill="1" applyBorder="1" applyAlignment="1">
      <alignment horizontal="right"/>
      <protection/>
    </xf>
    <xf numFmtId="0" fontId="79" fillId="0" borderId="0" xfId="586" applyFont="1" applyFill="1" applyBorder="1" applyAlignment="1">
      <alignment horizontal="left"/>
      <protection/>
    </xf>
    <xf numFmtId="0" fontId="68" fillId="0" borderId="0" xfId="586" applyFont="1" applyFill="1" applyBorder="1">
      <alignment/>
      <protection/>
    </xf>
    <xf numFmtId="0" fontId="5" fillId="8" borderId="0" xfId="586" applyFont="1" applyFill="1" applyBorder="1">
      <alignment/>
      <protection/>
    </xf>
    <xf numFmtId="4" fontId="36" fillId="4" borderId="23" xfId="586" applyNumberFormat="1" applyFont="1" applyFill="1" applyBorder="1">
      <alignment/>
      <protection/>
    </xf>
    <xf numFmtId="0" fontId="32" fillId="3" borderId="68" xfId="586" applyFont="1" applyFill="1" applyBorder="1">
      <alignment/>
      <protection/>
    </xf>
    <xf numFmtId="0" fontId="5" fillId="3" borderId="40" xfId="586" applyFont="1" applyFill="1" applyBorder="1">
      <alignment/>
      <protection/>
    </xf>
    <xf numFmtId="0" fontId="32" fillId="3" borderId="41" xfId="586" applyFont="1" applyFill="1" applyBorder="1">
      <alignment/>
      <protection/>
    </xf>
    <xf numFmtId="4" fontId="36" fillId="3" borderId="41" xfId="586" applyNumberFormat="1" applyFont="1" applyFill="1" applyBorder="1">
      <alignment/>
      <protection/>
    </xf>
    <xf numFmtId="4" fontId="38" fillId="3" borderId="33" xfId="586" applyNumberFormat="1" applyFont="1" applyFill="1" applyBorder="1" applyAlignment="1">
      <alignment horizontal="right"/>
      <protection/>
    </xf>
    <xf numFmtId="4" fontId="38" fillId="3" borderId="32" xfId="586" applyNumberFormat="1" applyFont="1" applyFill="1" applyBorder="1" applyAlignment="1">
      <alignment horizontal="right"/>
      <protection/>
    </xf>
    <xf numFmtId="4" fontId="32" fillId="8" borderId="0" xfId="586" applyNumberFormat="1" applyFont="1" applyFill="1" applyBorder="1">
      <alignment/>
      <protection/>
    </xf>
    <xf numFmtId="0" fontId="36" fillId="4" borderId="14" xfId="586" applyFont="1" applyFill="1" applyBorder="1">
      <alignment/>
      <protection/>
    </xf>
    <xf numFmtId="0" fontId="36" fillId="4" borderId="22" xfId="586" applyFont="1" applyFill="1" applyBorder="1">
      <alignment/>
      <protection/>
    </xf>
    <xf numFmtId="4" fontId="38" fillId="4" borderId="24" xfId="586" applyNumberFormat="1" applyFont="1" applyFill="1" applyBorder="1">
      <alignment/>
      <protection/>
    </xf>
    <xf numFmtId="4" fontId="37" fillId="0" borderId="0" xfId="586" applyNumberFormat="1" applyFont="1" applyBorder="1">
      <alignment/>
      <protection/>
    </xf>
    <xf numFmtId="0" fontId="68" fillId="0" borderId="14" xfId="586" applyFont="1" applyFill="1" applyBorder="1">
      <alignment/>
      <protection/>
    </xf>
    <xf numFmtId="0" fontId="68" fillId="0" borderId="22" xfId="586" applyFont="1" applyFill="1" applyBorder="1">
      <alignment/>
      <protection/>
    </xf>
    <xf numFmtId="4" fontId="38" fillId="4" borderId="19" xfId="586" applyNumberFormat="1" applyFont="1" applyFill="1" applyBorder="1">
      <alignment/>
      <protection/>
    </xf>
    <xf numFmtId="4" fontId="38" fillId="4" borderId="17" xfId="586" applyNumberFormat="1" applyFont="1" applyFill="1" applyBorder="1">
      <alignment/>
      <protection/>
    </xf>
    <xf numFmtId="0" fontId="38" fillId="4" borderId="18" xfId="586" applyFont="1" applyFill="1" applyBorder="1">
      <alignment/>
      <protection/>
    </xf>
    <xf numFmtId="0" fontId="38" fillId="4" borderId="24" xfId="586" applyFont="1" applyFill="1" applyBorder="1">
      <alignment/>
      <protection/>
    </xf>
    <xf numFmtId="4" fontId="38" fillId="4" borderId="15" xfId="586" applyNumberFormat="1" applyFont="1" applyFill="1" applyBorder="1">
      <alignment/>
      <protection/>
    </xf>
    <xf numFmtId="0" fontId="36" fillId="0" borderId="0" xfId="586" applyFont="1" applyBorder="1">
      <alignment/>
      <protection/>
    </xf>
    <xf numFmtId="0" fontId="68" fillId="0" borderId="14" xfId="586" applyFont="1" applyBorder="1">
      <alignment/>
      <protection/>
    </xf>
    <xf numFmtId="0" fontId="68" fillId="0" borderId="22" xfId="586" applyFont="1" applyBorder="1">
      <alignment/>
      <protection/>
    </xf>
    <xf numFmtId="4" fontId="39" fillId="0" borderId="16" xfId="586" applyNumberFormat="1" applyFont="1" applyBorder="1">
      <alignment/>
      <protection/>
    </xf>
    <xf numFmtId="3" fontId="68" fillId="0" borderId="0" xfId="586" applyNumberFormat="1" applyFont="1" applyFill="1" applyBorder="1">
      <alignment/>
      <protection/>
    </xf>
    <xf numFmtId="0" fontId="36" fillId="4" borderId="18" xfId="586" applyFont="1" applyFill="1" applyBorder="1">
      <alignment/>
      <protection/>
    </xf>
    <xf numFmtId="0" fontId="36" fillId="4" borderId="24" xfId="586" applyFont="1" applyFill="1" applyBorder="1">
      <alignment/>
      <protection/>
    </xf>
    <xf numFmtId="169" fontId="38" fillId="0" borderId="0" xfId="586" applyNumberFormat="1" applyFont="1" applyFill="1" applyBorder="1">
      <alignment/>
      <protection/>
    </xf>
    <xf numFmtId="170" fontId="38" fillId="0" borderId="0" xfId="586" applyNumberFormat="1" applyFont="1" applyFill="1" applyBorder="1">
      <alignment/>
      <protection/>
    </xf>
    <xf numFmtId="0" fontId="34" fillId="0" borderId="14" xfId="586" applyFont="1" applyBorder="1">
      <alignment/>
      <protection/>
    </xf>
    <xf numFmtId="169" fontId="37" fillId="0" borderId="0" xfId="586" applyNumberFormat="1" applyFont="1" applyFill="1" applyBorder="1" applyAlignment="1">
      <alignment horizontal="left"/>
      <protection/>
    </xf>
    <xf numFmtId="169" fontId="37" fillId="0" borderId="0" xfId="586" applyNumberFormat="1" applyFont="1" applyFill="1" applyBorder="1">
      <alignment/>
      <protection/>
    </xf>
    <xf numFmtId="0" fontId="68" fillId="0" borderId="88" xfId="586" applyFont="1" applyBorder="1">
      <alignment/>
      <protection/>
    </xf>
    <xf numFmtId="0" fontId="68" fillId="0" borderId="89" xfId="586" applyFont="1" applyBorder="1">
      <alignment/>
      <protection/>
    </xf>
    <xf numFmtId="169" fontId="36" fillId="0" borderId="0" xfId="586" applyNumberFormat="1" applyFont="1" applyFill="1" applyBorder="1">
      <alignment/>
      <protection/>
    </xf>
    <xf numFmtId="0" fontId="35" fillId="0" borderId="0" xfId="586" applyFont="1" applyFill="1" applyBorder="1">
      <alignment/>
      <protection/>
    </xf>
    <xf numFmtId="169" fontId="38" fillId="0" borderId="0" xfId="586" applyNumberFormat="1" applyFont="1" applyFill="1" applyBorder="1" applyAlignment="1">
      <alignment horizontal="right"/>
      <protection/>
    </xf>
    <xf numFmtId="2" fontId="44" fillId="0" borderId="0" xfId="586" applyNumberFormat="1" applyFont="1" applyFill="1" applyBorder="1" applyAlignment="1">
      <alignment horizontal="center" vertical="center"/>
      <protection/>
    </xf>
    <xf numFmtId="1" fontId="44" fillId="0" borderId="0" xfId="586" applyNumberFormat="1" applyFont="1" applyFill="1" applyBorder="1" applyAlignment="1">
      <alignment horizontal="center" vertical="top"/>
      <protection/>
    </xf>
    <xf numFmtId="0" fontId="82" fillId="0" borderId="14" xfId="586" applyFont="1" applyBorder="1">
      <alignment/>
      <protection/>
    </xf>
    <xf numFmtId="4" fontId="37" fillId="0" borderId="24" xfId="586" applyNumberFormat="1" applyFont="1" applyBorder="1">
      <alignment/>
      <protection/>
    </xf>
    <xf numFmtId="0" fontId="37" fillId="0" borderId="0" xfId="586" applyFont="1" applyFill="1" applyBorder="1" applyAlignment="1">
      <alignment horizontal="center"/>
      <protection/>
    </xf>
    <xf numFmtId="3" fontId="40" fillId="0" borderId="0" xfId="586" applyNumberFormat="1" applyFont="1" applyBorder="1">
      <alignment/>
      <protection/>
    </xf>
    <xf numFmtId="4" fontId="37" fillId="0" borderId="76" xfId="586" applyNumberFormat="1" applyFont="1" applyBorder="1">
      <alignment/>
      <protection/>
    </xf>
    <xf numFmtId="3" fontId="42" fillId="0" borderId="0" xfId="586" applyNumberFormat="1" applyFont="1" applyBorder="1">
      <alignment/>
      <protection/>
    </xf>
    <xf numFmtId="0" fontId="84" fillId="0" borderId="0" xfId="586" applyFont="1" applyBorder="1">
      <alignment/>
      <protection/>
    </xf>
    <xf numFmtId="0" fontId="82" fillId="0" borderId="0" xfId="586" applyFont="1" applyBorder="1">
      <alignment/>
      <protection/>
    </xf>
    <xf numFmtId="0" fontId="5" fillId="0" borderId="0" xfId="586" applyFont="1" applyFill="1" applyBorder="1" applyAlignment="1">
      <alignment horizontal="center"/>
      <protection/>
    </xf>
    <xf numFmtId="0" fontId="37" fillId="26" borderId="0" xfId="586" applyFont="1" applyFill="1" applyBorder="1">
      <alignment/>
      <protection/>
    </xf>
    <xf numFmtId="0" fontId="44" fillId="7" borderId="90" xfId="586" applyFont="1" applyFill="1" applyBorder="1">
      <alignment/>
      <protection/>
    </xf>
    <xf numFmtId="0" fontId="44" fillId="7" borderId="91" xfId="586" applyFont="1" applyFill="1" applyBorder="1" applyAlignment="1">
      <alignment vertical="top"/>
      <protection/>
    </xf>
    <xf numFmtId="0" fontId="44" fillId="7" borderId="92" xfId="586" applyFont="1" applyFill="1" applyBorder="1" applyAlignment="1">
      <alignment horizontal="center"/>
      <protection/>
    </xf>
    <xf numFmtId="0" fontId="32" fillId="7" borderId="92" xfId="586" applyFont="1" applyFill="1" applyBorder="1" applyAlignment="1">
      <alignment horizontal="center"/>
      <protection/>
    </xf>
    <xf numFmtId="3" fontId="32" fillId="7" borderId="93" xfId="586" applyNumberFormat="1" applyFont="1" applyFill="1" applyBorder="1" applyAlignment="1">
      <alignment horizontal="center" vertical="center"/>
      <protection/>
    </xf>
    <xf numFmtId="1" fontId="32" fillId="7" borderId="94" xfId="586" applyNumberFormat="1" applyFont="1" applyFill="1" applyBorder="1" applyAlignment="1">
      <alignment horizontal="center" vertical="center"/>
      <protection/>
    </xf>
    <xf numFmtId="1" fontId="32" fillId="7" borderId="95" xfId="586" applyNumberFormat="1" applyFont="1" applyFill="1" applyBorder="1" applyAlignment="1">
      <alignment horizontal="center" vertical="center"/>
      <protection/>
    </xf>
    <xf numFmtId="0" fontId="36" fillId="15" borderId="96" xfId="586" applyFont="1" applyFill="1" applyBorder="1">
      <alignment/>
      <protection/>
    </xf>
    <xf numFmtId="4" fontId="36" fillId="15" borderId="97" xfId="586" applyNumberFormat="1" applyFont="1" applyFill="1" applyBorder="1" applyAlignment="1">
      <alignment horizontal="right"/>
      <protection/>
    </xf>
    <xf numFmtId="0" fontId="24" fillId="3" borderId="0" xfId="0" applyFont="1" applyFill="1" applyBorder="1" applyAlignment="1">
      <alignment horizontal="left"/>
    </xf>
    <xf numFmtId="0" fontId="24" fillId="7" borderId="0" xfId="0" applyFont="1" applyFill="1" applyBorder="1" applyAlignment="1">
      <alignment horizontal="left"/>
    </xf>
    <xf numFmtId="0" fontId="37" fillId="0" borderId="96" xfId="586" applyFont="1" applyBorder="1">
      <alignment/>
      <protection/>
    </xf>
    <xf numFmtId="4" fontId="37" fillId="0" borderId="97" xfId="586" applyNumberFormat="1" applyFont="1" applyFill="1" applyBorder="1">
      <alignment/>
      <protection/>
    </xf>
    <xf numFmtId="0" fontId="70" fillId="0" borderId="96" xfId="586" applyFont="1" applyBorder="1">
      <alignment/>
      <protection/>
    </xf>
    <xf numFmtId="4" fontId="70" fillId="0" borderId="97" xfId="586" applyNumberFormat="1" applyFont="1" applyFill="1" applyBorder="1" applyAlignment="1">
      <alignment horizontal="left"/>
      <protection/>
    </xf>
    <xf numFmtId="0" fontId="71" fillId="0" borderId="96" xfId="586" applyFont="1" applyBorder="1">
      <alignment/>
      <protection/>
    </xf>
    <xf numFmtId="4" fontId="70" fillId="0" borderId="98" xfId="586" applyNumberFormat="1" applyFont="1" applyFill="1" applyBorder="1" applyAlignment="1">
      <alignment horizontal="left"/>
      <protection/>
    </xf>
    <xf numFmtId="4" fontId="37" fillId="0" borderId="98" xfId="586" applyNumberFormat="1" applyFont="1" applyFill="1" applyBorder="1">
      <alignment/>
      <protection/>
    </xf>
    <xf numFmtId="0" fontId="38" fillId="8" borderId="96" xfId="586" applyFont="1" applyFill="1" applyBorder="1" applyAlignment="1">
      <alignment horizontal="right"/>
      <protection/>
    </xf>
    <xf numFmtId="4" fontId="38" fillId="8" borderId="98" xfId="586" applyNumberFormat="1" applyFont="1" applyFill="1" applyBorder="1">
      <alignment/>
      <protection/>
    </xf>
    <xf numFmtId="0" fontId="72" fillId="0" borderId="96" xfId="586" applyFont="1" applyFill="1" applyBorder="1">
      <alignment/>
      <protection/>
    </xf>
    <xf numFmtId="4" fontId="72" fillId="0" borderId="98" xfId="586" applyNumberFormat="1" applyFont="1" applyFill="1" applyBorder="1">
      <alignment/>
      <protection/>
    </xf>
    <xf numFmtId="0" fontId="72" fillId="0" borderId="99" xfId="586" applyFont="1" applyFill="1" applyBorder="1">
      <alignment/>
      <protection/>
    </xf>
    <xf numFmtId="0" fontId="70" fillId="0" borderId="96" xfId="586" applyFont="1" applyFill="1" applyBorder="1">
      <alignment/>
      <protection/>
    </xf>
    <xf numFmtId="0" fontId="75" fillId="0" borderId="100" xfId="586" applyFont="1" applyFill="1" applyBorder="1">
      <alignment/>
      <protection/>
    </xf>
    <xf numFmtId="4" fontId="75" fillId="0" borderId="98" xfId="586" applyNumberFormat="1" applyFont="1" applyFill="1" applyBorder="1" applyAlignment="1">
      <alignment horizontal="right"/>
      <protection/>
    </xf>
    <xf numFmtId="0" fontId="37" fillId="0" borderId="100" xfId="586" applyFont="1" applyFill="1" applyBorder="1">
      <alignment/>
      <protection/>
    </xf>
    <xf numFmtId="0" fontId="37" fillId="0" borderId="99" xfId="586" applyFont="1" applyBorder="1">
      <alignment/>
      <protection/>
    </xf>
    <xf numFmtId="4" fontId="75" fillId="0" borderId="98" xfId="586" applyNumberFormat="1" applyFont="1" applyFill="1" applyBorder="1">
      <alignment/>
      <protection/>
    </xf>
    <xf numFmtId="0" fontId="37" fillId="0" borderId="100" xfId="586" applyFont="1" applyBorder="1">
      <alignment/>
      <protection/>
    </xf>
    <xf numFmtId="0" fontId="70" fillId="0" borderId="100" xfId="586" applyFont="1" applyBorder="1">
      <alignment/>
      <protection/>
    </xf>
    <xf numFmtId="0" fontId="75" fillId="0" borderId="96" xfId="586" applyFont="1" applyFill="1" applyBorder="1">
      <alignment/>
      <protection/>
    </xf>
    <xf numFmtId="0" fontId="37" fillId="0" borderId="101" xfId="586" applyFont="1" applyBorder="1">
      <alignment/>
      <protection/>
    </xf>
    <xf numFmtId="4" fontId="5" fillId="0" borderId="98" xfId="586" applyNumberFormat="1" applyFont="1" applyBorder="1">
      <alignment/>
      <protection/>
    </xf>
    <xf numFmtId="4" fontId="70" fillId="0" borderId="98" xfId="586" applyNumberFormat="1" applyFont="1" applyBorder="1" applyAlignment="1">
      <alignment horizontal="left"/>
      <protection/>
    </xf>
    <xf numFmtId="0" fontId="0" fillId="0" borderId="101" xfId="0" applyBorder="1" applyAlignment="1">
      <alignment/>
    </xf>
    <xf numFmtId="0" fontId="0" fillId="0" borderId="102" xfId="0" applyBorder="1" applyAlignment="1">
      <alignment/>
    </xf>
    <xf numFmtId="0" fontId="70" fillId="0" borderId="99" xfId="586" applyFont="1" applyBorder="1">
      <alignment/>
      <protection/>
    </xf>
    <xf numFmtId="0" fontId="75" fillId="0" borderId="96" xfId="586" applyFont="1" applyFill="1" applyBorder="1" applyAlignment="1">
      <alignment horizontal="right"/>
      <protection/>
    </xf>
    <xf numFmtId="0" fontId="37" fillId="0" borderId="100" xfId="586" applyFont="1" applyFill="1" applyBorder="1" applyAlignment="1">
      <alignment horizontal="right"/>
      <protection/>
    </xf>
    <xf numFmtId="0" fontId="37" fillId="0" borderId="96" xfId="586" applyFont="1" applyFill="1" applyBorder="1">
      <alignment/>
      <protection/>
    </xf>
    <xf numFmtId="168" fontId="36" fillId="15" borderId="96" xfId="586" applyNumberFormat="1" applyFont="1" applyFill="1" applyBorder="1" applyAlignment="1">
      <alignment horizontal="left"/>
      <protection/>
    </xf>
    <xf numFmtId="4" fontId="36" fillId="15" borderId="98" xfId="586" applyNumberFormat="1" applyFont="1" applyFill="1" applyBorder="1" applyAlignment="1">
      <alignment horizontal="right"/>
      <protection/>
    </xf>
    <xf numFmtId="4" fontId="37" fillId="0" borderId="98" xfId="586" applyNumberFormat="1" applyFont="1" applyBorder="1" applyAlignment="1">
      <alignment horizontal="right"/>
      <protection/>
    </xf>
    <xf numFmtId="4" fontId="37" fillId="0" borderId="97" xfId="586" applyNumberFormat="1" applyFont="1" applyBorder="1" applyAlignment="1">
      <alignment horizontal="right"/>
      <protection/>
    </xf>
    <xf numFmtId="0" fontId="37" fillId="0" borderId="103" xfId="586" applyFont="1" applyBorder="1">
      <alignment/>
      <protection/>
    </xf>
    <xf numFmtId="0" fontId="37" fillId="0" borderId="104" xfId="586" applyFont="1" applyBorder="1">
      <alignment/>
      <protection/>
    </xf>
    <xf numFmtId="0" fontId="37" fillId="0" borderId="104" xfId="586" applyFont="1" applyFill="1" applyBorder="1">
      <alignment/>
      <protection/>
    </xf>
    <xf numFmtId="4" fontId="37" fillId="0" borderId="105" xfId="586" applyNumberFormat="1" applyFont="1" applyBorder="1">
      <alignment/>
      <protection/>
    </xf>
    <xf numFmtId="4" fontId="37" fillId="0" borderId="106" xfId="586" applyNumberFormat="1" applyFont="1" applyBorder="1" applyAlignment="1">
      <alignment horizontal="right"/>
      <protection/>
    </xf>
    <xf numFmtId="0" fontId="36" fillId="15" borderId="99" xfId="586" applyFont="1" applyFill="1" applyBorder="1">
      <alignment/>
      <protection/>
    </xf>
    <xf numFmtId="4" fontId="37" fillId="0" borderId="98" xfId="586" applyNumberFormat="1" applyFont="1" applyBorder="1">
      <alignment/>
      <protection/>
    </xf>
    <xf numFmtId="4" fontId="37" fillId="0" borderId="98" xfId="586" applyNumberFormat="1" applyFont="1" applyBorder="1" applyAlignment="1">
      <alignment horizontal="left"/>
      <protection/>
    </xf>
    <xf numFmtId="0" fontId="37" fillId="0" borderId="99" xfId="586" applyFont="1" applyFill="1" applyBorder="1">
      <alignment/>
      <protection/>
    </xf>
    <xf numFmtId="49" fontId="32" fillId="4" borderId="103" xfId="586" applyNumberFormat="1" applyFont="1" applyFill="1" applyBorder="1" applyAlignment="1">
      <alignment horizontal="right"/>
      <protection/>
    </xf>
    <xf numFmtId="0" fontId="37" fillId="4" borderId="107" xfId="586" applyFont="1" applyFill="1" applyBorder="1">
      <alignment/>
      <protection/>
    </xf>
    <xf numFmtId="0" fontId="32" fillId="4" borderId="105" xfId="586" applyFont="1" applyFill="1" applyBorder="1">
      <alignment/>
      <protection/>
    </xf>
    <xf numFmtId="4" fontId="38" fillId="4" borderId="108" xfId="586" applyNumberFormat="1" applyFont="1" applyFill="1" applyBorder="1" applyAlignment="1">
      <alignment horizontal="right"/>
      <protection/>
    </xf>
    <xf numFmtId="4" fontId="38" fillId="4" borderId="109" xfId="586" applyNumberFormat="1" applyFont="1" applyFill="1" applyBorder="1" applyAlignment="1">
      <alignment horizontal="right"/>
      <protection/>
    </xf>
    <xf numFmtId="0" fontId="44" fillId="7" borderId="91" xfId="586" applyFont="1" applyFill="1" applyBorder="1" applyAlignment="1">
      <alignment horizontal="center"/>
      <protection/>
    </xf>
    <xf numFmtId="0" fontId="44" fillId="7" borderId="93" xfId="586" applyFont="1" applyFill="1" applyBorder="1" applyAlignment="1">
      <alignment horizontal="center"/>
      <protection/>
    </xf>
    <xf numFmtId="1" fontId="44" fillId="7" borderId="93" xfId="586" applyNumberFormat="1" applyFont="1" applyFill="1" applyBorder="1" applyAlignment="1">
      <alignment horizontal="center" vertical="center"/>
      <protection/>
    </xf>
    <xf numFmtId="1" fontId="44" fillId="7" borderId="110" xfId="586" applyNumberFormat="1" applyFont="1" applyFill="1" applyBorder="1" applyAlignment="1">
      <alignment horizontal="center" vertical="center"/>
      <protection/>
    </xf>
    <xf numFmtId="4" fontId="38" fillId="15" borderId="98" xfId="586" applyNumberFormat="1" applyFont="1" applyFill="1" applyBorder="1">
      <alignment/>
      <protection/>
    </xf>
    <xf numFmtId="4" fontId="36" fillId="4" borderId="108" xfId="586" applyNumberFormat="1" applyFont="1" applyFill="1" applyBorder="1">
      <alignment/>
      <protection/>
    </xf>
    <xf numFmtId="4" fontId="36" fillId="4" borderId="109" xfId="586" applyNumberFormat="1" applyFont="1" applyFill="1" applyBorder="1">
      <alignment/>
      <protection/>
    </xf>
    <xf numFmtId="4" fontId="36" fillId="15" borderId="98" xfId="586" applyNumberFormat="1" applyFont="1" applyFill="1" applyBorder="1">
      <alignment/>
      <protection/>
    </xf>
    <xf numFmtId="4" fontId="37" fillId="0" borderId="106" xfId="586" applyNumberFormat="1" applyFont="1" applyBorder="1">
      <alignment/>
      <protection/>
    </xf>
    <xf numFmtId="0" fontId="36" fillId="15" borderId="90" xfId="586" applyFont="1" applyFill="1" applyBorder="1">
      <alignment/>
      <protection/>
    </xf>
    <xf numFmtId="0" fontId="35" fillId="15" borderId="91" xfId="586" applyFont="1" applyFill="1" applyBorder="1">
      <alignment/>
      <protection/>
    </xf>
    <xf numFmtId="4" fontId="36" fillId="15" borderId="93" xfId="586" applyNumberFormat="1" applyFont="1" applyFill="1" applyBorder="1">
      <alignment/>
      <protection/>
    </xf>
    <xf numFmtId="4" fontId="36" fillId="15" borderId="110" xfId="586" applyNumberFormat="1" applyFont="1" applyFill="1" applyBorder="1">
      <alignment/>
      <protection/>
    </xf>
    <xf numFmtId="0" fontId="37" fillId="0" borderId="101" xfId="586" applyFont="1" applyFill="1" applyBorder="1">
      <alignment/>
      <protection/>
    </xf>
    <xf numFmtId="0" fontId="36" fillId="15" borderId="111" xfId="586" applyFont="1" applyFill="1" applyBorder="1">
      <alignment/>
      <protection/>
    </xf>
    <xf numFmtId="0" fontId="37" fillId="0" borderId="103" xfId="586" applyFont="1" applyFill="1" applyBorder="1">
      <alignment/>
      <protection/>
    </xf>
    <xf numFmtId="0" fontId="38" fillId="0" borderId="23" xfId="586" applyFont="1" applyFill="1" applyBorder="1">
      <alignment/>
      <protection/>
    </xf>
    <xf numFmtId="4" fontId="5" fillId="0" borderId="21" xfId="586" applyNumberFormat="1" applyFont="1" applyBorder="1">
      <alignment/>
      <protection/>
    </xf>
    <xf numFmtId="4" fontId="38" fillId="0" borderId="21" xfId="586" applyNumberFormat="1" applyFont="1" applyFill="1" applyBorder="1" applyAlignment="1">
      <alignment horizontal="right"/>
      <protection/>
    </xf>
    <xf numFmtId="4" fontId="36" fillId="15" borderId="112" xfId="586" applyNumberFormat="1" applyFont="1" applyFill="1" applyBorder="1">
      <alignment/>
      <protection/>
    </xf>
    <xf numFmtId="4" fontId="36" fillId="15" borderId="94" xfId="586" applyNumberFormat="1" applyFont="1" applyFill="1" applyBorder="1">
      <alignment/>
      <protection/>
    </xf>
    <xf numFmtId="4" fontId="36" fillId="15" borderId="95" xfId="586" applyNumberFormat="1" applyFont="1" applyFill="1" applyBorder="1">
      <alignment/>
      <protection/>
    </xf>
    <xf numFmtId="0" fontId="37" fillId="0" borderId="107" xfId="586" applyFont="1" applyFill="1" applyBorder="1">
      <alignment/>
      <protection/>
    </xf>
    <xf numFmtId="4" fontId="37" fillId="0" borderId="108" xfId="586" applyNumberFormat="1" applyFont="1" applyBorder="1">
      <alignment/>
      <protection/>
    </xf>
    <xf numFmtId="4" fontId="37" fillId="0" borderId="109" xfId="586" applyNumberFormat="1" applyFont="1" applyBorder="1">
      <alignment/>
      <protection/>
    </xf>
    <xf numFmtId="0" fontId="36" fillId="15" borderId="91" xfId="586" applyFont="1" applyFill="1" applyBorder="1">
      <alignment/>
      <protection/>
    </xf>
    <xf numFmtId="0" fontId="36" fillId="15" borderId="92" xfId="586" applyFont="1" applyFill="1" applyBorder="1">
      <alignment/>
      <protection/>
    </xf>
    <xf numFmtId="4" fontId="36" fillId="4" borderId="105" xfId="586" applyNumberFormat="1" applyFont="1" applyFill="1" applyBorder="1">
      <alignment/>
      <protection/>
    </xf>
    <xf numFmtId="4" fontId="38" fillId="4" borderId="105" xfId="586" applyNumberFormat="1" applyFont="1" applyFill="1" applyBorder="1" applyAlignment="1">
      <alignment horizontal="right"/>
      <protection/>
    </xf>
    <xf numFmtId="4" fontId="38" fillId="4" borderId="106" xfId="586" applyNumberFormat="1" applyFont="1" applyFill="1" applyBorder="1" applyAlignment="1">
      <alignment horizontal="right"/>
      <protection/>
    </xf>
    <xf numFmtId="4" fontId="37" fillId="0" borderId="105" xfId="586" applyNumberFormat="1" applyFont="1" applyBorder="1" applyAlignment="1">
      <alignment horizontal="left"/>
      <protection/>
    </xf>
    <xf numFmtId="0" fontId="37" fillId="0" borderId="113" xfId="586" applyFont="1" applyFill="1" applyBorder="1">
      <alignment/>
      <protection/>
    </xf>
    <xf numFmtId="0" fontId="37" fillId="0" borderId="114" xfId="586" applyFont="1" applyFill="1" applyBorder="1">
      <alignment/>
      <protection/>
    </xf>
    <xf numFmtId="0" fontId="37" fillId="0" borderId="115" xfId="586" applyFont="1" applyBorder="1">
      <alignment/>
      <protection/>
    </xf>
    <xf numFmtId="0" fontId="37" fillId="0" borderId="115" xfId="586" applyFont="1" applyFill="1" applyBorder="1">
      <alignment/>
      <protection/>
    </xf>
    <xf numFmtId="0" fontId="32" fillId="4" borderId="116" xfId="586" applyFont="1" applyFill="1" applyBorder="1">
      <alignment/>
      <protection/>
    </xf>
    <xf numFmtId="4" fontId="36" fillId="4" borderId="117" xfId="586" applyNumberFormat="1" applyFont="1" applyFill="1" applyBorder="1">
      <alignment/>
      <protection/>
    </xf>
    <xf numFmtId="3" fontId="32" fillId="7" borderId="92" xfId="586" applyNumberFormat="1" applyFont="1" applyFill="1" applyBorder="1" applyAlignment="1">
      <alignment horizontal="center" vertical="center"/>
      <protection/>
    </xf>
    <xf numFmtId="0" fontId="70" fillId="0" borderId="103" xfId="586" applyFont="1" applyBorder="1">
      <alignment/>
      <protection/>
    </xf>
    <xf numFmtId="0" fontId="70" fillId="0" borderId="104" xfId="586" applyFont="1" applyBorder="1">
      <alignment/>
      <protection/>
    </xf>
    <xf numFmtId="0" fontId="70" fillId="0" borderId="104" xfId="586" applyFont="1" applyFill="1" applyBorder="1">
      <alignment/>
      <protection/>
    </xf>
    <xf numFmtId="4" fontId="68" fillId="0" borderId="107" xfId="586" applyNumberFormat="1" applyFont="1" applyBorder="1">
      <alignment/>
      <protection/>
    </xf>
    <xf numFmtId="4" fontId="68" fillId="0" borderId="105" xfId="586" applyNumberFormat="1" applyFont="1" applyBorder="1">
      <alignment/>
      <protection/>
    </xf>
    <xf numFmtId="4" fontId="68" fillId="0" borderId="106" xfId="586" applyNumberFormat="1" applyFont="1" applyBorder="1">
      <alignment/>
      <protection/>
    </xf>
    <xf numFmtId="4" fontId="36" fillId="15" borderId="92" xfId="586" applyNumberFormat="1" applyFont="1" applyFill="1" applyBorder="1">
      <alignment/>
      <protection/>
    </xf>
    <xf numFmtId="4" fontId="36" fillId="4" borderId="106" xfId="586" applyNumberFormat="1" applyFont="1" applyFill="1" applyBorder="1">
      <alignment/>
      <protection/>
    </xf>
    <xf numFmtId="0" fontId="38" fillId="0" borderId="96" xfId="586" applyFont="1" applyFill="1" applyBorder="1">
      <alignment/>
      <protection/>
    </xf>
    <xf numFmtId="0" fontId="38" fillId="0" borderId="103" xfId="586" applyFont="1" applyFill="1" applyBorder="1">
      <alignment/>
      <protection/>
    </xf>
    <xf numFmtId="0" fontId="38" fillId="0" borderId="104" xfId="586" applyFont="1" applyBorder="1">
      <alignment/>
      <protection/>
    </xf>
    <xf numFmtId="4" fontId="37" fillId="0" borderId="107" xfId="586" applyNumberFormat="1" applyFont="1" applyBorder="1" applyAlignment="1">
      <alignment horizontal="left"/>
      <protection/>
    </xf>
    <xf numFmtId="4" fontId="37" fillId="0" borderId="106" xfId="586" applyNumberFormat="1" applyFont="1" applyBorder="1" applyAlignment="1">
      <alignment horizontal="left"/>
      <protection/>
    </xf>
    <xf numFmtId="4" fontId="38" fillId="15" borderId="112" xfId="586" applyNumberFormat="1" applyFont="1" applyFill="1" applyBorder="1" applyAlignment="1">
      <alignment horizontal="right"/>
      <protection/>
    </xf>
    <xf numFmtId="4" fontId="38" fillId="15" borderId="94" xfId="586" applyNumberFormat="1" applyFont="1" applyFill="1" applyBorder="1" applyAlignment="1">
      <alignment horizontal="right"/>
      <protection/>
    </xf>
    <xf numFmtId="4" fontId="38" fillId="15" borderId="95" xfId="586" applyNumberFormat="1" applyFont="1" applyFill="1" applyBorder="1" applyAlignment="1">
      <alignment horizontal="right"/>
      <protection/>
    </xf>
    <xf numFmtId="0" fontId="38" fillId="0" borderId="96" xfId="586" applyFont="1" applyBorder="1">
      <alignment/>
      <protection/>
    </xf>
    <xf numFmtId="0" fontId="38" fillId="0" borderId="96" xfId="586" applyFont="1" applyFill="1" applyBorder="1" applyAlignment="1">
      <alignment horizontal="right"/>
      <protection/>
    </xf>
    <xf numFmtId="4" fontId="39" fillId="0" borderId="98" xfId="586" applyNumberFormat="1" applyFont="1" applyBorder="1" applyAlignment="1">
      <alignment horizontal="left"/>
      <protection/>
    </xf>
    <xf numFmtId="4" fontId="37" fillId="0" borderId="118" xfId="586" applyNumberFormat="1" applyFont="1" applyBorder="1">
      <alignment/>
      <protection/>
    </xf>
    <xf numFmtId="4" fontId="36" fillId="15" borderId="119" xfId="586" applyNumberFormat="1" applyFont="1" applyFill="1" applyBorder="1">
      <alignment/>
      <protection/>
    </xf>
    <xf numFmtId="4" fontId="37" fillId="0" borderId="120" xfId="586" applyNumberFormat="1" applyFont="1" applyBorder="1">
      <alignment/>
      <protection/>
    </xf>
    <xf numFmtId="4" fontId="70" fillId="0" borderId="120" xfId="586" applyNumberFormat="1" applyFont="1" applyBorder="1" applyAlignment="1">
      <alignment horizontal="left"/>
      <protection/>
    </xf>
    <xf numFmtId="4" fontId="37" fillId="0" borderId="120" xfId="586" applyNumberFormat="1" applyFont="1" applyBorder="1" applyAlignment="1">
      <alignment horizontal="right"/>
      <protection/>
    </xf>
    <xf numFmtId="4" fontId="37" fillId="0" borderId="121" xfId="586" applyNumberFormat="1" applyFont="1" applyBorder="1">
      <alignment/>
      <protection/>
    </xf>
    <xf numFmtId="4" fontId="36" fillId="4" borderId="122" xfId="586" applyNumberFormat="1" applyFont="1" applyFill="1" applyBorder="1">
      <alignment/>
      <protection/>
    </xf>
    <xf numFmtId="0" fontId="44" fillId="7" borderId="94" xfId="586" applyFont="1" applyFill="1" applyBorder="1" applyAlignment="1">
      <alignment horizontal="center"/>
      <protection/>
    </xf>
    <xf numFmtId="4" fontId="36" fillId="15" borderId="123" xfId="586" applyNumberFormat="1" applyFont="1" applyFill="1" applyBorder="1">
      <alignment/>
      <protection/>
    </xf>
    <xf numFmtId="4" fontId="68" fillId="0" borderId="121" xfId="586" applyNumberFormat="1" applyFont="1" applyBorder="1">
      <alignment/>
      <protection/>
    </xf>
    <xf numFmtId="4" fontId="37" fillId="0" borderId="120" xfId="586" applyNumberFormat="1" applyFont="1" applyBorder="1" applyAlignment="1">
      <alignment horizontal="left"/>
      <protection/>
    </xf>
    <xf numFmtId="4" fontId="37" fillId="0" borderId="121" xfId="586" applyNumberFormat="1" applyFont="1" applyBorder="1" applyAlignment="1">
      <alignment horizontal="left"/>
      <protection/>
    </xf>
    <xf numFmtId="4" fontId="38" fillId="15" borderId="119" xfId="586" applyNumberFormat="1" applyFont="1" applyFill="1" applyBorder="1" applyAlignment="1">
      <alignment horizontal="right"/>
      <protection/>
    </xf>
    <xf numFmtId="4" fontId="39" fillId="0" borderId="120" xfId="586" applyNumberFormat="1" applyFont="1" applyBorder="1" applyAlignment="1">
      <alignment horizontal="left"/>
      <protection/>
    </xf>
    <xf numFmtId="0" fontId="37" fillId="0" borderId="114" xfId="586" applyFont="1" applyBorder="1">
      <alignment/>
      <protection/>
    </xf>
    <xf numFmtId="4" fontId="37" fillId="0" borderId="107" xfId="586" applyNumberFormat="1" applyFont="1" applyBorder="1">
      <alignment/>
      <protection/>
    </xf>
    <xf numFmtId="4" fontId="36" fillId="15" borderId="120" xfId="586" applyNumberFormat="1" applyFont="1" applyFill="1" applyBorder="1">
      <alignment/>
      <protection/>
    </xf>
    <xf numFmtId="4" fontId="68" fillId="0" borderId="120" xfId="586" applyNumberFormat="1" applyFont="1" applyFill="1" applyBorder="1">
      <alignment/>
      <protection/>
    </xf>
    <xf numFmtId="4" fontId="68" fillId="0" borderId="120" xfId="586" applyNumberFormat="1" applyFont="1" applyBorder="1" applyAlignment="1">
      <alignment horizontal="right"/>
      <protection/>
    </xf>
    <xf numFmtId="4" fontId="68" fillId="0" borderId="120" xfId="586" applyNumberFormat="1" applyFont="1" applyBorder="1" applyAlignment="1">
      <alignment horizontal="left"/>
      <protection/>
    </xf>
    <xf numFmtId="0" fontId="37" fillId="0" borderId="96" xfId="586" applyFont="1" applyFill="1" applyBorder="1" applyAlignment="1">
      <alignment horizontal="left"/>
      <protection/>
    </xf>
    <xf numFmtId="0" fontId="37" fillId="0" borderId="96" xfId="586" applyFont="1" applyFill="1" applyBorder="1" applyAlignment="1">
      <alignment horizontal="right"/>
      <protection/>
    </xf>
    <xf numFmtId="4" fontId="68" fillId="0" borderId="98" xfId="586" applyNumberFormat="1" applyFont="1" applyFill="1" applyBorder="1">
      <alignment/>
      <protection/>
    </xf>
    <xf numFmtId="4" fontId="68" fillId="0" borderId="98" xfId="586" applyNumberFormat="1" applyFont="1" applyBorder="1" applyAlignment="1">
      <alignment horizontal="right"/>
      <protection/>
    </xf>
    <xf numFmtId="4" fontId="68" fillId="0" borderId="98" xfId="586" applyNumberFormat="1" applyFont="1" applyBorder="1" applyAlignment="1">
      <alignment horizontal="left"/>
      <protection/>
    </xf>
    <xf numFmtId="0" fontId="37" fillId="0" borderId="103" xfId="586" applyFont="1" applyFill="1" applyBorder="1" applyAlignment="1">
      <alignment horizontal="left"/>
      <protection/>
    </xf>
    <xf numFmtId="0" fontId="37" fillId="0" borderId="104" xfId="586" applyFont="1" applyFill="1" applyBorder="1" applyAlignment="1">
      <alignment horizontal="right"/>
      <protection/>
    </xf>
    <xf numFmtId="0" fontId="38" fillId="0" borderId="104" xfId="586" applyFont="1" applyFill="1" applyBorder="1" applyAlignment="1">
      <alignment horizontal="left"/>
      <protection/>
    </xf>
    <xf numFmtId="4" fontId="39" fillId="0" borderId="120" xfId="586" applyNumberFormat="1" applyFont="1" applyBorder="1" applyAlignment="1">
      <alignment horizontal="right"/>
      <protection/>
    </xf>
    <xf numFmtId="4" fontId="70" fillId="0" borderId="120" xfId="586" applyNumberFormat="1" applyFont="1" applyBorder="1">
      <alignment/>
      <protection/>
    </xf>
    <xf numFmtId="4" fontId="37" fillId="0" borderId="124" xfId="586" applyNumberFormat="1" applyFont="1" applyBorder="1" applyAlignment="1">
      <alignment horizontal="left"/>
      <protection/>
    </xf>
    <xf numFmtId="4" fontId="39" fillId="0" borderId="98" xfId="586" applyNumberFormat="1" applyFont="1" applyBorder="1" applyAlignment="1">
      <alignment horizontal="right"/>
      <protection/>
    </xf>
    <xf numFmtId="4" fontId="70" fillId="0" borderId="98" xfId="586" applyNumberFormat="1" applyFont="1" applyBorder="1">
      <alignment/>
      <protection/>
    </xf>
    <xf numFmtId="0" fontId="39" fillId="0" borderId="96" xfId="586" applyFont="1" applyFill="1" applyBorder="1" applyAlignment="1">
      <alignment horizontal="left"/>
      <protection/>
    </xf>
    <xf numFmtId="4" fontId="68" fillId="0" borderId="97" xfId="586" applyNumberFormat="1" applyFont="1" applyFill="1" applyBorder="1" applyAlignment="1">
      <alignment horizontal="left"/>
      <protection/>
    </xf>
    <xf numFmtId="4" fontId="37" fillId="0" borderId="118" xfId="586" applyNumberFormat="1" applyFont="1" applyBorder="1" applyAlignment="1">
      <alignment horizontal="left"/>
      <protection/>
    </xf>
    <xf numFmtId="4" fontId="38" fillId="0" borderId="120" xfId="586" applyNumberFormat="1" applyFont="1" applyBorder="1">
      <alignment/>
      <protection/>
    </xf>
    <xf numFmtId="4" fontId="38" fillId="0" borderId="120" xfId="586" applyNumberFormat="1" applyFont="1" applyFill="1" applyBorder="1" applyAlignment="1">
      <alignment horizontal="right"/>
      <protection/>
    </xf>
    <xf numFmtId="4" fontId="79" fillId="0" borderId="120" xfId="586" applyNumberFormat="1" applyFont="1" applyBorder="1" applyAlignment="1">
      <alignment horizontal="left"/>
      <protection/>
    </xf>
    <xf numFmtId="4" fontId="79" fillId="0" borderId="121" xfId="586" applyNumberFormat="1" applyFont="1" applyBorder="1" applyAlignment="1">
      <alignment horizontal="left"/>
      <protection/>
    </xf>
    <xf numFmtId="49" fontId="32" fillId="4" borderId="25" xfId="586" applyNumberFormat="1" applyFont="1" applyFill="1" applyBorder="1" applyAlignment="1">
      <alignment horizontal="right"/>
      <protection/>
    </xf>
    <xf numFmtId="0" fontId="37" fillId="4" borderId="76" xfId="586" applyFont="1" applyFill="1" applyBorder="1">
      <alignment/>
      <protection/>
    </xf>
    <xf numFmtId="0" fontId="32" fillId="4" borderId="16" xfId="586" applyFont="1" applyFill="1" applyBorder="1">
      <alignment/>
      <protection/>
    </xf>
    <xf numFmtId="4" fontId="36" fillId="15" borderId="125" xfId="586" applyNumberFormat="1" applyFont="1" applyFill="1" applyBorder="1">
      <alignment/>
      <protection/>
    </xf>
    <xf numFmtId="4" fontId="38" fillId="0" borderId="98" xfId="586" applyNumberFormat="1" applyFont="1" applyBorder="1">
      <alignment/>
      <protection/>
    </xf>
    <xf numFmtId="4" fontId="38" fillId="0" borderId="98" xfId="586" applyNumberFormat="1" applyFont="1" applyFill="1" applyBorder="1" applyAlignment="1">
      <alignment horizontal="right"/>
      <protection/>
    </xf>
    <xf numFmtId="49" fontId="37" fillId="0" borderId="96" xfId="586" applyNumberFormat="1" applyFont="1" applyFill="1" applyBorder="1" applyAlignment="1">
      <alignment horizontal="left"/>
      <protection/>
    </xf>
    <xf numFmtId="0" fontId="39" fillId="0" borderId="96" xfId="586" applyFont="1" applyFill="1" applyBorder="1">
      <alignment/>
      <protection/>
    </xf>
    <xf numFmtId="0" fontId="70" fillId="8" borderId="96" xfId="586" applyFont="1" applyFill="1" applyBorder="1">
      <alignment/>
      <protection/>
    </xf>
    <xf numFmtId="4" fontId="79" fillId="0" borderId="98" xfId="586" applyNumberFormat="1" applyFont="1" applyBorder="1" applyAlignment="1">
      <alignment horizontal="left"/>
      <protection/>
    </xf>
    <xf numFmtId="0" fontId="70" fillId="0" borderId="103" xfId="586" applyFont="1" applyFill="1" applyBorder="1">
      <alignment/>
      <protection/>
    </xf>
    <xf numFmtId="4" fontId="79" fillId="0" borderId="107" xfId="586" applyNumberFormat="1" applyFont="1" applyBorder="1" applyAlignment="1">
      <alignment horizontal="left"/>
      <protection/>
    </xf>
    <xf numFmtId="4" fontId="79" fillId="0" borderId="105" xfId="586" applyNumberFormat="1" applyFont="1" applyBorder="1" applyAlignment="1">
      <alignment horizontal="left"/>
      <protection/>
    </xf>
    <xf numFmtId="4" fontId="79" fillId="0" borderId="106" xfId="586" applyNumberFormat="1" applyFont="1" applyBorder="1" applyAlignment="1">
      <alignment horizontal="left"/>
      <protection/>
    </xf>
    <xf numFmtId="4" fontId="36" fillId="4" borderId="126" xfId="586" applyNumberFormat="1" applyFont="1" applyFill="1" applyBorder="1">
      <alignment/>
      <protection/>
    </xf>
    <xf numFmtId="0" fontId="81" fillId="7" borderId="92" xfId="586" applyFont="1" applyFill="1" applyBorder="1" applyAlignment="1">
      <alignment horizontal="center"/>
      <protection/>
    </xf>
    <xf numFmtId="0" fontId="36" fillId="4" borderId="96" xfId="586" applyFont="1" applyFill="1" applyBorder="1">
      <alignment/>
      <protection/>
    </xf>
    <xf numFmtId="4" fontId="38" fillId="4" borderId="125" xfId="586" applyNumberFormat="1" applyFont="1" applyFill="1" applyBorder="1">
      <alignment/>
      <protection/>
    </xf>
    <xf numFmtId="4" fontId="37" fillId="0" borderId="102" xfId="586" applyNumberFormat="1" applyFont="1" applyBorder="1">
      <alignment/>
      <protection/>
    </xf>
    <xf numFmtId="168" fontId="36" fillId="4" borderId="96" xfId="586" applyNumberFormat="1" applyFont="1" applyFill="1" applyBorder="1">
      <alignment/>
      <protection/>
    </xf>
    <xf numFmtId="4" fontId="37" fillId="0" borderId="97" xfId="586" applyNumberFormat="1" applyFont="1" applyBorder="1">
      <alignment/>
      <protection/>
    </xf>
    <xf numFmtId="0" fontId="68" fillId="0" borderId="96" xfId="586" applyFont="1" applyFill="1" applyBorder="1">
      <alignment/>
      <protection/>
    </xf>
    <xf numFmtId="4" fontId="5" fillId="0" borderId="102" xfId="586" applyNumberFormat="1" applyFont="1" applyBorder="1">
      <alignment/>
      <protection/>
    </xf>
    <xf numFmtId="4" fontId="38" fillId="4" borderId="97" xfId="586" applyNumberFormat="1" applyFont="1" applyFill="1" applyBorder="1">
      <alignment/>
      <protection/>
    </xf>
    <xf numFmtId="0" fontId="38" fillId="4" borderId="99" xfId="586" applyFont="1" applyFill="1" applyBorder="1">
      <alignment/>
      <protection/>
    </xf>
    <xf numFmtId="4" fontId="38" fillId="4" borderId="98" xfId="586" applyNumberFormat="1" applyFont="1" applyFill="1" applyBorder="1">
      <alignment/>
      <protection/>
    </xf>
    <xf numFmtId="0" fontId="68" fillId="0" borderId="96" xfId="586" applyFont="1" applyBorder="1">
      <alignment/>
      <protection/>
    </xf>
    <xf numFmtId="4" fontId="39" fillId="0" borderId="118" xfId="586" applyNumberFormat="1" applyFont="1" applyBorder="1">
      <alignment/>
      <protection/>
    </xf>
    <xf numFmtId="0" fontId="36" fillId="4" borderId="99" xfId="586" applyFont="1" applyFill="1" applyBorder="1">
      <alignment/>
      <protection/>
    </xf>
    <xf numFmtId="4" fontId="36" fillId="4" borderId="97" xfId="586" applyNumberFormat="1" applyFont="1" applyFill="1" applyBorder="1">
      <alignment/>
      <protection/>
    </xf>
    <xf numFmtId="0" fontId="32" fillId="3" borderId="127" xfId="586" applyFont="1" applyFill="1" applyBorder="1">
      <alignment/>
      <protection/>
    </xf>
    <xf numFmtId="0" fontId="5" fillId="3" borderId="128" xfId="586" applyFont="1" applyFill="1" applyBorder="1">
      <alignment/>
      <protection/>
    </xf>
    <xf numFmtId="0" fontId="32" fillId="3" borderId="128" xfId="586" applyFont="1" applyFill="1" applyBorder="1">
      <alignment/>
      <protection/>
    </xf>
    <xf numFmtId="4" fontId="36" fillId="3" borderId="129" xfId="586" applyNumberFormat="1" applyFont="1" applyFill="1" applyBorder="1">
      <alignment/>
      <protection/>
    </xf>
    <xf numFmtId="4" fontId="38" fillId="3" borderId="130" xfId="586" applyNumberFormat="1" applyFont="1" applyFill="1" applyBorder="1" applyAlignment="1">
      <alignment horizontal="right"/>
      <protection/>
    </xf>
    <xf numFmtId="4" fontId="38" fillId="3" borderId="131" xfId="586" applyNumberFormat="1" applyFont="1" applyFill="1" applyBorder="1" applyAlignment="1">
      <alignment horizontal="right"/>
      <protection/>
    </xf>
    <xf numFmtId="0" fontId="32" fillId="3" borderId="130" xfId="586" applyFont="1" applyFill="1" applyBorder="1">
      <alignment/>
      <protection/>
    </xf>
    <xf numFmtId="4" fontId="38" fillId="3" borderId="129" xfId="586" applyNumberFormat="1" applyFont="1" applyFill="1" applyBorder="1">
      <alignment/>
      <protection/>
    </xf>
    <xf numFmtId="4" fontId="38" fillId="3" borderId="132" xfId="586" applyNumberFormat="1" applyFont="1" applyFill="1" applyBorder="1">
      <alignment/>
      <protection/>
    </xf>
    <xf numFmtId="0" fontId="44" fillId="4" borderId="90" xfId="586" applyFont="1" applyFill="1" applyBorder="1">
      <alignment/>
      <protection/>
    </xf>
    <xf numFmtId="0" fontId="69" fillId="4" borderId="133" xfId="586" applyFont="1" applyFill="1" applyBorder="1">
      <alignment/>
      <protection/>
    </xf>
    <xf numFmtId="0" fontId="69" fillId="4" borderId="91" xfId="586" applyFont="1" applyFill="1" applyBorder="1">
      <alignment/>
      <protection/>
    </xf>
    <xf numFmtId="0" fontId="44" fillId="4" borderId="94" xfId="586" applyFont="1" applyFill="1" applyBorder="1" applyAlignment="1">
      <alignment horizontal="center"/>
      <protection/>
    </xf>
    <xf numFmtId="3" fontId="44" fillId="4" borderId="112" xfId="586" applyNumberFormat="1" applyFont="1" applyFill="1" applyBorder="1" applyAlignment="1">
      <alignment horizontal="center" vertical="top"/>
      <protection/>
    </xf>
    <xf numFmtId="1" fontId="44" fillId="4" borderId="93" xfId="586" applyNumberFormat="1" applyFont="1" applyFill="1" applyBorder="1" applyAlignment="1">
      <alignment horizontal="center" vertical="center"/>
      <protection/>
    </xf>
    <xf numFmtId="1" fontId="44" fillId="4" borderId="110" xfId="586" applyNumberFormat="1" applyFont="1" applyFill="1" applyBorder="1" applyAlignment="1">
      <alignment horizontal="center" vertical="center"/>
      <protection/>
    </xf>
    <xf numFmtId="0" fontId="82" fillId="0" borderId="96" xfId="586" applyFont="1" applyBorder="1">
      <alignment/>
      <protection/>
    </xf>
    <xf numFmtId="4" fontId="37" fillId="0" borderId="98" xfId="586" applyNumberFormat="1" applyFont="1" applyFill="1" applyBorder="1" applyAlignment="1">
      <alignment horizontal="right"/>
      <protection/>
    </xf>
    <xf numFmtId="4" fontId="37" fillId="0" borderId="118" xfId="586" applyNumberFormat="1" applyFont="1" applyBorder="1" applyAlignment="1">
      <alignment horizontal="right"/>
      <protection/>
    </xf>
    <xf numFmtId="0" fontId="83" fillId="4" borderId="103" xfId="586" applyFont="1" applyFill="1" applyBorder="1">
      <alignment/>
      <protection/>
    </xf>
    <xf numFmtId="0" fontId="82" fillId="4" borderId="104" xfId="586" applyFont="1" applyFill="1" applyBorder="1">
      <alignment/>
      <protection/>
    </xf>
    <xf numFmtId="4" fontId="37" fillId="4" borderId="105" xfId="586" applyNumberFormat="1" applyFont="1" applyFill="1" applyBorder="1">
      <alignment/>
      <protection/>
    </xf>
    <xf numFmtId="4" fontId="37" fillId="4" borderId="107" xfId="586" applyNumberFormat="1" applyFont="1" applyFill="1" applyBorder="1">
      <alignment/>
      <protection/>
    </xf>
    <xf numFmtId="4" fontId="37" fillId="4" borderId="105" xfId="586" applyNumberFormat="1" applyFont="1" applyFill="1" applyBorder="1" applyAlignment="1">
      <alignment horizontal="right"/>
      <protection/>
    </xf>
    <xf numFmtId="4" fontId="37" fillId="4" borderId="106" xfId="586" applyNumberFormat="1" applyFont="1" applyFill="1" applyBorder="1" applyAlignment="1">
      <alignment horizontal="right"/>
      <protection/>
    </xf>
    <xf numFmtId="0" fontId="82" fillId="0" borderId="90" xfId="586" applyFont="1" applyBorder="1">
      <alignment/>
      <protection/>
    </xf>
    <xf numFmtId="0" fontId="82" fillId="0" borderId="91" xfId="586" applyFont="1" applyBorder="1">
      <alignment/>
      <protection/>
    </xf>
    <xf numFmtId="4" fontId="37" fillId="0" borderId="94" xfId="586" applyNumberFormat="1" applyFont="1" applyBorder="1">
      <alignment/>
      <protection/>
    </xf>
    <xf numFmtId="4" fontId="37" fillId="0" borderId="112" xfId="586" applyNumberFormat="1" applyFont="1" applyBorder="1">
      <alignment/>
      <protection/>
    </xf>
    <xf numFmtId="4" fontId="37" fillId="0" borderId="93" xfId="586" applyNumberFormat="1" applyFont="1" applyBorder="1" applyAlignment="1">
      <alignment horizontal="right"/>
      <protection/>
    </xf>
    <xf numFmtId="4" fontId="37" fillId="0" borderId="110" xfId="586" applyNumberFormat="1" applyFont="1" applyBorder="1" applyAlignment="1">
      <alignment horizontal="right"/>
      <protection/>
    </xf>
    <xf numFmtId="4" fontId="37" fillId="4" borderId="108" xfId="586" applyNumberFormat="1" applyFont="1" applyFill="1" applyBorder="1">
      <alignment/>
      <protection/>
    </xf>
    <xf numFmtId="4" fontId="37" fillId="4" borderId="117" xfId="586" applyNumberFormat="1" applyFont="1" applyFill="1" applyBorder="1">
      <alignment/>
      <protection/>
    </xf>
    <xf numFmtId="4" fontId="37" fillId="0" borderId="97" xfId="586" applyNumberFormat="1" applyFont="1" applyBorder="1" applyAlignment="1">
      <alignment horizontal="left"/>
      <protection/>
    </xf>
    <xf numFmtId="0" fontId="44" fillId="7" borderId="134" xfId="586" applyFont="1" applyFill="1" applyBorder="1" applyAlignment="1">
      <alignment horizontal="center"/>
      <protection/>
    </xf>
    <xf numFmtId="4" fontId="36" fillId="15" borderId="23" xfId="586" applyNumberFormat="1" applyFont="1" applyFill="1" applyBorder="1">
      <alignment/>
      <protection/>
    </xf>
    <xf numFmtId="4" fontId="36" fillId="15" borderId="21" xfId="586" applyNumberFormat="1" applyFont="1" applyFill="1" applyBorder="1">
      <alignment/>
      <protection/>
    </xf>
    <xf numFmtId="4" fontId="36" fillId="15" borderId="135" xfId="586" applyNumberFormat="1" applyFont="1" applyFill="1" applyBorder="1">
      <alignment/>
      <protection/>
    </xf>
    <xf numFmtId="3" fontId="32" fillId="7" borderId="136" xfId="586" applyNumberFormat="1" applyFont="1" applyFill="1" applyBorder="1" applyAlignment="1">
      <alignment horizontal="center" vertical="center"/>
      <protection/>
    </xf>
    <xf numFmtId="1" fontId="44" fillId="7" borderId="137" xfId="586" applyNumberFormat="1" applyFont="1" applyFill="1" applyBorder="1" applyAlignment="1">
      <alignment horizontal="center" vertical="center"/>
      <protection/>
    </xf>
    <xf numFmtId="1" fontId="44" fillId="7" borderId="138" xfId="586" applyNumberFormat="1" applyFont="1" applyFill="1" applyBorder="1" applyAlignment="1">
      <alignment horizontal="center" vertical="center"/>
      <protection/>
    </xf>
    <xf numFmtId="0" fontId="37" fillId="0" borderId="139" xfId="586" applyFont="1" applyBorder="1">
      <alignment/>
      <protection/>
    </xf>
    <xf numFmtId="0" fontId="37" fillId="0" borderId="140" xfId="586" applyFont="1" applyBorder="1">
      <alignment/>
      <protection/>
    </xf>
    <xf numFmtId="0" fontId="37" fillId="0" borderId="141" xfId="586" applyFont="1" applyBorder="1">
      <alignment/>
      <protection/>
    </xf>
    <xf numFmtId="4" fontId="37" fillId="0" borderId="137" xfId="586" applyNumberFormat="1" applyFont="1" applyBorder="1" applyAlignment="1">
      <alignment horizontal="left"/>
      <protection/>
    </xf>
    <xf numFmtId="4" fontId="37" fillId="0" borderId="138" xfId="586" applyNumberFormat="1" applyFont="1" applyBorder="1" applyAlignment="1">
      <alignment horizontal="left"/>
      <protection/>
    </xf>
    <xf numFmtId="0" fontId="23" fillId="0" borderId="0" xfId="0" applyFont="1" applyBorder="1" applyAlignment="1">
      <alignment horizontal="center"/>
    </xf>
    <xf numFmtId="0" fontId="28" fillId="0" borderId="13" xfId="0" applyFont="1" applyBorder="1" applyAlignment="1">
      <alignment horizontal="justify" vertical="top"/>
    </xf>
    <xf numFmtId="0" fontId="28" fillId="0" borderId="15" xfId="0" applyFont="1" applyBorder="1" applyAlignment="1">
      <alignment horizontal="justify" vertical="top"/>
    </xf>
    <xf numFmtId="49" fontId="28" fillId="15" borderId="14" xfId="0" applyNumberFormat="1" applyFont="1" applyFill="1" applyBorder="1" applyAlignment="1">
      <alignment horizontal="left"/>
    </xf>
    <xf numFmtId="0" fontId="28" fillId="0" borderId="25" xfId="0" applyFont="1" applyBorder="1" applyAlignment="1">
      <alignment horizontal="justify" vertical="top"/>
    </xf>
    <xf numFmtId="0" fontId="28" fillId="0" borderId="13" xfId="0" applyFont="1" applyBorder="1" applyAlignment="1">
      <alignment horizontal="left"/>
    </xf>
    <xf numFmtId="0" fontId="28" fillId="15" borderId="14" xfId="0" applyFont="1" applyFill="1" applyBorder="1" applyAlignment="1">
      <alignment horizontal="left"/>
    </xf>
    <xf numFmtId="0" fontId="26" fillId="0" borderId="14" xfId="0" applyFont="1" applyBorder="1" applyAlignment="1">
      <alignment horizontal="left"/>
    </xf>
    <xf numFmtId="49" fontId="28" fillId="0" borderId="0" xfId="0" applyNumberFormat="1" applyFont="1" applyBorder="1" applyAlignment="1">
      <alignment horizontal="justify" vertical="top"/>
    </xf>
    <xf numFmtId="49" fontId="24" fillId="4" borderId="0" xfId="0" applyNumberFormat="1" applyFont="1" applyFill="1" applyBorder="1" applyAlignment="1">
      <alignment horizontal="center"/>
    </xf>
    <xf numFmtId="0" fontId="26" fillId="3" borderId="13" xfId="0" applyFont="1" applyFill="1" applyBorder="1" applyAlignment="1">
      <alignment horizontal="left"/>
    </xf>
    <xf numFmtId="3" fontId="26" fillId="3" borderId="15" xfId="0" applyNumberFormat="1" applyFont="1" applyFill="1" applyBorder="1" applyAlignment="1">
      <alignment horizontal="right"/>
    </xf>
    <xf numFmtId="0" fontId="26" fillId="3" borderId="15" xfId="0" applyFont="1" applyFill="1" applyBorder="1" applyAlignment="1">
      <alignment horizontal="right"/>
    </xf>
    <xf numFmtId="0" fontId="24" fillId="4" borderId="13" xfId="0" applyFont="1" applyFill="1" applyBorder="1" applyAlignment="1">
      <alignment horizontal="left"/>
    </xf>
    <xf numFmtId="3" fontId="24" fillId="4" borderId="15" xfId="0" applyNumberFormat="1" applyFont="1" applyFill="1" applyBorder="1" applyAlignment="1">
      <alignment horizontal="right"/>
    </xf>
    <xf numFmtId="0" fontId="33" fillId="6" borderId="0" xfId="586" applyFont="1" applyFill="1" applyBorder="1" applyAlignment="1">
      <alignment horizontal="center"/>
      <protection/>
    </xf>
    <xf numFmtId="0" fontId="33" fillId="0" borderId="0" xfId="586" applyFont="1" applyBorder="1" applyAlignment="1">
      <alignment horizontal="center"/>
      <protection/>
    </xf>
    <xf numFmtId="2" fontId="33" fillId="4" borderId="0" xfId="586" applyNumberFormat="1" applyFont="1" applyFill="1" applyBorder="1" applyAlignment="1">
      <alignment horizontal="center"/>
      <protection/>
    </xf>
    <xf numFmtId="0" fontId="35" fillId="4" borderId="15" xfId="586" applyFont="1" applyFill="1" applyBorder="1" applyAlignment="1">
      <alignment horizontal="left"/>
      <protection/>
    </xf>
    <xf numFmtId="3" fontId="33" fillId="4" borderId="0" xfId="586" applyNumberFormat="1" applyFont="1" applyFill="1" applyBorder="1" applyAlignment="1">
      <alignment horizontal="center"/>
      <protection/>
    </xf>
    <xf numFmtId="0" fontId="35" fillId="4" borderId="13" xfId="586" applyFont="1" applyFill="1" applyBorder="1" applyAlignment="1">
      <alignment horizontal="left"/>
      <protection/>
    </xf>
    <xf numFmtId="0" fontId="35" fillId="4" borderId="18" xfId="586" applyFont="1" applyFill="1" applyBorder="1" applyAlignment="1">
      <alignment horizontal="left"/>
      <protection/>
    </xf>
    <xf numFmtId="0" fontId="37" fillId="0" borderId="15" xfId="586" applyFont="1" applyBorder="1" applyAlignment="1">
      <alignment horizontal="left"/>
      <protection/>
    </xf>
    <xf numFmtId="0" fontId="32" fillId="4" borderId="0" xfId="586" applyFont="1" applyFill="1" applyBorder="1" applyAlignment="1">
      <alignment horizontal="center"/>
      <protection/>
    </xf>
    <xf numFmtId="0" fontId="44" fillId="4" borderId="0" xfId="586" applyFont="1" applyFill="1" applyBorder="1" applyAlignment="1">
      <alignment horizontal="center"/>
      <protection/>
    </xf>
    <xf numFmtId="0" fontId="0" fillId="9" borderId="29" xfId="0" applyFont="1" applyFill="1" applyBorder="1" applyAlignment="1">
      <alignment horizontal="center" vertical="center"/>
    </xf>
    <xf numFmtId="0" fontId="45" fillId="9" borderId="142" xfId="0" applyFont="1" applyFill="1" applyBorder="1" applyAlignment="1">
      <alignment horizontal="center" vertical="center"/>
    </xf>
    <xf numFmtId="0" fontId="45" fillId="9" borderId="143" xfId="0" applyFont="1" applyFill="1" applyBorder="1" applyAlignment="1">
      <alignment horizontal="center" vertical="center"/>
    </xf>
    <xf numFmtId="49" fontId="54" fillId="10" borderId="20" xfId="0" applyNumberFormat="1" applyFont="1" applyFill="1" applyBorder="1" applyAlignment="1">
      <alignment horizontal="left"/>
    </xf>
    <xf numFmtId="0" fontId="51" fillId="7" borderId="0" xfId="0" applyFont="1" applyFill="1" applyBorder="1" applyAlignment="1">
      <alignment horizontal="left"/>
    </xf>
    <xf numFmtId="0" fontId="53" fillId="15" borderId="13" xfId="0" applyFont="1" applyFill="1" applyBorder="1" applyAlignment="1">
      <alignment horizontal="left"/>
    </xf>
    <xf numFmtId="49" fontId="51" fillId="15" borderId="13" xfId="0" applyNumberFormat="1" applyFont="1" applyFill="1" applyBorder="1" applyAlignment="1">
      <alignment horizontal="left"/>
    </xf>
    <xf numFmtId="49" fontId="56" fillId="3" borderId="0" xfId="0" applyNumberFormat="1" applyFont="1" applyFill="1" applyBorder="1" applyAlignment="1">
      <alignment horizontal="left"/>
    </xf>
    <xf numFmtId="49" fontId="51" fillId="7" borderId="0" xfId="0" applyNumberFormat="1" applyFont="1" applyFill="1" applyBorder="1" applyAlignment="1">
      <alignment horizontal="left"/>
    </xf>
    <xf numFmtId="0" fontId="33" fillId="0" borderId="0" xfId="0" applyFont="1" applyFill="1" applyBorder="1" applyAlignment="1">
      <alignment horizontal="center"/>
    </xf>
    <xf numFmtId="0" fontId="5" fillId="10" borderId="144" xfId="0" applyFont="1" applyFill="1" applyBorder="1" applyAlignment="1">
      <alignment horizontal="center" vertical="center"/>
    </xf>
    <xf numFmtId="0" fontId="56" fillId="7" borderId="26" xfId="0" applyFont="1" applyFill="1" applyBorder="1" applyAlignment="1">
      <alignment horizontal="left"/>
    </xf>
    <xf numFmtId="0" fontId="5" fillId="10" borderId="29" xfId="0" applyFont="1" applyFill="1" applyBorder="1" applyAlignment="1">
      <alignment horizontal="center" vertical="center"/>
    </xf>
    <xf numFmtId="0" fontId="0" fillId="15" borderId="145" xfId="0" applyFont="1" applyFill="1" applyBorder="1" applyAlignment="1">
      <alignment horizontal="center"/>
    </xf>
    <xf numFmtId="0" fontId="0" fillId="3" borderId="146" xfId="0" applyFont="1" applyFill="1" applyBorder="1" applyAlignment="1">
      <alignment horizontal="center"/>
    </xf>
    <xf numFmtId="0" fontId="0" fillId="4" borderId="146" xfId="0" applyFont="1" applyFill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15" borderId="146" xfId="0" applyFont="1" applyFill="1" applyBorder="1" applyAlignment="1">
      <alignment horizontal="center"/>
    </xf>
    <xf numFmtId="0" fontId="0" fillId="4" borderId="147" xfId="0" applyFont="1" applyFill="1" applyBorder="1" applyAlignment="1">
      <alignment horizontal="center"/>
    </xf>
    <xf numFmtId="0" fontId="56" fillId="0" borderId="0" xfId="0" applyFont="1" applyBorder="1" applyAlignment="1">
      <alignment horizontal="center"/>
    </xf>
    <xf numFmtId="3" fontId="0" fillId="4" borderId="15" xfId="0" applyNumberFormat="1" applyFill="1" applyBorder="1" applyAlignment="1">
      <alignment horizontal="center" vertical="center"/>
    </xf>
    <xf numFmtId="0" fontId="0" fillId="4" borderId="15" xfId="0" applyFont="1" applyFill="1" applyBorder="1" applyAlignment="1">
      <alignment horizontal="center"/>
    </xf>
    <xf numFmtId="0" fontId="56" fillId="7" borderId="13" xfId="0" applyFont="1" applyFill="1" applyBorder="1" applyAlignment="1">
      <alignment horizontal="center" vertical="top"/>
    </xf>
    <xf numFmtId="0" fontId="53" fillId="4" borderId="15" xfId="0" applyFont="1" applyFill="1" applyBorder="1" applyAlignment="1">
      <alignment horizontal="center" vertical="center"/>
    </xf>
    <xf numFmtId="165" fontId="25" fillId="6" borderId="0" xfId="565" applyFont="1" applyFill="1" applyBorder="1" applyAlignment="1" applyProtection="1">
      <alignment horizontal="center"/>
      <protection/>
    </xf>
    <xf numFmtId="3" fontId="32" fillId="4" borderId="0" xfId="586" applyNumberFormat="1" applyFont="1" applyFill="1" applyBorder="1" applyAlignment="1">
      <alignment horizontal="center"/>
      <protection/>
    </xf>
    <xf numFmtId="0" fontId="36" fillId="4" borderId="148" xfId="586" applyFont="1" applyFill="1" applyBorder="1" applyAlignment="1">
      <alignment horizontal="left"/>
      <protection/>
    </xf>
    <xf numFmtId="0" fontId="36" fillId="4" borderId="15" xfId="586" applyFont="1" applyFill="1" applyBorder="1" applyAlignment="1">
      <alignment horizontal="left"/>
      <protection/>
    </xf>
    <xf numFmtId="3" fontId="32" fillId="7" borderId="133" xfId="586" applyNumberFormat="1" applyFont="1" applyFill="1" applyBorder="1" applyAlignment="1">
      <alignment horizontal="center" vertical="center"/>
      <protection/>
    </xf>
    <xf numFmtId="4" fontId="36" fillId="15" borderId="17" xfId="586" applyNumberFormat="1" applyFont="1" applyFill="1" applyBorder="1">
      <alignment/>
      <protection/>
    </xf>
    <xf numFmtId="4" fontId="37" fillId="0" borderId="17" xfId="586" applyNumberFormat="1" applyFont="1" applyFill="1" applyBorder="1">
      <alignment/>
      <protection/>
    </xf>
    <xf numFmtId="4" fontId="70" fillId="0" borderId="17" xfId="586" applyNumberFormat="1" applyFont="1" applyFill="1" applyBorder="1" applyAlignment="1">
      <alignment horizontal="left"/>
      <protection/>
    </xf>
    <xf numFmtId="4" fontId="70" fillId="0" borderId="13" xfId="586" applyNumberFormat="1" applyFont="1" applyFill="1" applyBorder="1" applyAlignment="1">
      <alignment horizontal="left"/>
      <protection/>
    </xf>
    <xf numFmtId="4" fontId="37" fillId="0" borderId="13" xfId="586" applyNumberFormat="1" applyFont="1" applyFill="1" applyBorder="1">
      <alignment/>
      <protection/>
    </xf>
    <xf numFmtId="4" fontId="38" fillId="8" borderId="13" xfId="586" applyNumberFormat="1" applyFont="1" applyFill="1" applyBorder="1">
      <alignment/>
      <protection/>
    </xf>
    <xf numFmtId="4" fontId="72" fillId="0" borderId="13" xfId="586" applyNumberFormat="1" applyFont="1" applyFill="1" applyBorder="1">
      <alignment/>
      <protection/>
    </xf>
    <xf numFmtId="4" fontId="75" fillId="0" borderId="13" xfId="586" applyNumberFormat="1" applyFont="1" applyFill="1" applyBorder="1" applyAlignment="1">
      <alignment horizontal="right"/>
      <protection/>
    </xf>
    <xf numFmtId="4" fontId="75" fillId="0" borderId="13" xfId="586" applyNumberFormat="1" applyFont="1" applyFill="1" applyBorder="1">
      <alignment/>
      <protection/>
    </xf>
    <xf numFmtId="4" fontId="5" fillId="0" borderId="13" xfId="586" applyNumberFormat="1" applyFont="1" applyBorder="1">
      <alignment/>
      <protection/>
    </xf>
    <xf numFmtId="4" fontId="70" fillId="0" borderId="13" xfId="586" applyNumberFormat="1" applyFont="1" applyBorder="1" applyAlignment="1">
      <alignment horizontal="left"/>
      <protection/>
    </xf>
    <xf numFmtId="4" fontId="36" fillId="15" borderId="13" xfId="586" applyNumberFormat="1" applyFont="1" applyFill="1" applyBorder="1">
      <alignment/>
      <protection/>
    </xf>
    <xf numFmtId="4" fontId="37" fillId="0" borderId="116" xfId="586" applyNumberFormat="1" applyFont="1" applyBorder="1">
      <alignment/>
      <protection/>
    </xf>
    <xf numFmtId="1" fontId="32" fillId="7" borderId="112" xfId="586" applyNumberFormat="1" applyFont="1" applyFill="1" applyBorder="1" applyAlignment="1">
      <alignment horizontal="center" vertical="center"/>
      <protection/>
    </xf>
    <xf numFmtId="4" fontId="36" fillId="15" borderId="24" xfId="586" applyNumberFormat="1" applyFont="1" applyFill="1" applyBorder="1" applyAlignment="1">
      <alignment horizontal="right"/>
      <protection/>
    </xf>
    <xf numFmtId="4" fontId="37" fillId="0" borderId="24" xfId="586" applyNumberFormat="1" applyFont="1" applyFill="1" applyBorder="1">
      <alignment/>
      <protection/>
    </xf>
    <xf numFmtId="4" fontId="70" fillId="0" borderId="24" xfId="586" applyNumberFormat="1" applyFont="1" applyFill="1" applyBorder="1" applyAlignment="1">
      <alignment horizontal="left"/>
      <protection/>
    </xf>
    <xf numFmtId="4" fontId="70" fillId="0" borderId="22" xfId="586" applyNumberFormat="1" applyFont="1" applyFill="1" applyBorder="1" applyAlignment="1">
      <alignment horizontal="left"/>
      <protection/>
    </xf>
    <xf numFmtId="4" fontId="37" fillId="0" borderId="22" xfId="586" applyNumberFormat="1" applyFont="1" applyFill="1" applyBorder="1">
      <alignment/>
      <protection/>
    </xf>
    <xf numFmtId="4" fontId="38" fillId="8" borderId="22" xfId="586" applyNumberFormat="1" applyFont="1" applyFill="1" applyBorder="1">
      <alignment/>
      <protection/>
    </xf>
    <xf numFmtId="4" fontId="72" fillId="0" borderId="22" xfId="586" applyNumberFormat="1" applyFont="1" applyFill="1" applyBorder="1">
      <alignment/>
      <protection/>
    </xf>
    <xf numFmtId="4" fontId="75" fillId="0" borderId="22" xfId="586" applyNumberFormat="1" applyFont="1" applyFill="1" applyBorder="1" applyAlignment="1">
      <alignment horizontal="right"/>
      <protection/>
    </xf>
    <xf numFmtId="4" fontId="75" fillId="0" borderId="22" xfId="586" applyNumberFormat="1" applyFont="1" applyFill="1" applyBorder="1">
      <alignment/>
      <protection/>
    </xf>
    <xf numFmtId="4" fontId="5" fillId="0" borderId="22" xfId="586" applyNumberFormat="1" applyFont="1" applyBorder="1">
      <alignment/>
      <protection/>
    </xf>
    <xf numFmtId="4" fontId="37" fillId="0" borderId="24" xfId="586" applyNumberFormat="1" applyFont="1" applyBorder="1" applyAlignment="1">
      <alignment horizontal="right"/>
      <protection/>
    </xf>
    <xf numFmtId="4" fontId="37" fillId="0" borderId="107" xfId="586" applyNumberFormat="1" applyFont="1" applyBorder="1" applyAlignment="1">
      <alignment horizontal="right"/>
      <protection/>
    </xf>
    <xf numFmtId="1" fontId="32" fillId="7" borderId="21" xfId="586" applyNumberFormat="1" applyFont="1" applyFill="1" applyBorder="1" applyAlignment="1">
      <alignment horizontal="center" vertical="center"/>
      <protection/>
    </xf>
    <xf numFmtId="1" fontId="32" fillId="7" borderId="119" xfId="586" applyNumberFormat="1" applyFont="1" applyFill="1" applyBorder="1" applyAlignment="1">
      <alignment horizontal="center" vertical="center"/>
      <protection/>
    </xf>
    <xf numFmtId="4" fontId="36" fillId="15" borderId="149" xfId="586" applyNumberFormat="1" applyFont="1" applyFill="1" applyBorder="1" applyAlignment="1">
      <alignment horizontal="right"/>
      <protection/>
    </xf>
    <xf numFmtId="4" fontId="37" fillId="0" borderId="149" xfId="586" applyNumberFormat="1" applyFont="1" applyFill="1" applyBorder="1">
      <alignment/>
      <protection/>
    </xf>
    <xf numFmtId="4" fontId="70" fillId="0" borderId="149" xfId="586" applyNumberFormat="1" applyFont="1" applyFill="1" applyBorder="1" applyAlignment="1">
      <alignment horizontal="left"/>
      <protection/>
    </xf>
    <xf numFmtId="4" fontId="70" fillId="0" borderId="120" xfId="586" applyNumberFormat="1" applyFont="1" applyFill="1" applyBorder="1" applyAlignment="1">
      <alignment horizontal="left"/>
      <protection/>
    </xf>
    <xf numFmtId="4" fontId="37" fillId="0" borderId="120" xfId="586" applyNumberFormat="1" applyFont="1" applyFill="1" applyBorder="1">
      <alignment/>
      <protection/>
    </xf>
    <xf numFmtId="4" fontId="38" fillId="8" borderId="120" xfId="586" applyNumberFormat="1" applyFont="1" applyFill="1" applyBorder="1">
      <alignment/>
      <protection/>
    </xf>
    <xf numFmtId="4" fontId="72" fillId="0" borderId="120" xfId="586" applyNumberFormat="1" applyFont="1" applyFill="1" applyBorder="1">
      <alignment/>
      <protection/>
    </xf>
    <xf numFmtId="4" fontId="75" fillId="0" borderId="120" xfId="586" applyNumberFormat="1" applyFont="1" applyFill="1" applyBorder="1" applyAlignment="1">
      <alignment horizontal="right"/>
      <protection/>
    </xf>
    <xf numFmtId="4" fontId="75" fillId="0" borderId="120" xfId="586" applyNumberFormat="1" applyFont="1" applyFill="1" applyBorder="1">
      <alignment/>
      <protection/>
    </xf>
    <xf numFmtId="4" fontId="5" fillId="0" borderId="120" xfId="586" applyNumberFormat="1" applyFont="1" applyBorder="1">
      <alignment/>
      <protection/>
    </xf>
    <xf numFmtId="0" fontId="0" fillId="0" borderId="150" xfId="0" applyBorder="1" applyAlignment="1">
      <alignment/>
    </xf>
    <xf numFmtId="4" fontId="36" fillId="15" borderId="120" xfId="586" applyNumberFormat="1" applyFont="1" applyFill="1" applyBorder="1" applyAlignment="1">
      <alignment horizontal="right"/>
      <protection/>
    </xf>
    <xf numFmtId="4" fontId="37" fillId="0" borderId="149" xfId="586" applyNumberFormat="1" applyFont="1" applyBorder="1" applyAlignment="1">
      <alignment horizontal="right"/>
      <protection/>
    </xf>
    <xf numFmtId="4" fontId="37" fillId="0" borderId="121" xfId="586" applyNumberFormat="1" applyFont="1" applyBorder="1" applyAlignment="1">
      <alignment horizontal="right"/>
      <protection/>
    </xf>
  </cellXfs>
  <cellStyles count="665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20% - Accent1" xfId="21"/>
    <cellStyle name="20% - Accent1 1" xfId="22"/>
    <cellStyle name="20% - Accent1 10" xfId="23"/>
    <cellStyle name="20% - Accent1 11" xfId="24"/>
    <cellStyle name="20% - Accent1 12" xfId="25"/>
    <cellStyle name="20% - Accent1 13" xfId="26"/>
    <cellStyle name="20% - Accent1 14" xfId="27"/>
    <cellStyle name="20% - Accent1 2" xfId="28"/>
    <cellStyle name="20% - Accent1 3" xfId="29"/>
    <cellStyle name="20% - Accent1 4" xfId="30"/>
    <cellStyle name="20% - Accent1 5" xfId="31"/>
    <cellStyle name="20% - Accent1 6" xfId="32"/>
    <cellStyle name="20% - Accent1 7" xfId="33"/>
    <cellStyle name="20% - Accent1 8" xfId="34"/>
    <cellStyle name="20% - Accent1 9" xfId="35"/>
    <cellStyle name="20% - Accent2" xfId="36"/>
    <cellStyle name="20% - Accent2 1" xfId="37"/>
    <cellStyle name="20% - Accent2 10" xfId="38"/>
    <cellStyle name="20% - Accent2 11" xfId="39"/>
    <cellStyle name="20% - Accent2 12" xfId="40"/>
    <cellStyle name="20% - Accent2 13" xfId="41"/>
    <cellStyle name="20% - Accent2 14" xfId="42"/>
    <cellStyle name="20% - Accent2 2" xfId="43"/>
    <cellStyle name="20% - Accent2 3" xfId="44"/>
    <cellStyle name="20% - Accent2 4" xfId="45"/>
    <cellStyle name="20% - Accent2 5" xfId="46"/>
    <cellStyle name="20% - Accent2 6" xfId="47"/>
    <cellStyle name="20% - Accent2 7" xfId="48"/>
    <cellStyle name="20% - Accent2 8" xfId="49"/>
    <cellStyle name="20% - Accent2 9" xfId="50"/>
    <cellStyle name="20% - Accent3" xfId="51"/>
    <cellStyle name="20% - Accent3 1" xfId="52"/>
    <cellStyle name="20% - Accent3 10" xfId="53"/>
    <cellStyle name="20% - Accent3 11" xfId="54"/>
    <cellStyle name="20% - Accent3 12" xfId="55"/>
    <cellStyle name="20% - Accent3 13" xfId="56"/>
    <cellStyle name="20% - Accent3 14" xfId="57"/>
    <cellStyle name="20% - Accent3 2" xfId="58"/>
    <cellStyle name="20% - Accent3 3" xfId="59"/>
    <cellStyle name="20% - Accent3 4" xfId="60"/>
    <cellStyle name="20% - Accent3 5" xfId="61"/>
    <cellStyle name="20% - Accent3 6" xfId="62"/>
    <cellStyle name="20% - Accent3 7" xfId="63"/>
    <cellStyle name="20% - Accent3 8" xfId="64"/>
    <cellStyle name="20% - Accent3 9" xfId="65"/>
    <cellStyle name="20% - Accent4" xfId="66"/>
    <cellStyle name="20% - Accent4 1" xfId="67"/>
    <cellStyle name="20% - Accent4 10" xfId="68"/>
    <cellStyle name="20% - Accent4 11" xfId="69"/>
    <cellStyle name="20% - Accent4 12" xfId="70"/>
    <cellStyle name="20% - Accent4 13" xfId="71"/>
    <cellStyle name="20% - Accent4 14" xfId="72"/>
    <cellStyle name="20% - Accent4 2" xfId="73"/>
    <cellStyle name="20% - Accent4 3" xfId="74"/>
    <cellStyle name="20% - Accent4 4" xfId="75"/>
    <cellStyle name="20% - Accent4 5" xfId="76"/>
    <cellStyle name="20% - Accent4 6" xfId="77"/>
    <cellStyle name="20% - Accent4 7" xfId="78"/>
    <cellStyle name="20% - Accent4 8" xfId="79"/>
    <cellStyle name="20% - Accent4 9" xfId="80"/>
    <cellStyle name="20% - Accent5" xfId="81"/>
    <cellStyle name="20% - Accent5 1" xfId="82"/>
    <cellStyle name="20% - Accent5 10" xfId="83"/>
    <cellStyle name="20% - Accent5 11" xfId="84"/>
    <cellStyle name="20% - Accent5 12" xfId="85"/>
    <cellStyle name="20% - Accent5 13" xfId="86"/>
    <cellStyle name="20% - Accent5 14" xfId="87"/>
    <cellStyle name="20% - Accent5 2" xfId="88"/>
    <cellStyle name="20% - Accent5 3" xfId="89"/>
    <cellStyle name="20% - Accent5 4" xfId="90"/>
    <cellStyle name="20% - Accent5 5" xfId="91"/>
    <cellStyle name="20% - Accent5 6" xfId="92"/>
    <cellStyle name="20% - Accent5 7" xfId="93"/>
    <cellStyle name="20% - Accent5 8" xfId="94"/>
    <cellStyle name="20% - Accent5 9" xfId="95"/>
    <cellStyle name="20% - Accent6" xfId="96"/>
    <cellStyle name="20% - Accent6 1" xfId="97"/>
    <cellStyle name="20% - Accent6 10" xfId="98"/>
    <cellStyle name="20% - Accent6 11" xfId="99"/>
    <cellStyle name="20% - Accent6 12" xfId="100"/>
    <cellStyle name="20% - Accent6 13" xfId="101"/>
    <cellStyle name="20% - Accent6 14" xfId="102"/>
    <cellStyle name="20% - Accent6 2" xfId="103"/>
    <cellStyle name="20% - Accent6 3" xfId="104"/>
    <cellStyle name="20% - Accent6 4" xfId="105"/>
    <cellStyle name="20% - Accent6 5" xfId="106"/>
    <cellStyle name="20% - Accent6 6" xfId="107"/>
    <cellStyle name="20% - Accent6 7" xfId="108"/>
    <cellStyle name="20% - Accent6 8" xfId="109"/>
    <cellStyle name="20% - Accent6 9" xfId="110"/>
    <cellStyle name="40 % - zvýraznenie1" xfId="111"/>
    <cellStyle name="40 % - zvýraznenie2" xfId="112"/>
    <cellStyle name="40 % - zvýraznenie3" xfId="113"/>
    <cellStyle name="40 % - zvýraznenie4" xfId="114"/>
    <cellStyle name="40 % - zvýraznenie5" xfId="115"/>
    <cellStyle name="40 % - zvýraznenie6" xfId="116"/>
    <cellStyle name="40% - Accent1" xfId="117"/>
    <cellStyle name="40% - Accent1 1" xfId="118"/>
    <cellStyle name="40% - Accent1 10" xfId="119"/>
    <cellStyle name="40% - Accent1 11" xfId="120"/>
    <cellStyle name="40% - Accent1 12" xfId="121"/>
    <cellStyle name="40% - Accent1 13" xfId="122"/>
    <cellStyle name="40% - Accent1 14" xfId="123"/>
    <cellStyle name="40% - Accent1 2" xfId="124"/>
    <cellStyle name="40% - Accent1 3" xfId="125"/>
    <cellStyle name="40% - Accent1 4" xfId="126"/>
    <cellStyle name="40% - Accent1 5" xfId="127"/>
    <cellStyle name="40% - Accent1 6" xfId="128"/>
    <cellStyle name="40% - Accent1 7" xfId="129"/>
    <cellStyle name="40% - Accent1 8" xfId="130"/>
    <cellStyle name="40% - Accent1 9" xfId="131"/>
    <cellStyle name="40% - Accent2" xfId="132"/>
    <cellStyle name="40% - Accent2 1" xfId="133"/>
    <cellStyle name="40% - Accent2 10" xfId="134"/>
    <cellStyle name="40% - Accent2 11" xfId="135"/>
    <cellStyle name="40% - Accent2 12" xfId="136"/>
    <cellStyle name="40% - Accent2 13" xfId="137"/>
    <cellStyle name="40% - Accent2 14" xfId="138"/>
    <cellStyle name="40% - Accent2 2" xfId="139"/>
    <cellStyle name="40% - Accent2 3" xfId="140"/>
    <cellStyle name="40% - Accent2 4" xfId="141"/>
    <cellStyle name="40% - Accent2 5" xfId="142"/>
    <cellStyle name="40% - Accent2 6" xfId="143"/>
    <cellStyle name="40% - Accent2 7" xfId="144"/>
    <cellStyle name="40% - Accent2 8" xfId="145"/>
    <cellStyle name="40% - Accent2 9" xfId="146"/>
    <cellStyle name="40% - Accent3" xfId="147"/>
    <cellStyle name="40% - Accent3 1" xfId="148"/>
    <cellStyle name="40% - Accent3 10" xfId="149"/>
    <cellStyle name="40% - Accent3 11" xfId="150"/>
    <cellStyle name="40% - Accent3 12" xfId="151"/>
    <cellStyle name="40% - Accent3 13" xfId="152"/>
    <cellStyle name="40% - Accent3 14" xfId="153"/>
    <cellStyle name="40% - Accent3 2" xfId="154"/>
    <cellStyle name="40% - Accent3 3" xfId="155"/>
    <cellStyle name="40% - Accent3 4" xfId="156"/>
    <cellStyle name="40% - Accent3 5" xfId="157"/>
    <cellStyle name="40% - Accent3 6" xfId="158"/>
    <cellStyle name="40% - Accent3 7" xfId="159"/>
    <cellStyle name="40% - Accent3 8" xfId="160"/>
    <cellStyle name="40% - Accent3 9" xfId="161"/>
    <cellStyle name="40% - Accent4" xfId="162"/>
    <cellStyle name="40% - Accent4 1" xfId="163"/>
    <cellStyle name="40% - Accent4 10" xfId="164"/>
    <cellStyle name="40% - Accent4 11" xfId="165"/>
    <cellStyle name="40% - Accent4 12" xfId="166"/>
    <cellStyle name="40% - Accent4 13" xfId="167"/>
    <cellStyle name="40% - Accent4 14" xfId="168"/>
    <cellStyle name="40% - Accent4 2" xfId="169"/>
    <cellStyle name="40% - Accent4 3" xfId="170"/>
    <cellStyle name="40% - Accent4 4" xfId="171"/>
    <cellStyle name="40% - Accent4 5" xfId="172"/>
    <cellStyle name="40% - Accent4 6" xfId="173"/>
    <cellStyle name="40% - Accent4 7" xfId="174"/>
    <cellStyle name="40% - Accent4 8" xfId="175"/>
    <cellStyle name="40% - Accent4 9" xfId="176"/>
    <cellStyle name="40% - Accent5" xfId="177"/>
    <cellStyle name="40% - Accent5 1" xfId="178"/>
    <cellStyle name="40% - Accent5 10" xfId="179"/>
    <cellStyle name="40% - Accent5 11" xfId="180"/>
    <cellStyle name="40% - Accent5 12" xfId="181"/>
    <cellStyle name="40% - Accent5 13" xfId="182"/>
    <cellStyle name="40% - Accent5 14" xfId="183"/>
    <cellStyle name="40% - Accent5 2" xfId="184"/>
    <cellStyle name="40% - Accent5 3" xfId="185"/>
    <cellStyle name="40% - Accent5 4" xfId="186"/>
    <cellStyle name="40% - Accent5 5" xfId="187"/>
    <cellStyle name="40% - Accent5 6" xfId="188"/>
    <cellStyle name="40% - Accent5 7" xfId="189"/>
    <cellStyle name="40% - Accent5 8" xfId="190"/>
    <cellStyle name="40% - Accent5 9" xfId="191"/>
    <cellStyle name="40% - Accent6" xfId="192"/>
    <cellStyle name="40% - Accent6 1" xfId="193"/>
    <cellStyle name="40% - Accent6 10" xfId="194"/>
    <cellStyle name="40% - Accent6 11" xfId="195"/>
    <cellStyle name="40% - Accent6 12" xfId="196"/>
    <cellStyle name="40% - Accent6 13" xfId="197"/>
    <cellStyle name="40% - Accent6 14" xfId="198"/>
    <cellStyle name="40% - Accent6 2" xfId="199"/>
    <cellStyle name="40% - Accent6 3" xfId="200"/>
    <cellStyle name="40% - Accent6 4" xfId="201"/>
    <cellStyle name="40% - Accent6 5" xfId="202"/>
    <cellStyle name="40% - Accent6 6" xfId="203"/>
    <cellStyle name="40% - Accent6 7" xfId="204"/>
    <cellStyle name="40% - Accent6 8" xfId="205"/>
    <cellStyle name="40% - Accent6 9" xfId="206"/>
    <cellStyle name="60 % - zvýraznenie1" xfId="207"/>
    <cellStyle name="60 % - zvýraznenie2" xfId="208"/>
    <cellStyle name="60 % - zvýraznenie3" xfId="209"/>
    <cellStyle name="60 % - zvýraznenie4" xfId="210"/>
    <cellStyle name="60 % - zvýraznenie5" xfId="211"/>
    <cellStyle name="60 % - zvýraznenie6" xfId="212"/>
    <cellStyle name="60% - Accent1" xfId="213"/>
    <cellStyle name="60% - Accent1 1" xfId="214"/>
    <cellStyle name="60% - Accent1 10" xfId="215"/>
    <cellStyle name="60% - Accent1 11" xfId="216"/>
    <cellStyle name="60% - Accent1 12" xfId="217"/>
    <cellStyle name="60% - Accent1 13" xfId="218"/>
    <cellStyle name="60% - Accent1 14" xfId="219"/>
    <cellStyle name="60% - Accent1 2" xfId="220"/>
    <cellStyle name="60% - Accent1 3" xfId="221"/>
    <cellStyle name="60% - Accent1 4" xfId="222"/>
    <cellStyle name="60% - Accent1 5" xfId="223"/>
    <cellStyle name="60% - Accent1 6" xfId="224"/>
    <cellStyle name="60% - Accent1 7" xfId="225"/>
    <cellStyle name="60% - Accent1 8" xfId="226"/>
    <cellStyle name="60% - Accent1 9" xfId="227"/>
    <cellStyle name="60% - Accent2" xfId="228"/>
    <cellStyle name="60% - Accent2 1" xfId="229"/>
    <cellStyle name="60% - Accent2 10" xfId="230"/>
    <cellStyle name="60% - Accent2 11" xfId="231"/>
    <cellStyle name="60% - Accent2 12" xfId="232"/>
    <cellStyle name="60% - Accent2 13" xfId="233"/>
    <cellStyle name="60% - Accent2 14" xfId="234"/>
    <cellStyle name="60% - Accent2 2" xfId="235"/>
    <cellStyle name="60% - Accent2 3" xfId="236"/>
    <cellStyle name="60% - Accent2 4" xfId="237"/>
    <cellStyle name="60% - Accent2 5" xfId="238"/>
    <cellStyle name="60% - Accent2 6" xfId="239"/>
    <cellStyle name="60% - Accent2 7" xfId="240"/>
    <cellStyle name="60% - Accent2 8" xfId="241"/>
    <cellStyle name="60% - Accent2 9" xfId="242"/>
    <cellStyle name="60% - Accent3" xfId="243"/>
    <cellStyle name="60% - Accent3 1" xfId="244"/>
    <cellStyle name="60% - Accent3 10" xfId="245"/>
    <cellStyle name="60% - Accent3 11" xfId="246"/>
    <cellStyle name="60% - Accent3 12" xfId="247"/>
    <cellStyle name="60% - Accent3 13" xfId="248"/>
    <cellStyle name="60% - Accent3 14" xfId="249"/>
    <cellStyle name="60% - Accent3 2" xfId="250"/>
    <cellStyle name="60% - Accent3 3" xfId="251"/>
    <cellStyle name="60% - Accent3 4" xfId="252"/>
    <cellStyle name="60% - Accent3 5" xfId="253"/>
    <cellStyle name="60% - Accent3 6" xfId="254"/>
    <cellStyle name="60% - Accent3 7" xfId="255"/>
    <cellStyle name="60% - Accent3 8" xfId="256"/>
    <cellStyle name="60% - Accent3 9" xfId="257"/>
    <cellStyle name="60% - Accent4" xfId="258"/>
    <cellStyle name="60% - Accent4 1" xfId="259"/>
    <cellStyle name="60% - Accent4 10" xfId="260"/>
    <cellStyle name="60% - Accent4 11" xfId="261"/>
    <cellStyle name="60% - Accent4 12" xfId="262"/>
    <cellStyle name="60% - Accent4 13" xfId="263"/>
    <cellStyle name="60% - Accent4 14" xfId="264"/>
    <cellStyle name="60% - Accent4 2" xfId="265"/>
    <cellStyle name="60% - Accent4 3" xfId="266"/>
    <cellStyle name="60% - Accent4 4" xfId="267"/>
    <cellStyle name="60% - Accent4 5" xfId="268"/>
    <cellStyle name="60% - Accent4 6" xfId="269"/>
    <cellStyle name="60% - Accent4 7" xfId="270"/>
    <cellStyle name="60% - Accent4 8" xfId="271"/>
    <cellStyle name="60% - Accent4 9" xfId="272"/>
    <cellStyle name="60% - Accent5" xfId="273"/>
    <cellStyle name="60% - Accent5 1" xfId="274"/>
    <cellStyle name="60% - Accent5 10" xfId="275"/>
    <cellStyle name="60% - Accent5 11" xfId="276"/>
    <cellStyle name="60% - Accent5 12" xfId="277"/>
    <cellStyle name="60% - Accent5 13" xfId="278"/>
    <cellStyle name="60% - Accent5 14" xfId="279"/>
    <cellStyle name="60% - Accent5 2" xfId="280"/>
    <cellStyle name="60% - Accent5 3" xfId="281"/>
    <cellStyle name="60% - Accent5 4" xfId="282"/>
    <cellStyle name="60% - Accent5 5" xfId="283"/>
    <cellStyle name="60% - Accent5 6" xfId="284"/>
    <cellStyle name="60% - Accent5 7" xfId="285"/>
    <cellStyle name="60% - Accent5 8" xfId="286"/>
    <cellStyle name="60% - Accent5 9" xfId="287"/>
    <cellStyle name="60% - Accent6" xfId="288"/>
    <cellStyle name="60% - Accent6 1" xfId="289"/>
    <cellStyle name="60% - Accent6 10" xfId="290"/>
    <cellStyle name="60% - Accent6 11" xfId="291"/>
    <cellStyle name="60% - Accent6 12" xfId="292"/>
    <cellStyle name="60% - Accent6 13" xfId="293"/>
    <cellStyle name="60% - Accent6 14" xfId="294"/>
    <cellStyle name="60% - Accent6 2" xfId="295"/>
    <cellStyle name="60% - Accent6 3" xfId="296"/>
    <cellStyle name="60% - Accent6 4" xfId="297"/>
    <cellStyle name="60% - Accent6 5" xfId="298"/>
    <cellStyle name="60% - Accent6 6" xfId="299"/>
    <cellStyle name="60% - Accent6 7" xfId="300"/>
    <cellStyle name="60% - Accent6 8" xfId="301"/>
    <cellStyle name="60% - Accent6 9" xfId="302"/>
    <cellStyle name="Accent1" xfId="303"/>
    <cellStyle name="Accent1 1" xfId="304"/>
    <cellStyle name="Accent1 10" xfId="305"/>
    <cellStyle name="Accent1 11" xfId="306"/>
    <cellStyle name="Accent1 12" xfId="307"/>
    <cellStyle name="Accent1 13" xfId="308"/>
    <cellStyle name="Accent1 14" xfId="309"/>
    <cellStyle name="Accent1 2" xfId="310"/>
    <cellStyle name="Accent1 3" xfId="311"/>
    <cellStyle name="Accent1 4" xfId="312"/>
    <cellStyle name="Accent1 5" xfId="313"/>
    <cellStyle name="Accent1 6" xfId="314"/>
    <cellStyle name="Accent1 7" xfId="315"/>
    <cellStyle name="Accent1 8" xfId="316"/>
    <cellStyle name="Accent1 9" xfId="317"/>
    <cellStyle name="Accent2" xfId="318"/>
    <cellStyle name="Accent2 1" xfId="319"/>
    <cellStyle name="Accent2 10" xfId="320"/>
    <cellStyle name="Accent2 11" xfId="321"/>
    <cellStyle name="Accent2 12" xfId="322"/>
    <cellStyle name="Accent2 13" xfId="323"/>
    <cellStyle name="Accent2 14" xfId="324"/>
    <cellStyle name="Accent2 2" xfId="325"/>
    <cellStyle name="Accent2 3" xfId="326"/>
    <cellStyle name="Accent2 4" xfId="327"/>
    <cellStyle name="Accent2 5" xfId="328"/>
    <cellStyle name="Accent2 6" xfId="329"/>
    <cellStyle name="Accent2 7" xfId="330"/>
    <cellStyle name="Accent2 8" xfId="331"/>
    <cellStyle name="Accent2 9" xfId="332"/>
    <cellStyle name="Accent3" xfId="333"/>
    <cellStyle name="Accent3 1" xfId="334"/>
    <cellStyle name="Accent3 10" xfId="335"/>
    <cellStyle name="Accent3 11" xfId="336"/>
    <cellStyle name="Accent3 12" xfId="337"/>
    <cellStyle name="Accent3 13" xfId="338"/>
    <cellStyle name="Accent3 14" xfId="339"/>
    <cellStyle name="Accent3 2" xfId="340"/>
    <cellStyle name="Accent3 3" xfId="341"/>
    <cellStyle name="Accent3 4" xfId="342"/>
    <cellStyle name="Accent3 5" xfId="343"/>
    <cellStyle name="Accent3 6" xfId="344"/>
    <cellStyle name="Accent3 7" xfId="345"/>
    <cellStyle name="Accent3 8" xfId="346"/>
    <cellStyle name="Accent3 9" xfId="347"/>
    <cellStyle name="Accent4" xfId="348"/>
    <cellStyle name="Accent4 1" xfId="349"/>
    <cellStyle name="Accent4 10" xfId="350"/>
    <cellStyle name="Accent4 11" xfId="351"/>
    <cellStyle name="Accent4 12" xfId="352"/>
    <cellStyle name="Accent4 13" xfId="353"/>
    <cellStyle name="Accent4 14" xfId="354"/>
    <cellStyle name="Accent4 2" xfId="355"/>
    <cellStyle name="Accent4 3" xfId="356"/>
    <cellStyle name="Accent4 4" xfId="357"/>
    <cellStyle name="Accent4 5" xfId="358"/>
    <cellStyle name="Accent4 6" xfId="359"/>
    <cellStyle name="Accent4 7" xfId="360"/>
    <cellStyle name="Accent4 8" xfId="361"/>
    <cellStyle name="Accent4 9" xfId="362"/>
    <cellStyle name="Accent5" xfId="363"/>
    <cellStyle name="Accent5 1" xfId="364"/>
    <cellStyle name="Accent5 10" xfId="365"/>
    <cellStyle name="Accent5 11" xfId="366"/>
    <cellStyle name="Accent5 12" xfId="367"/>
    <cellStyle name="Accent5 13" xfId="368"/>
    <cellStyle name="Accent5 14" xfId="369"/>
    <cellStyle name="Accent5 2" xfId="370"/>
    <cellStyle name="Accent5 3" xfId="371"/>
    <cellStyle name="Accent5 4" xfId="372"/>
    <cellStyle name="Accent5 5" xfId="373"/>
    <cellStyle name="Accent5 6" xfId="374"/>
    <cellStyle name="Accent5 7" xfId="375"/>
    <cellStyle name="Accent5 8" xfId="376"/>
    <cellStyle name="Accent5 9" xfId="377"/>
    <cellStyle name="Accent6" xfId="378"/>
    <cellStyle name="Accent6 1" xfId="379"/>
    <cellStyle name="Accent6 10" xfId="380"/>
    <cellStyle name="Accent6 11" xfId="381"/>
    <cellStyle name="Accent6 12" xfId="382"/>
    <cellStyle name="Accent6 13" xfId="383"/>
    <cellStyle name="Accent6 14" xfId="384"/>
    <cellStyle name="Accent6 2" xfId="385"/>
    <cellStyle name="Accent6 3" xfId="386"/>
    <cellStyle name="Accent6 4" xfId="387"/>
    <cellStyle name="Accent6 5" xfId="388"/>
    <cellStyle name="Accent6 6" xfId="389"/>
    <cellStyle name="Accent6 7" xfId="390"/>
    <cellStyle name="Accent6 8" xfId="391"/>
    <cellStyle name="Accent6 9" xfId="392"/>
    <cellStyle name="Bad" xfId="393"/>
    <cellStyle name="Bad 1" xfId="394"/>
    <cellStyle name="Bad 10" xfId="395"/>
    <cellStyle name="Bad 11" xfId="396"/>
    <cellStyle name="Bad 12" xfId="397"/>
    <cellStyle name="Bad 13" xfId="398"/>
    <cellStyle name="Bad 14" xfId="399"/>
    <cellStyle name="Bad 2" xfId="400"/>
    <cellStyle name="Bad 3" xfId="401"/>
    <cellStyle name="Bad 4" xfId="402"/>
    <cellStyle name="Bad 5" xfId="403"/>
    <cellStyle name="Bad 6" xfId="404"/>
    <cellStyle name="Bad 7" xfId="405"/>
    <cellStyle name="Bad 8" xfId="406"/>
    <cellStyle name="Bad 9" xfId="407"/>
    <cellStyle name="Calculation" xfId="408"/>
    <cellStyle name="Calculation 1" xfId="409"/>
    <cellStyle name="Calculation 10" xfId="410"/>
    <cellStyle name="Calculation 11" xfId="411"/>
    <cellStyle name="Calculation 12" xfId="412"/>
    <cellStyle name="Calculation 13" xfId="413"/>
    <cellStyle name="Calculation 14" xfId="414"/>
    <cellStyle name="Calculation 2" xfId="415"/>
    <cellStyle name="Calculation 3" xfId="416"/>
    <cellStyle name="Calculation 4" xfId="417"/>
    <cellStyle name="Calculation 5" xfId="418"/>
    <cellStyle name="Calculation 6" xfId="419"/>
    <cellStyle name="Calculation 7" xfId="420"/>
    <cellStyle name="Calculation 8" xfId="421"/>
    <cellStyle name="Calculation 9" xfId="422"/>
    <cellStyle name="Comma" xfId="423"/>
    <cellStyle name="Comma [0]" xfId="424"/>
    <cellStyle name="čiarky_Rozpočet_2013_2015" xfId="425"/>
    <cellStyle name="Dobrá" xfId="426"/>
    <cellStyle name="Explanatory Text" xfId="427"/>
    <cellStyle name="Explanatory Text 1" xfId="428"/>
    <cellStyle name="Explanatory Text 10" xfId="429"/>
    <cellStyle name="Explanatory Text 11" xfId="430"/>
    <cellStyle name="Explanatory Text 12" xfId="431"/>
    <cellStyle name="Explanatory Text 13" xfId="432"/>
    <cellStyle name="Explanatory Text 14" xfId="433"/>
    <cellStyle name="Explanatory Text 2" xfId="434"/>
    <cellStyle name="Explanatory Text 3" xfId="435"/>
    <cellStyle name="Explanatory Text 4" xfId="436"/>
    <cellStyle name="Explanatory Text 5" xfId="437"/>
    <cellStyle name="Explanatory Text 6" xfId="438"/>
    <cellStyle name="Explanatory Text 7" xfId="439"/>
    <cellStyle name="Explanatory Text 8" xfId="440"/>
    <cellStyle name="Explanatory Text 9" xfId="441"/>
    <cellStyle name="Good" xfId="442"/>
    <cellStyle name="Good 1" xfId="443"/>
    <cellStyle name="Good 10" xfId="444"/>
    <cellStyle name="Good 11" xfId="445"/>
    <cellStyle name="Good 12" xfId="446"/>
    <cellStyle name="Good 13" xfId="447"/>
    <cellStyle name="Good 14" xfId="448"/>
    <cellStyle name="Good 2" xfId="449"/>
    <cellStyle name="Good 3" xfId="450"/>
    <cellStyle name="Good 4" xfId="451"/>
    <cellStyle name="Good 5" xfId="452"/>
    <cellStyle name="Good 6" xfId="453"/>
    <cellStyle name="Good 7" xfId="454"/>
    <cellStyle name="Good 8" xfId="455"/>
    <cellStyle name="Good 9" xfId="456"/>
    <cellStyle name="Heading 1" xfId="457"/>
    <cellStyle name="Heading 1 1" xfId="458"/>
    <cellStyle name="Heading 1 10" xfId="459"/>
    <cellStyle name="Heading 1 11" xfId="460"/>
    <cellStyle name="Heading 1 12" xfId="461"/>
    <cellStyle name="Heading 1 13" xfId="462"/>
    <cellStyle name="Heading 1 14" xfId="463"/>
    <cellStyle name="Heading 1 2" xfId="464"/>
    <cellStyle name="Heading 1 3" xfId="465"/>
    <cellStyle name="Heading 1 4" xfId="466"/>
    <cellStyle name="Heading 1 5" xfId="467"/>
    <cellStyle name="Heading 1 6" xfId="468"/>
    <cellStyle name="Heading 1 7" xfId="469"/>
    <cellStyle name="Heading 1 8" xfId="470"/>
    <cellStyle name="Heading 1 9" xfId="471"/>
    <cellStyle name="Heading 2" xfId="472"/>
    <cellStyle name="Heading 2 1" xfId="473"/>
    <cellStyle name="Heading 2 10" xfId="474"/>
    <cellStyle name="Heading 2 11" xfId="475"/>
    <cellStyle name="Heading 2 12" xfId="476"/>
    <cellStyle name="Heading 2 13" xfId="477"/>
    <cellStyle name="Heading 2 14" xfId="478"/>
    <cellStyle name="Heading 2 2" xfId="479"/>
    <cellStyle name="Heading 2 3" xfId="480"/>
    <cellStyle name="Heading 2 4" xfId="481"/>
    <cellStyle name="Heading 2 5" xfId="482"/>
    <cellStyle name="Heading 2 6" xfId="483"/>
    <cellStyle name="Heading 2 7" xfId="484"/>
    <cellStyle name="Heading 2 8" xfId="485"/>
    <cellStyle name="Heading 2 9" xfId="486"/>
    <cellStyle name="Heading 3" xfId="487"/>
    <cellStyle name="Heading 3 1" xfId="488"/>
    <cellStyle name="Heading 3 10" xfId="489"/>
    <cellStyle name="Heading 3 11" xfId="490"/>
    <cellStyle name="Heading 3 12" xfId="491"/>
    <cellStyle name="Heading 3 13" xfId="492"/>
    <cellStyle name="Heading 3 14" xfId="493"/>
    <cellStyle name="Heading 3 2" xfId="494"/>
    <cellStyle name="Heading 3 3" xfId="495"/>
    <cellStyle name="Heading 3 4" xfId="496"/>
    <cellStyle name="Heading 3 5" xfId="497"/>
    <cellStyle name="Heading 3 6" xfId="498"/>
    <cellStyle name="Heading 3 7" xfId="499"/>
    <cellStyle name="Heading 3 8" xfId="500"/>
    <cellStyle name="Heading 3 9" xfId="501"/>
    <cellStyle name="Heading 4" xfId="502"/>
    <cellStyle name="Heading 4 1" xfId="503"/>
    <cellStyle name="Heading 4 10" xfId="504"/>
    <cellStyle name="Heading 4 11" xfId="505"/>
    <cellStyle name="Heading 4 12" xfId="506"/>
    <cellStyle name="Heading 4 13" xfId="507"/>
    <cellStyle name="Heading 4 14" xfId="508"/>
    <cellStyle name="Heading 4 2" xfId="509"/>
    <cellStyle name="Heading 4 3" xfId="510"/>
    <cellStyle name="Heading 4 4" xfId="511"/>
    <cellStyle name="Heading 4 5" xfId="512"/>
    <cellStyle name="Heading 4 6" xfId="513"/>
    <cellStyle name="Heading 4 7" xfId="514"/>
    <cellStyle name="Heading 4 8" xfId="515"/>
    <cellStyle name="Heading 4 9" xfId="516"/>
    <cellStyle name="Check Cell" xfId="517"/>
    <cellStyle name="Check Cell 1" xfId="518"/>
    <cellStyle name="Check Cell 10" xfId="519"/>
    <cellStyle name="Check Cell 11" xfId="520"/>
    <cellStyle name="Check Cell 12" xfId="521"/>
    <cellStyle name="Check Cell 13" xfId="522"/>
    <cellStyle name="Check Cell 14" xfId="523"/>
    <cellStyle name="Check Cell 2" xfId="524"/>
    <cellStyle name="Check Cell 3" xfId="525"/>
    <cellStyle name="Check Cell 4" xfId="526"/>
    <cellStyle name="Check Cell 5" xfId="527"/>
    <cellStyle name="Check Cell 6" xfId="528"/>
    <cellStyle name="Check Cell 7" xfId="529"/>
    <cellStyle name="Check Cell 8" xfId="530"/>
    <cellStyle name="Check Cell 9" xfId="531"/>
    <cellStyle name="Input" xfId="532"/>
    <cellStyle name="Input 1" xfId="533"/>
    <cellStyle name="Input 10" xfId="534"/>
    <cellStyle name="Input 11" xfId="535"/>
    <cellStyle name="Input 12" xfId="536"/>
    <cellStyle name="Input 13" xfId="537"/>
    <cellStyle name="Input 14" xfId="538"/>
    <cellStyle name="Input 2" xfId="539"/>
    <cellStyle name="Input 3" xfId="540"/>
    <cellStyle name="Input 4" xfId="541"/>
    <cellStyle name="Input 5" xfId="542"/>
    <cellStyle name="Input 6" xfId="543"/>
    <cellStyle name="Input 7" xfId="544"/>
    <cellStyle name="Input 8" xfId="545"/>
    <cellStyle name="Input 9" xfId="546"/>
    <cellStyle name="Kontrolná bunka" xfId="547"/>
    <cellStyle name="Linked Cell" xfId="548"/>
    <cellStyle name="Linked Cell 1" xfId="549"/>
    <cellStyle name="Linked Cell 10" xfId="550"/>
    <cellStyle name="Linked Cell 11" xfId="551"/>
    <cellStyle name="Linked Cell 12" xfId="552"/>
    <cellStyle name="Linked Cell 13" xfId="553"/>
    <cellStyle name="Linked Cell 14" xfId="554"/>
    <cellStyle name="Linked Cell 2" xfId="555"/>
    <cellStyle name="Linked Cell 3" xfId="556"/>
    <cellStyle name="Linked Cell 4" xfId="557"/>
    <cellStyle name="Linked Cell 5" xfId="558"/>
    <cellStyle name="Linked Cell 6" xfId="559"/>
    <cellStyle name="Linked Cell 7" xfId="560"/>
    <cellStyle name="Linked Cell 8" xfId="561"/>
    <cellStyle name="Linked Cell 9" xfId="562"/>
    <cellStyle name="Currency" xfId="563"/>
    <cellStyle name="Currency [0]" xfId="564"/>
    <cellStyle name="meny_Rozpočet_2013_2015" xfId="565"/>
    <cellStyle name="Nadpis 1" xfId="566"/>
    <cellStyle name="Nadpis 2" xfId="567"/>
    <cellStyle name="Nadpis 3" xfId="568"/>
    <cellStyle name="Nadpis 4" xfId="569"/>
    <cellStyle name="Neutral" xfId="570"/>
    <cellStyle name="Neutral 1" xfId="571"/>
    <cellStyle name="Neutral 10" xfId="572"/>
    <cellStyle name="Neutral 11" xfId="573"/>
    <cellStyle name="Neutral 12" xfId="574"/>
    <cellStyle name="Neutral 13" xfId="575"/>
    <cellStyle name="Neutral 14" xfId="576"/>
    <cellStyle name="Neutral 2" xfId="577"/>
    <cellStyle name="Neutral 3" xfId="578"/>
    <cellStyle name="Neutral 4" xfId="579"/>
    <cellStyle name="Neutral 5" xfId="580"/>
    <cellStyle name="Neutral 6" xfId="581"/>
    <cellStyle name="Neutral 7" xfId="582"/>
    <cellStyle name="Neutral 8" xfId="583"/>
    <cellStyle name="Neutral 9" xfId="584"/>
    <cellStyle name="Neutrálna" xfId="585"/>
    <cellStyle name="normálne_Rozpočet_2013_2015" xfId="586"/>
    <cellStyle name="Note" xfId="587"/>
    <cellStyle name="Note 1" xfId="588"/>
    <cellStyle name="Note 10" xfId="589"/>
    <cellStyle name="Note 11" xfId="590"/>
    <cellStyle name="Note 12" xfId="591"/>
    <cellStyle name="Note 13" xfId="592"/>
    <cellStyle name="Note 14" xfId="593"/>
    <cellStyle name="Note 2" xfId="594"/>
    <cellStyle name="Note 3" xfId="595"/>
    <cellStyle name="Note 4" xfId="596"/>
    <cellStyle name="Note 5" xfId="597"/>
    <cellStyle name="Note 6" xfId="598"/>
    <cellStyle name="Note 7" xfId="599"/>
    <cellStyle name="Note 8" xfId="600"/>
    <cellStyle name="Note 9" xfId="601"/>
    <cellStyle name="Output" xfId="602"/>
    <cellStyle name="Output 1" xfId="603"/>
    <cellStyle name="Output 10" xfId="604"/>
    <cellStyle name="Output 11" xfId="605"/>
    <cellStyle name="Output 12" xfId="606"/>
    <cellStyle name="Output 13" xfId="607"/>
    <cellStyle name="Output 14" xfId="608"/>
    <cellStyle name="Output 2" xfId="609"/>
    <cellStyle name="Output 3" xfId="610"/>
    <cellStyle name="Output 4" xfId="611"/>
    <cellStyle name="Output 5" xfId="612"/>
    <cellStyle name="Output 6" xfId="613"/>
    <cellStyle name="Output 7" xfId="614"/>
    <cellStyle name="Output 8" xfId="615"/>
    <cellStyle name="Output 9" xfId="616"/>
    <cellStyle name="Percent" xfId="617"/>
    <cellStyle name="Poznámka" xfId="618"/>
    <cellStyle name="Prepojená bunka" xfId="619"/>
    <cellStyle name="Spolu" xfId="620"/>
    <cellStyle name="Text upozornenia" xfId="621"/>
    <cellStyle name="Title" xfId="622"/>
    <cellStyle name="Title 1" xfId="623"/>
    <cellStyle name="Title 10" xfId="624"/>
    <cellStyle name="Title 11" xfId="625"/>
    <cellStyle name="Title 12" xfId="626"/>
    <cellStyle name="Title 13" xfId="627"/>
    <cellStyle name="Title 14" xfId="628"/>
    <cellStyle name="Title 2" xfId="629"/>
    <cellStyle name="Title 3" xfId="630"/>
    <cellStyle name="Title 4" xfId="631"/>
    <cellStyle name="Title 5" xfId="632"/>
    <cellStyle name="Title 6" xfId="633"/>
    <cellStyle name="Title 7" xfId="634"/>
    <cellStyle name="Title 8" xfId="635"/>
    <cellStyle name="Title 9" xfId="636"/>
    <cellStyle name="Titul" xfId="637"/>
    <cellStyle name="Total" xfId="638"/>
    <cellStyle name="Total 1" xfId="639"/>
    <cellStyle name="Total 10" xfId="640"/>
    <cellStyle name="Total 11" xfId="641"/>
    <cellStyle name="Total 12" xfId="642"/>
    <cellStyle name="Total 13" xfId="643"/>
    <cellStyle name="Total 14" xfId="644"/>
    <cellStyle name="Total 2" xfId="645"/>
    <cellStyle name="Total 3" xfId="646"/>
    <cellStyle name="Total 4" xfId="647"/>
    <cellStyle name="Total 5" xfId="648"/>
    <cellStyle name="Total 6" xfId="649"/>
    <cellStyle name="Total 7" xfId="650"/>
    <cellStyle name="Total 8" xfId="651"/>
    <cellStyle name="Total 9" xfId="652"/>
    <cellStyle name="Vstup" xfId="653"/>
    <cellStyle name="Výpočet" xfId="654"/>
    <cellStyle name="Výstup" xfId="655"/>
    <cellStyle name="Vysvetľujúci text" xfId="656"/>
    <cellStyle name="Warning Text" xfId="657"/>
    <cellStyle name="Warning Text 1" xfId="658"/>
    <cellStyle name="Warning Text 10" xfId="659"/>
    <cellStyle name="Warning Text 11" xfId="660"/>
    <cellStyle name="Warning Text 12" xfId="661"/>
    <cellStyle name="Warning Text 13" xfId="662"/>
    <cellStyle name="Warning Text 14" xfId="663"/>
    <cellStyle name="Warning Text 2" xfId="664"/>
    <cellStyle name="Warning Text 3" xfId="665"/>
    <cellStyle name="Warning Text 4" xfId="666"/>
    <cellStyle name="Warning Text 5" xfId="667"/>
    <cellStyle name="Warning Text 6" xfId="668"/>
    <cellStyle name="Warning Text 7" xfId="669"/>
    <cellStyle name="Warning Text 8" xfId="670"/>
    <cellStyle name="Warning Text 9" xfId="671"/>
    <cellStyle name="Zlá" xfId="672"/>
    <cellStyle name="Zvýraznenie1" xfId="673"/>
    <cellStyle name="Zvýraznenie2" xfId="674"/>
    <cellStyle name="Zvýraznenie3" xfId="675"/>
    <cellStyle name="Zvýraznenie4" xfId="676"/>
    <cellStyle name="Zvýraznenie5" xfId="677"/>
    <cellStyle name="Zvýraznenie6" xfId="67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9"/>
  <sheetViews>
    <sheetView workbookViewId="0" topLeftCell="A78">
      <selection activeCell="I102" sqref="I102"/>
    </sheetView>
  </sheetViews>
  <sheetFormatPr defaultColWidth="9.140625" defaultRowHeight="12.75"/>
  <cols>
    <col min="1" max="1" width="9.140625" style="1" customWidth="1"/>
    <col min="9" max="9" width="11.8515625" style="2" customWidth="1"/>
  </cols>
  <sheetData>
    <row r="1" spans="1:9" ht="18">
      <c r="A1" s="1250" t="s">
        <v>0</v>
      </c>
      <c r="B1" s="1250"/>
      <c r="C1" s="1250"/>
      <c r="D1" s="1250"/>
      <c r="E1" s="1250"/>
      <c r="F1" s="1250"/>
      <c r="G1" s="1250"/>
      <c r="H1" s="1250"/>
      <c r="I1" s="1250"/>
    </row>
    <row r="3" spans="1:9" ht="15.75">
      <c r="A3" s="1027" t="s">
        <v>1</v>
      </c>
      <c r="B3" s="1027"/>
      <c r="C3" s="1027"/>
      <c r="D3" s="1027"/>
      <c r="E3" s="1027"/>
      <c r="F3" s="1027"/>
      <c r="G3" s="1027"/>
      <c r="H3" s="1027"/>
      <c r="I3" s="3">
        <f>I5+I32+I57</f>
        <v>1402752</v>
      </c>
    </row>
    <row r="4" spans="1:9" ht="15">
      <c r="A4" s="4"/>
      <c r="B4" s="5"/>
      <c r="C4" s="5"/>
      <c r="D4" s="5"/>
      <c r="E4" s="5"/>
      <c r="F4" s="5"/>
      <c r="G4" s="5"/>
      <c r="H4" s="5"/>
      <c r="I4" s="6"/>
    </row>
    <row r="5" spans="1:9" ht="15.75">
      <c r="A5" s="1028" t="s">
        <v>2</v>
      </c>
      <c r="B5" s="1028"/>
      <c r="C5" s="1028"/>
      <c r="D5" s="1028"/>
      <c r="E5" s="1028"/>
      <c r="F5" s="1028"/>
      <c r="G5" s="1028"/>
      <c r="H5" s="1028"/>
      <c r="I5" s="7">
        <f>I7+I9+I11+I13+I15+I17+I19</f>
        <v>731172</v>
      </c>
    </row>
    <row r="6" spans="1:8" ht="15">
      <c r="A6" s="8"/>
      <c r="B6" s="5"/>
      <c r="C6" s="5"/>
      <c r="D6" s="5"/>
      <c r="E6" s="5"/>
      <c r="F6" s="5"/>
      <c r="G6" s="5"/>
      <c r="H6" s="5"/>
    </row>
    <row r="7" spans="1:9" ht="12.75">
      <c r="A7" s="9" t="s">
        <v>3</v>
      </c>
      <c r="B7" s="10" t="s">
        <v>4</v>
      </c>
      <c r="C7" s="10"/>
      <c r="D7" s="10"/>
      <c r="E7" s="10"/>
      <c r="F7" s="10"/>
      <c r="G7" s="10"/>
      <c r="H7" s="10"/>
      <c r="I7" s="11">
        <f>príjmy!L10</f>
        <v>500000</v>
      </c>
    </row>
    <row r="8" spans="1:9" ht="24.75" customHeight="1">
      <c r="A8" s="1251" t="s">
        <v>5</v>
      </c>
      <c r="B8" s="1251"/>
      <c r="C8" s="1251"/>
      <c r="D8" s="1251"/>
      <c r="E8" s="1251"/>
      <c r="F8" s="1251"/>
      <c r="G8" s="1251"/>
      <c r="H8" s="1251"/>
      <c r="I8" s="12"/>
    </row>
    <row r="9" spans="1:9" ht="12.75">
      <c r="A9" s="9" t="s">
        <v>6</v>
      </c>
      <c r="B9" s="10" t="s">
        <v>7</v>
      </c>
      <c r="C9" s="10"/>
      <c r="D9" s="10"/>
      <c r="E9" s="10"/>
      <c r="F9" s="10"/>
      <c r="G9" s="10"/>
      <c r="H9" s="10"/>
      <c r="I9" s="13">
        <f>príjmy!L11</f>
        <v>166192</v>
      </c>
    </row>
    <row r="10" spans="1:9" ht="90" customHeight="1">
      <c r="A10" s="1252" t="s">
        <v>8</v>
      </c>
      <c r="B10" s="1252"/>
      <c r="C10" s="1252"/>
      <c r="D10" s="1252"/>
      <c r="E10" s="1252"/>
      <c r="F10" s="1252"/>
      <c r="G10" s="1252"/>
      <c r="H10" s="1252"/>
      <c r="I10" s="14"/>
    </row>
    <row r="11" spans="1:9" ht="12.75">
      <c r="A11" s="9" t="s">
        <v>9</v>
      </c>
      <c r="B11" s="10" t="s">
        <v>10</v>
      </c>
      <c r="C11" s="10"/>
      <c r="D11" s="10"/>
      <c r="E11" s="10"/>
      <c r="F11" s="10"/>
      <c r="G11" s="10"/>
      <c r="H11" s="10"/>
      <c r="I11" s="13">
        <f>príjmy!L22</f>
        <v>1450</v>
      </c>
    </row>
    <row r="12" spans="1:9" ht="69.75" customHeight="1">
      <c r="A12" s="1252" t="s">
        <v>11</v>
      </c>
      <c r="B12" s="1252"/>
      <c r="C12" s="1252"/>
      <c r="D12" s="1252"/>
      <c r="E12" s="1252"/>
      <c r="F12" s="1252"/>
      <c r="G12" s="1252"/>
      <c r="H12" s="1252"/>
      <c r="I12" s="15"/>
    </row>
    <row r="13" spans="1:9" ht="12.75">
      <c r="A13" s="9" t="s">
        <v>12</v>
      </c>
      <c r="B13" s="1253" t="s">
        <v>13</v>
      </c>
      <c r="C13" s="1253"/>
      <c r="D13" s="1253"/>
      <c r="E13" s="1253"/>
      <c r="F13" s="1253"/>
      <c r="G13" s="1253"/>
      <c r="H13" s="1253"/>
      <c r="I13" s="13">
        <f>príjmy!L19</f>
        <v>2450</v>
      </c>
    </row>
    <row r="14" spans="1:9" ht="39.75" customHeight="1">
      <c r="A14" s="1254" t="s">
        <v>14</v>
      </c>
      <c r="B14" s="1254"/>
      <c r="C14" s="1254"/>
      <c r="D14" s="1254"/>
      <c r="E14" s="1254"/>
      <c r="F14" s="1254"/>
      <c r="G14" s="1254"/>
      <c r="H14" s="1254"/>
      <c r="I14" s="15"/>
    </row>
    <row r="15" spans="1:9" ht="12.75">
      <c r="A15" s="9" t="s">
        <v>15</v>
      </c>
      <c r="B15" s="1253" t="s">
        <v>16</v>
      </c>
      <c r="C15" s="1253"/>
      <c r="D15" s="1253"/>
      <c r="E15" s="1253"/>
      <c r="F15" s="1253"/>
      <c r="G15" s="1253"/>
      <c r="H15" s="1253"/>
      <c r="I15" s="13">
        <f>príjmy!L21</f>
        <v>80</v>
      </c>
    </row>
    <row r="16" spans="1:9" ht="24.75" customHeight="1">
      <c r="A16" s="1254" t="s">
        <v>17</v>
      </c>
      <c r="B16" s="1254"/>
      <c r="C16" s="1254"/>
      <c r="D16" s="1254"/>
      <c r="E16" s="1254"/>
      <c r="F16" s="1254"/>
      <c r="G16" s="1254"/>
      <c r="H16" s="1254"/>
      <c r="I16" s="15"/>
    </row>
    <row r="17" spans="1:9" ht="12.75">
      <c r="A17" s="9" t="s">
        <v>18</v>
      </c>
      <c r="B17" s="1253" t="s">
        <v>19</v>
      </c>
      <c r="C17" s="1253"/>
      <c r="D17" s="1253"/>
      <c r="E17" s="1253"/>
      <c r="F17" s="1253"/>
      <c r="G17" s="1253"/>
      <c r="H17" s="1253"/>
      <c r="I17" s="13">
        <f>príjmy!L25</f>
        <v>26000</v>
      </c>
    </row>
    <row r="18" spans="1:9" ht="79.5" customHeight="1">
      <c r="A18" s="1254" t="s">
        <v>20</v>
      </c>
      <c r="B18" s="1254"/>
      <c r="C18" s="1254"/>
      <c r="D18" s="1254"/>
      <c r="E18" s="1254"/>
      <c r="F18" s="1254"/>
      <c r="G18" s="1254"/>
      <c r="H18" s="1254"/>
      <c r="I18" s="15"/>
    </row>
    <row r="19" spans="1:9" ht="12.75">
      <c r="A19" s="9" t="s">
        <v>21</v>
      </c>
      <c r="B19" s="10" t="s">
        <v>22</v>
      </c>
      <c r="C19" s="10"/>
      <c r="D19" s="10"/>
      <c r="E19" s="10"/>
      <c r="F19" s="10"/>
      <c r="G19" s="10"/>
      <c r="H19" s="10"/>
      <c r="I19" s="13">
        <f>príjmy!L23</f>
        <v>35000</v>
      </c>
    </row>
    <row r="20" spans="1:9" ht="49.5" customHeight="1">
      <c r="A20" s="1254" t="s">
        <v>23</v>
      </c>
      <c r="B20" s="1254"/>
      <c r="C20" s="1254"/>
      <c r="D20" s="1254"/>
      <c r="E20" s="1254"/>
      <c r="F20" s="1254"/>
      <c r="G20" s="1254"/>
      <c r="H20" s="1254"/>
      <c r="I20" s="15"/>
    </row>
    <row r="21" spans="1:9" ht="15">
      <c r="A21" s="16"/>
      <c r="B21" s="17"/>
      <c r="C21" s="17"/>
      <c r="D21" s="17"/>
      <c r="E21" s="17"/>
      <c r="F21" s="17"/>
      <c r="G21" s="17"/>
      <c r="H21" s="17"/>
      <c r="I21" s="18"/>
    </row>
    <row r="22" spans="1:9" ht="15">
      <c r="A22" s="16"/>
      <c r="B22" s="17"/>
      <c r="C22" s="17"/>
      <c r="D22" s="17"/>
      <c r="E22" s="17"/>
      <c r="F22" s="17"/>
      <c r="G22" s="17"/>
      <c r="H22" s="17"/>
      <c r="I22" s="18"/>
    </row>
    <row r="23" spans="1:9" ht="15">
      <c r="A23" s="16"/>
      <c r="B23" s="17"/>
      <c r="C23" s="17"/>
      <c r="D23" s="17"/>
      <c r="E23" s="17"/>
      <c r="F23" s="17"/>
      <c r="G23" s="17"/>
      <c r="H23" s="17"/>
      <c r="I23" s="18"/>
    </row>
    <row r="24" spans="1:9" ht="15">
      <c r="A24" s="16"/>
      <c r="B24" s="17"/>
      <c r="C24" s="17"/>
      <c r="D24" s="17"/>
      <c r="E24" s="17"/>
      <c r="F24" s="17"/>
      <c r="G24" s="17"/>
      <c r="H24" s="17"/>
      <c r="I24" s="18"/>
    </row>
    <row r="25" spans="1:9" ht="15">
      <c r="A25" s="16"/>
      <c r="B25" s="17"/>
      <c r="C25" s="17"/>
      <c r="D25" s="17"/>
      <c r="E25" s="17"/>
      <c r="F25" s="17"/>
      <c r="G25" s="17"/>
      <c r="H25" s="17"/>
      <c r="I25" s="18"/>
    </row>
    <row r="26" spans="1:9" ht="15">
      <c r="A26" s="16"/>
      <c r="B26" s="17"/>
      <c r="C26" s="17"/>
      <c r="D26" s="17"/>
      <c r="E26" s="17"/>
      <c r="F26" s="17"/>
      <c r="G26" s="17"/>
      <c r="H26" s="17"/>
      <c r="I26" s="18"/>
    </row>
    <row r="27" spans="1:9" ht="15">
      <c r="A27" s="16"/>
      <c r="B27" s="17"/>
      <c r="C27" s="17"/>
      <c r="D27" s="17"/>
      <c r="E27" s="17"/>
      <c r="F27" s="17"/>
      <c r="G27" s="17"/>
      <c r="H27" s="17"/>
      <c r="I27" s="18"/>
    </row>
    <row r="28" spans="1:9" ht="15">
      <c r="A28" s="16"/>
      <c r="B28" s="17"/>
      <c r="C28" s="17"/>
      <c r="D28" s="17"/>
      <c r="E28" s="17"/>
      <c r="F28" s="17"/>
      <c r="G28" s="17"/>
      <c r="H28" s="17"/>
      <c r="I28" s="18"/>
    </row>
    <row r="29" spans="1:9" ht="15">
      <c r="A29" s="16"/>
      <c r="B29" s="17"/>
      <c r="C29" s="17"/>
      <c r="D29" s="17"/>
      <c r="E29" s="17"/>
      <c r="F29" s="17"/>
      <c r="G29" s="17"/>
      <c r="H29" s="17"/>
      <c r="I29" s="18"/>
    </row>
    <row r="30" spans="1:9" ht="15">
      <c r="A30" s="16"/>
      <c r="B30" s="17"/>
      <c r="C30" s="17"/>
      <c r="D30" s="17"/>
      <c r="E30" s="17"/>
      <c r="F30" s="17"/>
      <c r="G30" s="17"/>
      <c r="H30" s="17"/>
      <c r="I30" s="18"/>
    </row>
    <row r="31" spans="1:9" ht="15">
      <c r="A31" s="16"/>
      <c r="B31" s="17"/>
      <c r="C31" s="17"/>
      <c r="D31" s="17"/>
      <c r="E31" s="17"/>
      <c r="F31" s="17"/>
      <c r="G31" s="17"/>
      <c r="H31" s="17"/>
      <c r="I31" s="18"/>
    </row>
    <row r="32" spans="1:9" ht="15.75">
      <c r="A32" s="1028" t="s">
        <v>24</v>
      </c>
      <c r="B32" s="1028"/>
      <c r="C32" s="1028"/>
      <c r="D32" s="1028"/>
      <c r="E32" s="1028"/>
      <c r="F32" s="1028"/>
      <c r="G32" s="1028"/>
      <c r="H32" s="1028"/>
      <c r="I32" s="19">
        <f>I34+I36+I38+I40+I42+I44+I46+I48+I50+I52+I54</f>
        <v>111892</v>
      </c>
    </row>
    <row r="33" spans="1:9" ht="15">
      <c r="A33" s="16"/>
      <c r="B33" s="17"/>
      <c r="C33" s="17"/>
      <c r="D33" s="17"/>
      <c r="E33" s="17"/>
      <c r="F33" s="17"/>
      <c r="G33" s="17"/>
      <c r="H33" s="17"/>
      <c r="I33" s="20"/>
    </row>
    <row r="34" spans="1:9" ht="12.75">
      <c r="A34" s="9" t="s">
        <v>25</v>
      </c>
      <c r="B34" s="1253" t="s">
        <v>26</v>
      </c>
      <c r="C34" s="1253"/>
      <c r="D34" s="1253"/>
      <c r="E34" s="1253"/>
      <c r="F34" s="1253"/>
      <c r="G34" s="1253"/>
      <c r="H34" s="1253"/>
      <c r="I34" s="13">
        <f>príjmy!L34</f>
        <v>8000</v>
      </c>
    </row>
    <row r="35" spans="1:9" ht="15" customHeight="1">
      <c r="A35" s="1255" t="s">
        <v>27</v>
      </c>
      <c r="B35" s="1255"/>
      <c r="C35" s="1255"/>
      <c r="D35" s="1255"/>
      <c r="E35" s="1255"/>
      <c r="F35" s="1255"/>
      <c r="G35" s="1255"/>
      <c r="H35" s="1255"/>
      <c r="I35" s="21"/>
    </row>
    <row r="36" spans="1:9" ht="12.75">
      <c r="A36" s="9" t="s">
        <v>28</v>
      </c>
      <c r="B36" s="1253" t="s">
        <v>29</v>
      </c>
      <c r="C36" s="1253"/>
      <c r="D36" s="1253"/>
      <c r="E36" s="1253"/>
      <c r="F36" s="1253"/>
      <c r="G36" s="1253"/>
      <c r="H36" s="1253"/>
      <c r="I36" s="13">
        <f>príjmy!L35</f>
        <v>17000</v>
      </c>
    </row>
    <row r="37" spans="1:9" ht="15" customHeight="1">
      <c r="A37" s="1255" t="s">
        <v>30</v>
      </c>
      <c r="B37" s="1255"/>
      <c r="C37" s="1255"/>
      <c r="D37" s="1255"/>
      <c r="E37" s="1255"/>
      <c r="F37" s="1255"/>
      <c r="G37" s="1255"/>
      <c r="H37" s="1255"/>
      <c r="I37" s="21"/>
    </row>
    <row r="38" spans="1:9" ht="12.75">
      <c r="A38" s="9" t="s">
        <v>31</v>
      </c>
      <c r="B38" s="1253" t="s">
        <v>32</v>
      </c>
      <c r="C38" s="1253"/>
      <c r="D38" s="1253"/>
      <c r="E38" s="1253"/>
      <c r="F38" s="1253"/>
      <c r="G38" s="1253"/>
      <c r="H38" s="1253"/>
      <c r="I38" s="13">
        <f>príjmy!L36</f>
        <v>15000</v>
      </c>
    </row>
    <row r="39" spans="1:9" ht="15" customHeight="1">
      <c r="A39" s="1255" t="s">
        <v>33</v>
      </c>
      <c r="B39" s="1255"/>
      <c r="C39" s="1255"/>
      <c r="D39" s="1255"/>
      <c r="E39" s="1255"/>
      <c r="F39" s="1255"/>
      <c r="G39" s="1255"/>
      <c r="H39" s="1255"/>
      <c r="I39" s="21"/>
    </row>
    <row r="40" spans="1:9" ht="12.75">
      <c r="A40" s="9" t="s">
        <v>34</v>
      </c>
      <c r="B40" s="1253" t="s">
        <v>35</v>
      </c>
      <c r="C40" s="1253"/>
      <c r="D40" s="1253"/>
      <c r="E40" s="1253"/>
      <c r="F40" s="1253"/>
      <c r="G40" s="1253"/>
      <c r="H40" s="1253"/>
      <c r="I40" s="13">
        <f>príjmy!L40</f>
        <v>20000</v>
      </c>
    </row>
    <row r="41" spans="1:9" ht="64.5" customHeight="1">
      <c r="A41" s="1252" t="s">
        <v>36</v>
      </c>
      <c r="B41" s="1252"/>
      <c r="C41" s="1252"/>
      <c r="D41" s="1252"/>
      <c r="E41" s="1252"/>
      <c r="F41" s="1252"/>
      <c r="G41" s="1252"/>
      <c r="H41" s="1252"/>
      <c r="I41" s="21"/>
    </row>
    <row r="42" spans="1:9" ht="12.75">
      <c r="A42" s="9" t="s">
        <v>37</v>
      </c>
      <c r="B42" s="1253" t="s">
        <v>38</v>
      </c>
      <c r="C42" s="1253"/>
      <c r="D42" s="1253"/>
      <c r="E42" s="1253"/>
      <c r="F42" s="1253"/>
      <c r="G42" s="1253"/>
      <c r="H42" s="1253"/>
      <c r="I42" s="13">
        <f>príjmy!L41</f>
        <v>2500</v>
      </c>
    </row>
    <row r="43" spans="1:9" ht="24.75" customHeight="1">
      <c r="A43" s="1254" t="s">
        <v>39</v>
      </c>
      <c r="B43" s="1254"/>
      <c r="C43" s="1254"/>
      <c r="D43" s="1254"/>
      <c r="E43" s="1254"/>
      <c r="F43" s="1254"/>
      <c r="G43" s="1254"/>
      <c r="H43" s="1254"/>
      <c r="I43" s="22"/>
    </row>
    <row r="44" spans="1:9" ht="12.75">
      <c r="A44" s="9" t="s">
        <v>40</v>
      </c>
      <c r="B44" s="1256" t="s">
        <v>32</v>
      </c>
      <c r="C44" s="1256"/>
      <c r="D44" s="1256"/>
      <c r="E44" s="1256"/>
      <c r="F44" s="1256"/>
      <c r="G44" s="1256"/>
      <c r="H44" s="1256"/>
      <c r="I44" s="23">
        <f>príjmy!K43</f>
        <v>7000</v>
      </c>
    </row>
    <row r="45" spans="1:9" ht="15">
      <c r="A45" s="1255" t="s">
        <v>41</v>
      </c>
      <c r="B45" s="1255"/>
      <c r="C45" s="1255"/>
      <c r="D45" s="1255"/>
      <c r="E45" s="1255"/>
      <c r="F45" s="1255"/>
      <c r="G45" s="1255"/>
      <c r="H45" s="1255"/>
      <c r="I45" s="24"/>
    </row>
    <row r="46" spans="1:9" ht="12.75">
      <c r="A46" s="9" t="s">
        <v>42</v>
      </c>
      <c r="B46" s="1256" t="s">
        <v>43</v>
      </c>
      <c r="C46" s="1256"/>
      <c r="D46" s="1256"/>
      <c r="E46" s="1256"/>
      <c r="F46" s="1256"/>
      <c r="G46" s="1256"/>
      <c r="H46" s="1256"/>
      <c r="I46" s="23">
        <f>príjmy!L42</f>
        <v>1000</v>
      </c>
    </row>
    <row r="47" spans="1:9" ht="15">
      <c r="A47" s="1255" t="s">
        <v>44</v>
      </c>
      <c r="B47" s="1255"/>
      <c r="C47" s="1255"/>
      <c r="D47" s="1255"/>
      <c r="E47" s="1255"/>
      <c r="F47" s="1255"/>
      <c r="G47" s="1255"/>
      <c r="H47" s="1255"/>
      <c r="I47" s="24"/>
    </row>
    <row r="48" spans="1:9" ht="12.75">
      <c r="A48" s="9" t="s">
        <v>45</v>
      </c>
      <c r="B48" s="1256" t="s">
        <v>46</v>
      </c>
      <c r="C48" s="1256"/>
      <c r="D48" s="1256"/>
      <c r="E48" s="1256"/>
      <c r="F48" s="1256"/>
      <c r="G48" s="1256"/>
      <c r="H48" s="1256"/>
      <c r="I48" s="23">
        <f>príjmy!L52</f>
        <v>150</v>
      </c>
    </row>
    <row r="49" spans="1:9" ht="15">
      <c r="A49" s="25"/>
      <c r="B49" s="1257"/>
      <c r="C49" s="1257"/>
      <c r="D49" s="1257"/>
      <c r="E49" s="1257"/>
      <c r="F49" s="1257"/>
      <c r="G49" s="1257"/>
      <c r="H49" s="1257"/>
      <c r="I49" s="24"/>
    </row>
    <row r="50" spans="1:9" ht="12.75">
      <c r="A50" s="9" t="s">
        <v>47</v>
      </c>
      <c r="B50" s="1256" t="s">
        <v>48</v>
      </c>
      <c r="C50" s="1256"/>
      <c r="D50" s="1256"/>
      <c r="E50" s="1256"/>
      <c r="F50" s="1256"/>
      <c r="G50" s="1256"/>
      <c r="H50" s="1256"/>
      <c r="I50" s="23">
        <f>príjmy!L45+príjmy!L46+príjmy!L48</f>
        <v>35000</v>
      </c>
    </row>
    <row r="51" spans="1:9" ht="24.75" customHeight="1">
      <c r="A51" s="1251" t="s">
        <v>49</v>
      </c>
      <c r="B51" s="1251"/>
      <c r="C51" s="1251"/>
      <c r="D51" s="1251"/>
      <c r="E51" s="1251"/>
      <c r="F51" s="1251"/>
      <c r="G51" s="1251"/>
      <c r="H51" s="1251"/>
      <c r="I51" s="24"/>
    </row>
    <row r="52" spans="1:9" ht="12.75">
      <c r="A52" s="9" t="s">
        <v>50</v>
      </c>
      <c r="B52" s="1256" t="s">
        <v>51</v>
      </c>
      <c r="C52" s="1256"/>
      <c r="D52" s="1256"/>
      <c r="E52" s="1256"/>
      <c r="F52" s="1256"/>
      <c r="G52" s="1256"/>
      <c r="H52" s="1256"/>
      <c r="I52" s="23">
        <f>príjmy!L47</f>
        <v>5000</v>
      </c>
    </row>
    <row r="53" spans="1:9" ht="15">
      <c r="A53" s="1255" t="s">
        <v>52</v>
      </c>
      <c r="B53" s="1255"/>
      <c r="C53" s="1255"/>
      <c r="D53" s="1255"/>
      <c r="E53" s="1255"/>
      <c r="F53" s="1255"/>
      <c r="G53" s="1255"/>
      <c r="H53" s="1255"/>
      <c r="I53" s="24"/>
    </row>
    <row r="54" spans="1:9" ht="12.75">
      <c r="A54" s="9" t="s">
        <v>53</v>
      </c>
      <c r="B54" s="1256" t="s">
        <v>54</v>
      </c>
      <c r="C54" s="1256"/>
      <c r="D54" s="1256"/>
      <c r="E54" s="1256"/>
      <c r="F54" s="1256"/>
      <c r="G54" s="1256"/>
      <c r="H54" s="1256"/>
      <c r="I54" s="23">
        <f>príjmy!L33+príjmy!L55+príjmy!L56+príjmy!L57</f>
        <v>1242</v>
      </c>
    </row>
    <row r="55" spans="1:9" ht="24.75" customHeight="1">
      <c r="A55" s="1251" t="s">
        <v>55</v>
      </c>
      <c r="B55" s="1251"/>
      <c r="C55" s="1251"/>
      <c r="D55" s="1251"/>
      <c r="E55" s="1251"/>
      <c r="F55" s="1251"/>
      <c r="G55" s="1251"/>
      <c r="H55" s="1251"/>
      <c r="I55" s="24"/>
    </row>
    <row r="56" spans="1:9" ht="15">
      <c r="A56" s="16"/>
      <c r="B56" s="5"/>
      <c r="C56" s="5"/>
      <c r="D56" s="5"/>
      <c r="E56" s="5"/>
      <c r="F56" s="5"/>
      <c r="G56" s="5"/>
      <c r="H56" s="5"/>
      <c r="I56" s="26"/>
    </row>
    <row r="57" spans="1:9" ht="15.75">
      <c r="A57" s="1028" t="s">
        <v>56</v>
      </c>
      <c r="B57" s="1028"/>
      <c r="C57" s="1028"/>
      <c r="D57" s="1028"/>
      <c r="E57" s="1028"/>
      <c r="F57" s="1028"/>
      <c r="G57" s="1028"/>
      <c r="H57" s="1028"/>
      <c r="I57" s="19">
        <f>I61+I62+I63+I64+I65+I66+I67+I68+I69+I70+I71+I72+I73</f>
        <v>559688</v>
      </c>
    </row>
    <row r="58" spans="1:9" ht="15">
      <c r="A58" s="16"/>
      <c r="B58" s="5"/>
      <c r="C58" s="5"/>
      <c r="D58" s="5"/>
      <c r="E58" s="5"/>
      <c r="F58" s="5"/>
      <c r="G58" s="5"/>
      <c r="H58" s="5"/>
      <c r="I58" s="26"/>
    </row>
    <row r="59" spans="1:9" ht="24.75" customHeight="1">
      <c r="A59" s="1258" t="s">
        <v>57</v>
      </c>
      <c r="B59" s="1258"/>
      <c r="C59" s="1258"/>
      <c r="D59" s="1258"/>
      <c r="E59" s="1258"/>
      <c r="F59" s="1258"/>
      <c r="G59" s="1258"/>
      <c r="H59" s="1258"/>
      <c r="I59" s="1258"/>
    </row>
    <row r="60" spans="1:9" ht="15">
      <c r="A60" s="16"/>
      <c r="B60" s="5"/>
      <c r="C60" s="5"/>
      <c r="D60" s="5"/>
      <c r="E60" s="5"/>
      <c r="F60" s="5"/>
      <c r="G60" s="5"/>
      <c r="H60" s="5"/>
      <c r="I60" s="26"/>
    </row>
    <row r="61" spans="1:9" ht="12.75">
      <c r="A61" s="27" t="s">
        <v>58</v>
      </c>
      <c r="B61" s="28" t="s">
        <v>59</v>
      </c>
      <c r="C61" s="28"/>
      <c r="D61" s="28"/>
      <c r="E61" s="28"/>
      <c r="F61" s="28"/>
      <c r="G61" s="28"/>
      <c r="H61" s="28"/>
      <c r="I61" s="29">
        <f>príjmy!L66</f>
        <v>401513</v>
      </c>
    </row>
    <row r="62" spans="1:9" ht="12.75">
      <c r="A62" s="30" t="s">
        <v>60</v>
      </c>
      <c r="B62" s="31" t="s">
        <v>61</v>
      </c>
      <c r="C62" s="31"/>
      <c r="D62" s="31"/>
      <c r="E62" s="31"/>
      <c r="F62" s="31"/>
      <c r="G62" s="31"/>
      <c r="H62" s="31"/>
      <c r="I62" s="32">
        <f>príjmy!L68</f>
        <v>4500</v>
      </c>
    </row>
    <row r="63" spans="1:9" ht="12.75">
      <c r="A63" s="33" t="s">
        <v>62</v>
      </c>
      <c r="B63" s="34" t="s">
        <v>63</v>
      </c>
      <c r="C63" s="34"/>
      <c r="D63" s="34"/>
      <c r="E63" s="34"/>
      <c r="F63" s="34"/>
      <c r="G63" s="34"/>
      <c r="H63" s="34"/>
      <c r="I63" s="35">
        <f>príjmy!L69</f>
        <v>4800</v>
      </c>
    </row>
    <row r="64" spans="1:9" ht="12.75">
      <c r="A64" s="30" t="s">
        <v>64</v>
      </c>
      <c r="B64" s="31" t="s">
        <v>65</v>
      </c>
      <c r="C64" s="31"/>
      <c r="D64" s="31"/>
      <c r="E64" s="31"/>
      <c r="F64" s="31"/>
      <c r="G64" s="31"/>
      <c r="H64" s="31"/>
      <c r="I64" s="32">
        <f>príjmy!L70</f>
        <v>10000</v>
      </c>
    </row>
    <row r="65" spans="1:9" ht="12.75">
      <c r="A65" s="30" t="s">
        <v>66</v>
      </c>
      <c r="B65" s="31" t="s">
        <v>67</v>
      </c>
      <c r="C65" s="31"/>
      <c r="D65" s="31"/>
      <c r="E65" s="31"/>
      <c r="F65" s="31"/>
      <c r="G65" s="31"/>
      <c r="H65" s="31"/>
      <c r="I65" s="32">
        <f>príjmy!L71</f>
        <v>8000</v>
      </c>
    </row>
    <row r="66" spans="1:9" ht="12.75">
      <c r="A66" s="30" t="s">
        <v>68</v>
      </c>
      <c r="B66" s="31" t="s">
        <v>69</v>
      </c>
      <c r="C66" s="31"/>
      <c r="D66" s="31"/>
      <c r="E66" s="31"/>
      <c r="F66" s="31"/>
      <c r="G66" s="31"/>
      <c r="H66" s="31"/>
      <c r="I66" s="32">
        <f>príjmy!L73</f>
        <v>3500</v>
      </c>
    </row>
    <row r="67" spans="1:9" ht="12.75">
      <c r="A67" s="30" t="s">
        <v>70</v>
      </c>
      <c r="B67" s="31" t="s">
        <v>71</v>
      </c>
      <c r="C67" s="31"/>
      <c r="D67" s="31"/>
      <c r="E67" s="31"/>
      <c r="F67" s="31"/>
      <c r="G67" s="31"/>
      <c r="H67" s="31"/>
      <c r="I67" s="32">
        <f>príjmy!L74</f>
        <v>8000</v>
      </c>
    </row>
    <row r="68" spans="1:9" ht="12.75">
      <c r="A68" s="30" t="s">
        <v>72</v>
      </c>
      <c r="B68" s="31" t="s">
        <v>73</v>
      </c>
      <c r="C68" s="31"/>
      <c r="D68" s="31"/>
      <c r="E68" s="31"/>
      <c r="F68" s="31"/>
      <c r="G68" s="31"/>
      <c r="H68" s="31"/>
      <c r="I68" s="32">
        <f>príjmy!L77</f>
        <v>3000</v>
      </c>
    </row>
    <row r="69" spans="1:9" ht="12.75">
      <c r="A69" s="30" t="s">
        <v>74</v>
      </c>
      <c r="B69" s="31" t="s">
        <v>75</v>
      </c>
      <c r="C69" s="31"/>
      <c r="D69" s="31"/>
      <c r="E69" s="31"/>
      <c r="F69" s="31"/>
      <c r="G69" s="31"/>
      <c r="H69" s="31"/>
      <c r="I69" s="32">
        <f>príjmy!L75</f>
        <v>1350</v>
      </c>
    </row>
    <row r="70" spans="1:9" ht="12.75">
      <c r="A70" s="30" t="s">
        <v>76</v>
      </c>
      <c r="B70" s="31" t="s">
        <v>77</v>
      </c>
      <c r="C70" s="31"/>
      <c r="D70" s="31"/>
      <c r="E70" s="31"/>
      <c r="F70" s="31"/>
      <c r="G70" s="31"/>
      <c r="H70" s="31"/>
      <c r="I70" s="32">
        <f>príjmy!L76</f>
        <v>14500</v>
      </c>
    </row>
    <row r="71" spans="1:9" ht="12.75">
      <c r="A71" s="30" t="s">
        <v>78</v>
      </c>
      <c r="B71" s="31" t="s">
        <v>79</v>
      </c>
      <c r="C71" s="31"/>
      <c r="D71" s="31"/>
      <c r="E71" s="31"/>
      <c r="F71" s="31"/>
      <c r="G71" s="31"/>
      <c r="H71" s="31"/>
      <c r="I71" s="32">
        <f>príjmy!L65+príjmy!L72</f>
        <v>650</v>
      </c>
    </row>
    <row r="72" spans="1:9" ht="12.75">
      <c r="A72" s="30" t="s">
        <v>80</v>
      </c>
      <c r="B72" s="31" t="s">
        <v>81</v>
      </c>
      <c r="C72" s="31"/>
      <c r="D72" s="31"/>
      <c r="E72" s="31"/>
      <c r="F72" s="31"/>
      <c r="G72" s="31"/>
      <c r="H72" s="31"/>
      <c r="I72" s="32">
        <f>príjmy!L78</f>
        <v>10000</v>
      </c>
    </row>
    <row r="73" spans="1:9" ht="12.75">
      <c r="A73" s="30" t="s">
        <v>82</v>
      </c>
      <c r="B73" s="31" t="s">
        <v>83</v>
      </c>
      <c r="C73" s="31"/>
      <c r="D73" s="31"/>
      <c r="E73" s="31"/>
      <c r="F73" s="31"/>
      <c r="G73" s="31"/>
      <c r="H73" s="31"/>
      <c r="I73" s="35">
        <f>príjmy!L79</f>
        <v>89875</v>
      </c>
    </row>
    <row r="74" spans="1:9" ht="15">
      <c r="A74" s="36"/>
      <c r="B74" s="31" t="s">
        <v>84</v>
      </c>
      <c r="C74" s="37"/>
      <c r="D74" s="37"/>
      <c r="E74" s="37"/>
      <c r="F74" s="37"/>
      <c r="G74" s="37"/>
      <c r="H74" s="37"/>
      <c r="I74" s="38">
        <f>príjmy!L80</f>
        <v>44000</v>
      </c>
    </row>
    <row r="75" spans="1:9" ht="15">
      <c r="A75" s="39"/>
      <c r="B75" s="34"/>
      <c r="C75" s="40"/>
      <c r="D75" s="40"/>
      <c r="E75" s="40"/>
      <c r="F75" s="40"/>
      <c r="G75" s="40"/>
      <c r="H75" s="40"/>
      <c r="I75" s="41"/>
    </row>
    <row r="76" spans="1:9" ht="15">
      <c r="A76" s="4"/>
      <c r="B76" s="5"/>
      <c r="C76" s="5"/>
      <c r="D76" s="5"/>
      <c r="E76" s="5"/>
      <c r="F76" s="5"/>
      <c r="G76" s="5"/>
      <c r="H76" s="5"/>
      <c r="I76" s="42"/>
    </row>
    <row r="77" spans="1:9" ht="15.75">
      <c r="A77" s="1027" t="s">
        <v>85</v>
      </c>
      <c r="B77" s="1027"/>
      <c r="C77" s="1027"/>
      <c r="D77" s="1027"/>
      <c r="E77" s="1027"/>
      <c r="F77" s="1027"/>
      <c r="G77" s="1027"/>
      <c r="H77" s="1027"/>
      <c r="I77" s="3">
        <f>SUM(I79,I84)</f>
        <v>640000</v>
      </c>
    </row>
    <row r="78" spans="1:9" ht="15">
      <c r="A78" s="4"/>
      <c r="B78" s="5"/>
      <c r="C78" s="5"/>
      <c r="D78" s="5"/>
      <c r="E78" s="5"/>
      <c r="F78" s="5"/>
      <c r="G78" s="5"/>
      <c r="H78" s="5"/>
      <c r="I78" s="43"/>
    </row>
    <row r="79" spans="1:9" ht="15.75">
      <c r="A79" s="1028" t="s">
        <v>86</v>
      </c>
      <c r="B79" s="1028"/>
      <c r="C79" s="1028"/>
      <c r="D79" s="1028"/>
      <c r="E79" s="1028"/>
      <c r="F79" s="1028"/>
      <c r="G79" s="1028"/>
      <c r="H79" s="1028"/>
      <c r="I79" s="19">
        <f>I81</f>
        <v>0</v>
      </c>
    </row>
    <row r="80" ht="12.75">
      <c r="I80" s="20"/>
    </row>
    <row r="81" spans="1:9" ht="12.75">
      <c r="A81" s="30" t="s">
        <v>3</v>
      </c>
      <c r="B81" s="31" t="s">
        <v>87</v>
      </c>
      <c r="C81" s="31"/>
      <c r="D81" s="31"/>
      <c r="E81" s="31"/>
      <c r="F81" s="31"/>
      <c r="G81" s="31"/>
      <c r="H81" s="31"/>
      <c r="I81" s="32">
        <f>príjmy!L100</f>
        <v>0</v>
      </c>
    </row>
    <row r="82" spans="1:9" ht="12.75">
      <c r="A82" s="44"/>
      <c r="B82" s="45"/>
      <c r="C82" s="45"/>
      <c r="D82" s="45"/>
      <c r="E82" s="45"/>
      <c r="F82" s="45"/>
      <c r="G82" s="45"/>
      <c r="H82" s="45"/>
      <c r="I82" s="46"/>
    </row>
    <row r="83" spans="1:9" ht="12.75">
      <c r="A83" s="44"/>
      <c r="B83" s="45"/>
      <c r="C83" s="45"/>
      <c r="D83" s="45"/>
      <c r="E83" s="45"/>
      <c r="F83" s="45"/>
      <c r="G83" s="45"/>
      <c r="H83" s="45"/>
      <c r="I83" s="46"/>
    </row>
    <row r="84" spans="1:9" ht="15">
      <c r="A84" s="1028" t="s">
        <v>88</v>
      </c>
      <c r="B84" s="1028"/>
      <c r="C84" s="1028"/>
      <c r="D84" s="1028"/>
      <c r="E84" s="1028"/>
      <c r="F84" s="1028"/>
      <c r="G84" s="1028"/>
      <c r="H84" s="1028"/>
      <c r="I84" s="47">
        <f>SUM(I86,I87,I88,I89,I90,I91,I92)</f>
        <v>640000</v>
      </c>
    </row>
    <row r="85" spans="1:9" ht="12.75">
      <c r="A85" s="44"/>
      <c r="B85" s="45"/>
      <c r="C85" s="45"/>
      <c r="D85" s="45"/>
      <c r="E85" s="45"/>
      <c r="F85" s="45"/>
      <c r="G85" s="45"/>
      <c r="H85" s="45"/>
      <c r="I85" s="46"/>
    </row>
    <row r="86" spans="1:9" ht="12.75">
      <c r="A86" s="30" t="s">
        <v>25</v>
      </c>
      <c r="B86" s="31" t="s">
        <v>89</v>
      </c>
      <c r="C86" s="31"/>
      <c r="D86" s="31"/>
      <c r="E86" s="31"/>
      <c r="F86" s="31"/>
      <c r="G86" s="31"/>
      <c r="H86" s="31"/>
      <c r="I86" s="32">
        <f>príjmy!L106</f>
        <v>0</v>
      </c>
    </row>
    <row r="87" spans="1:9" ht="12.75">
      <c r="A87" s="30" t="s">
        <v>28</v>
      </c>
      <c r="B87" s="31" t="s">
        <v>90</v>
      </c>
      <c r="C87" s="31"/>
      <c r="D87" s="31"/>
      <c r="E87" s="31"/>
      <c r="F87" s="31"/>
      <c r="G87" s="31"/>
      <c r="H87" s="31"/>
      <c r="I87" s="32">
        <f>príjmy!L107</f>
        <v>0</v>
      </c>
    </row>
    <row r="88" spans="1:9" ht="12.75">
      <c r="A88" s="30" t="s">
        <v>31</v>
      </c>
      <c r="B88" s="31" t="s">
        <v>91</v>
      </c>
      <c r="C88" s="31"/>
      <c r="D88" s="31"/>
      <c r="E88" s="31"/>
      <c r="F88" s="31"/>
      <c r="G88" s="31"/>
      <c r="H88" s="31"/>
      <c r="I88" s="32">
        <f>príjmy!L108</f>
        <v>65000</v>
      </c>
    </row>
    <row r="89" spans="1:9" ht="12.75">
      <c r="A89" s="30" t="s">
        <v>34</v>
      </c>
      <c r="B89" s="31" t="s">
        <v>92</v>
      </c>
      <c r="C89" s="31"/>
      <c r="D89" s="31"/>
      <c r="E89" s="31"/>
      <c r="F89" s="31"/>
      <c r="G89" s="31"/>
      <c r="H89" s="31"/>
      <c r="I89" s="32">
        <f>príjmy!L112</f>
        <v>0</v>
      </c>
    </row>
    <row r="90" spans="1:9" ht="12.75">
      <c r="A90" s="30" t="s">
        <v>37</v>
      </c>
      <c r="B90" s="31" t="s">
        <v>93</v>
      </c>
      <c r="C90" s="31"/>
      <c r="D90" s="31"/>
      <c r="E90" s="31"/>
      <c r="F90" s="31"/>
      <c r="G90" s="31"/>
      <c r="H90" s="31"/>
      <c r="I90" s="32">
        <f>príjmy!L110</f>
        <v>100000</v>
      </c>
    </row>
    <row r="91" spans="1:9" ht="12.75">
      <c r="A91" s="30" t="s">
        <v>40</v>
      </c>
      <c r="B91" s="31" t="s">
        <v>94</v>
      </c>
      <c r="C91" s="31"/>
      <c r="D91" s="31"/>
      <c r="E91" s="31"/>
      <c r="F91" s="31"/>
      <c r="G91" s="31"/>
      <c r="H91" s="31"/>
      <c r="I91" s="32">
        <f>príjmy!L113</f>
        <v>475000</v>
      </c>
    </row>
    <row r="92" spans="1:9" ht="12.75">
      <c r="A92" s="30" t="s">
        <v>42</v>
      </c>
      <c r="B92" s="31" t="s">
        <v>95</v>
      </c>
      <c r="C92" s="31"/>
      <c r="D92" s="31"/>
      <c r="E92" s="31"/>
      <c r="F92" s="31"/>
      <c r="G92" s="31"/>
      <c r="H92" s="31"/>
      <c r="I92" s="32">
        <f>príjmy!L115</f>
        <v>0</v>
      </c>
    </row>
    <row r="93" spans="1:9" ht="12.75">
      <c r="A93" s="44"/>
      <c r="B93" s="45"/>
      <c r="C93" s="45"/>
      <c r="D93" s="45"/>
      <c r="E93" s="45"/>
      <c r="F93" s="45"/>
      <c r="G93" s="45"/>
      <c r="H93" s="45"/>
      <c r="I93" s="46"/>
    </row>
    <row r="94" spans="1:9" ht="12.75">
      <c r="A94" s="44"/>
      <c r="B94" s="45"/>
      <c r="C94" s="45"/>
      <c r="D94" s="45"/>
      <c r="E94" s="45"/>
      <c r="F94" s="45"/>
      <c r="G94" s="45"/>
      <c r="H94" s="45"/>
      <c r="I94" s="46"/>
    </row>
    <row r="95" spans="1:9" ht="15">
      <c r="A95" s="1027" t="s">
        <v>96</v>
      </c>
      <c r="B95" s="1027"/>
      <c r="C95" s="1027"/>
      <c r="D95" s="1027"/>
      <c r="E95" s="1027"/>
      <c r="F95" s="1027"/>
      <c r="G95" s="1027"/>
      <c r="H95" s="1027"/>
      <c r="I95" s="48">
        <f>I97</f>
        <v>0</v>
      </c>
    </row>
    <row r="96" spans="1:9" ht="12.75">
      <c r="A96" s="44"/>
      <c r="B96" s="45"/>
      <c r="C96" s="45"/>
      <c r="D96" s="45"/>
      <c r="E96" s="45"/>
      <c r="F96" s="45"/>
      <c r="G96" s="45"/>
      <c r="H96" s="45"/>
      <c r="I96" s="46"/>
    </row>
    <row r="97" spans="1:9" ht="12.75">
      <c r="A97" s="30" t="s">
        <v>3</v>
      </c>
      <c r="B97" s="31" t="s">
        <v>97</v>
      </c>
      <c r="C97" s="31"/>
      <c r="D97" s="31"/>
      <c r="E97" s="31"/>
      <c r="F97" s="31"/>
      <c r="G97" s="31"/>
      <c r="H97" s="31"/>
      <c r="I97" s="32">
        <f>príjmy!L142</f>
        <v>0</v>
      </c>
    </row>
    <row r="98" spans="1:9" ht="12.75">
      <c r="A98" s="44"/>
      <c r="B98" s="45"/>
      <c r="C98" s="45"/>
      <c r="D98" s="45"/>
      <c r="E98" s="45"/>
      <c r="F98" s="45"/>
      <c r="G98" s="45"/>
      <c r="H98" s="45"/>
      <c r="I98" s="46"/>
    </row>
    <row r="99" spans="1:9" ht="12.75">
      <c r="A99" s="44"/>
      <c r="B99" s="45"/>
      <c r="C99" s="45"/>
      <c r="D99" s="45"/>
      <c r="E99" s="45"/>
      <c r="F99" s="45"/>
      <c r="G99" s="45"/>
      <c r="H99" s="45"/>
      <c r="I99" s="46"/>
    </row>
    <row r="100" spans="1:9" ht="15">
      <c r="A100" s="49"/>
      <c r="B100" s="49"/>
      <c r="C100" s="1259" t="s">
        <v>98</v>
      </c>
      <c r="D100" s="1259"/>
      <c r="E100" s="1259"/>
      <c r="F100" s="1259"/>
      <c r="G100" s="1259"/>
      <c r="H100" s="1259"/>
      <c r="I100" s="50"/>
    </row>
    <row r="101" spans="1:9" ht="12.75">
      <c r="A101" s="44"/>
      <c r="B101" s="45"/>
      <c r="C101" s="45"/>
      <c r="D101" s="45"/>
      <c r="E101" s="45"/>
      <c r="F101" s="45"/>
      <c r="G101" s="45"/>
      <c r="H101" s="45"/>
      <c r="I101" s="46"/>
    </row>
    <row r="102" spans="1:9" ht="12.75">
      <c r="A102" s="51"/>
      <c r="B102" s="45"/>
      <c r="C102" s="45"/>
      <c r="D102" s="45"/>
      <c r="E102" s="45"/>
      <c r="F102" s="45"/>
      <c r="G102" s="45"/>
      <c r="H102" s="45"/>
      <c r="I102" s="46"/>
    </row>
    <row r="103" spans="1:9" ht="15">
      <c r="A103" s="51"/>
      <c r="B103" s="45"/>
      <c r="C103" s="1260" t="s">
        <v>1</v>
      </c>
      <c r="D103" s="1260"/>
      <c r="E103" s="1260"/>
      <c r="F103" s="1260"/>
      <c r="G103" s="1261">
        <f>I3</f>
        <v>1402752</v>
      </c>
      <c r="H103" s="1261"/>
      <c r="I103" s="46"/>
    </row>
    <row r="104" spans="1:9" ht="15">
      <c r="A104" s="51"/>
      <c r="B104" s="45"/>
      <c r="C104" s="1260" t="s">
        <v>85</v>
      </c>
      <c r="D104" s="1260"/>
      <c r="E104" s="1260"/>
      <c r="F104" s="1260"/>
      <c r="G104" s="1261">
        <f>I77</f>
        <v>640000</v>
      </c>
      <c r="H104" s="1261"/>
      <c r="I104" s="46"/>
    </row>
    <row r="105" spans="1:9" ht="15">
      <c r="A105" s="51"/>
      <c r="B105" s="45"/>
      <c r="C105" s="1260" t="s">
        <v>96</v>
      </c>
      <c r="D105" s="1260"/>
      <c r="E105" s="1260"/>
      <c r="F105" s="1260"/>
      <c r="G105" s="1262">
        <f>I95</f>
        <v>0</v>
      </c>
      <c r="H105" s="1262"/>
      <c r="I105" s="46"/>
    </row>
    <row r="106" spans="1:9" ht="15">
      <c r="A106" s="51"/>
      <c r="B106" s="45"/>
      <c r="C106" s="1260" t="s">
        <v>99</v>
      </c>
      <c r="D106" s="1260"/>
      <c r="E106" s="1260"/>
      <c r="F106" s="1260"/>
      <c r="G106" s="1262">
        <v>0</v>
      </c>
      <c r="H106" s="1262"/>
      <c r="I106" s="46"/>
    </row>
    <row r="107" spans="1:9" ht="15">
      <c r="A107" s="51"/>
      <c r="B107" s="45"/>
      <c r="C107" s="1263" t="s">
        <v>100</v>
      </c>
      <c r="D107" s="1263"/>
      <c r="E107" s="1263"/>
      <c r="F107" s="1263"/>
      <c r="G107" s="1264">
        <f>SUM(G103,G104,G105,G106)</f>
        <v>2042752</v>
      </c>
      <c r="H107" s="1264"/>
      <c r="I107" s="46"/>
    </row>
    <row r="108" spans="1:9" ht="12.75">
      <c r="A108" s="51"/>
      <c r="B108" s="45"/>
      <c r="C108" s="45"/>
      <c r="D108" s="45"/>
      <c r="E108" s="45"/>
      <c r="F108" s="45"/>
      <c r="G108" s="45"/>
      <c r="H108" s="45"/>
      <c r="I108" s="52"/>
    </row>
    <row r="109" spans="1:9" ht="12.75">
      <c r="A109" s="51"/>
      <c r="B109" s="45"/>
      <c r="C109" s="45"/>
      <c r="D109" s="45"/>
      <c r="E109" s="45"/>
      <c r="F109" s="45"/>
      <c r="G109" s="45"/>
      <c r="H109" s="45"/>
      <c r="I109" s="52"/>
    </row>
  </sheetData>
  <mergeCells count="53">
    <mergeCell ref="C106:F106"/>
    <mergeCell ref="G106:H106"/>
    <mergeCell ref="C107:F107"/>
    <mergeCell ref="G107:H107"/>
    <mergeCell ref="C104:F104"/>
    <mergeCell ref="G104:H104"/>
    <mergeCell ref="C105:F105"/>
    <mergeCell ref="G105:H105"/>
    <mergeCell ref="A84:H84"/>
    <mergeCell ref="A95:H95"/>
    <mergeCell ref="C100:H100"/>
    <mergeCell ref="C103:F103"/>
    <mergeCell ref="G103:H103"/>
    <mergeCell ref="A57:H57"/>
    <mergeCell ref="A59:I59"/>
    <mergeCell ref="A77:H77"/>
    <mergeCell ref="A79:H79"/>
    <mergeCell ref="B52:H52"/>
    <mergeCell ref="A53:H53"/>
    <mergeCell ref="B54:H54"/>
    <mergeCell ref="A55:H55"/>
    <mergeCell ref="B48:H48"/>
    <mergeCell ref="B49:H49"/>
    <mergeCell ref="B50:H50"/>
    <mergeCell ref="A51:H51"/>
    <mergeCell ref="B44:H44"/>
    <mergeCell ref="A45:H45"/>
    <mergeCell ref="B46:H46"/>
    <mergeCell ref="A47:H47"/>
    <mergeCell ref="B40:H40"/>
    <mergeCell ref="A41:H41"/>
    <mergeCell ref="B42:H42"/>
    <mergeCell ref="A43:H43"/>
    <mergeCell ref="B36:H36"/>
    <mergeCell ref="A37:H37"/>
    <mergeCell ref="B38:H38"/>
    <mergeCell ref="A39:H39"/>
    <mergeCell ref="A20:H20"/>
    <mergeCell ref="A32:H32"/>
    <mergeCell ref="B34:H34"/>
    <mergeCell ref="A35:H35"/>
    <mergeCell ref="B15:H15"/>
    <mergeCell ref="A16:H16"/>
    <mergeCell ref="B17:H17"/>
    <mergeCell ref="A18:H18"/>
    <mergeCell ref="A10:H10"/>
    <mergeCell ref="A12:H12"/>
    <mergeCell ref="B13:H13"/>
    <mergeCell ref="A14:H14"/>
    <mergeCell ref="A1:I1"/>
    <mergeCell ref="A3:H3"/>
    <mergeCell ref="A5:H5"/>
    <mergeCell ref="A8:H8"/>
  </mergeCells>
  <printOptions horizontalCentered="1"/>
  <pageMargins left="0.7480314960629921" right="0.5511811023622047" top="0.984251968503937" bottom="0.984251968503937" header="0.5118110236220472" footer="0.5118110236220472"/>
  <pageSetup horizontalDpi="300" verticalDpi="300" orientation="portrait" paperSize="9" r:id="rId1"/>
  <headerFooter alignWithMargins="0">
    <oddHeader>&amp;CPROGRAMOVÝ ROZPOČET OBCE TEKOVSKÉ LUŽANY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101"/>
  <sheetViews>
    <sheetView workbookViewId="0" topLeftCell="A37">
      <selection activeCell="J63" sqref="J63"/>
    </sheetView>
  </sheetViews>
  <sheetFormatPr defaultColWidth="9.140625" defaultRowHeight="12.75"/>
  <cols>
    <col min="1" max="1" width="3.57421875" style="295" customWidth="1"/>
    <col min="2" max="2" width="4.140625" style="1" customWidth="1"/>
    <col min="3" max="3" width="9.421875" style="0" customWidth="1"/>
    <col min="4" max="4" width="3.421875" style="0" customWidth="1"/>
    <col min="5" max="5" width="31.421875" style="0" customWidth="1"/>
    <col min="6" max="6" width="8.8515625" style="0" customWidth="1"/>
    <col min="7" max="7" width="0" style="0" hidden="1" customWidth="1"/>
    <col min="8" max="12" width="8.28125" style="0" customWidth="1"/>
  </cols>
  <sheetData>
    <row r="1" spans="2:12" ht="15.75">
      <c r="B1" s="299" t="s">
        <v>374</v>
      </c>
      <c r="E1" s="299" t="s">
        <v>375</v>
      </c>
      <c r="F1" s="297"/>
      <c r="G1" s="466" t="e">
        <f>G2-G7</f>
        <v>#REF!</v>
      </c>
      <c r="H1" s="466"/>
      <c r="I1" s="466"/>
      <c r="J1" s="307">
        <f>J2-J7</f>
        <v>0</v>
      </c>
      <c r="K1" s="307">
        <f>K2-K7</f>
        <v>0</v>
      </c>
      <c r="L1" s="307">
        <f>L2-L7</f>
        <v>0</v>
      </c>
    </row>
    <row r="2" spans="2:12" ht="15.75">
      <c r="B2" s="299"/>
      <c r="F2" s="466"/>
      <c r="G2" s="466" t="e">
        <f>SUM(G8:G10)</f>
        <v>#REF!</v>
      </c>
      <c r="H2" s="466"/>
      <c r="I2" s="466"/>
      <c r="J2" s="307">
        <f>SUM(J8:J10)</f>
        <v>59000</v>
      </c>
      <c r="K2" s="307">
        <f>SUM(K8:K10)</f>
        <v>59600</v>
      </c>
      <c r="L2" s="307">
        <f>SUM(L8:L10)</f>
        <v>59600</v>
      </c>
    </row>
    <row r="3" spans="1:12" ht="15.75">
      <c r="A3" s="308"/>
      <c r="B3" s="309"/>
      <c r="C3" s="310"/>
      <c r="D3" s="310"/>
      <c r="E3" s="311"/>
      <c r="F3" s="312"/>
      <c r="G3" s="1275" t="s">
        <v>201</v>
      </c>
      <c r="H3" s="1275"/>
      <c r="I3" s="1275"/>
      <c r="J3" s="1275"/>
      <c r="K3" s="1275"/>
      <c r="L3" s="1275"/>
    </row>
    <row r="4" spans="1:12" ht="15" customHeight="1">
      <c r="A4" s="313"/>
      <c r="B4" s="314" t="s">
        <v>202</v>
      </c>
      <c r="C4" s="315" t="s">
        <v>203</v>
      </c>
      <c r="D4" s="1276" t="s">
        <v>204</v>
      </c>
      <c r="E4" s="1276"/>
      <c r="F4" s="1276"/>
      <c r="G4" s="316"/>
      <c r="H4" s="318">
        <v>2011</v>
      </c>
      <c r="I4" s="318">
        <v>2012</v>
      </c>
      <c r="J4" s="317">
        <v>2013</v>
      </c>
      <c r="K4" s="318">
        <v>2014</v>
      </c>
      <c r="L4" s="318">
        <v>2015</v>
      </c>
    </row>
    <row r="5" spans="1:12" ht="12" customHeight="1">
      <c r="A5" s="313"/>
      <c r="B5" s="314" t="s">
        <v>205</v>
      </c>
      <c r="C5" s="315" t="s">
        <v>206</v>
      </c>
      <c r="D5" s="1276"/>
      <c r="E5" s="1276"/>
      <c r="F5" s="1276"/>
      <c r="G5" s="319" t="s">
        <v>207</v>
      </c>
      <c r="H5" s="320" t="s">
        <v>209</v>
      </c>
      <c r="I5" s="320" t="s">
        <v>209</v>
      </c>
      <c r="J5" s="597" t="s">
        <v>208</v>
      </c>
      <c r="K5" s="320" t="s">
        <v>209</v>
      </c>
      <c r="L5" s="320" t="s">
        <v>209</v>
      </c>
    </row>
    <row r="6" spans="1:12" ht="12.75">
      <c r="A6" s="313"/>
      <c r="B6" s="314" t="s">
        <v>210</v>
      </c>
      <c r="C6" s="315" t="s">
        <v>211</v>
      </c>
      <c r="D6" s="1276"/>
      <c r="E6" s="1276"/>
      <c r="F6" s="1276"/>
      <c r="G6" s="322">
        <v>1</v>
      </c>
      <c r="H6" s="323">
        <v>-2</v>
      </c>
      <c r="I6" s="323">
        <v>-1</v>
      </c>
      <c r="J6" s="322">
        <v>1</v>
      </c>
      <c r="K6" s="323">
        <v>2</v>
      </c>
      <c r="L6" s="323">
        <v>3</v>
      </c>
    </row>
    <row r="7" spans="1:12" ht="15">
      <c r="A7" s="332">
        <v>1</v>
      </c>
      <c r="B7" s="326" t="s">
        <v>374</v>
      </c>
      <c r="C7" s="598"/>
      <c r="D7" s="599"/>
      <c r="E7" s="328" t="s">
        <v>375</v>
      </c>
      <c r="F7" s="600"/>
      <c r="G7" s="543" t="e">
        <f>G11+#REF!+#REF!+#REF!+#REF!+#REF!+#REF!+#REF!+#REF!</f>
        <v>#REF!</v>
      </c>
      <c r="H7" s="331">
        <f>SUM(H8:H10)</f>
        <v>67530</v>
      </c>
      <c r="I7" s="331">
        <f>SUM(I8:I10)</f>
        <v>58600</v>
      </c>
      <c r="J7" s="331">
        <f>SUM(J8:J10)</f>
        <v>59000</v>
      </c>
      <c r="K7" s="331">
        <f>SUM(K8:K10)</f>
        <v>59600</v>
      </c>
      <c r="L7" s="331">
        <f>SUM(L8:L10)</f>
        <v>59600</v>
      </c>
    </row>
    <row r="8" spans="1:12" ht="12.75">
      <c r="A8" s="332">
        <f aca="true" t="shared" si="0" ref="A8:A15">A7+1</f>
        <v>2</v>
      </c>
      <c r="B8" s="333" t="s">
        <v>213</v>
      </c>
      <c r="C8" s="334" t="s">
        <v>214</v>
      </c>
      <c r="D8" s="335"/>
      <c r="E8" s="336"/>
      <c r="F8" s="337"/>
      <c r="G8" s="481" t="e">
        <f>G12+G20+#REF!+#REF!+#REF!+#REF!+#REF!+#REF!</f>
        <v>#REF!</v>
      </c>
      <c r="H8" s="483">
        <f>SUM(H12+H20+H30+H44+H48+H52+H61+H66)</f>
        <v>67530</v>
      </c>
      <c r="I8" s="483">
        <f>SUM(I12+I20+I30+I44+I48+I52+I61+I66)</f>
        <v>58600</v>
      </c>
      <c r="J8" s="483">
        <f>SUM(J12+J20+J30+J44+J48+J52+J61+J66)</f>
        <v>59000</v>
      </c>
      <c r="K8" s="483">
        <f>SUM(K12+K20+K30+K44+K48+K52+K61+K66)</f>
        <v>59600</v>
      </c>
      <c r="L8" s="483">
        <f>SUM(L12+L20+L30+L44+L48+L52+L61+L66)</f>
        <v>59600</v>
      </c>
    </row>
    <row r="9" spans="1:12" ht="12.75">
      <c r="A9" s="332">
        <f t="shared" si="0"/>
        <v>3</v>
      </c>
      <c r="B9" s="333" t="s">
        <v>215</v>
      </c>
      <c r="C9" s="334" t="s">
        <v>216</v>
      </c>
      <c r="D9" s="335"/>
      <c r="E9" s="336"/>
      <c r="F9" s="337"/>
      <c r="G9" s="481" t="e">
        <f>G25+#REF!+#REF!+#REF!+#REF!</f>
        <v>#REF!</v>
      </c>
      <c r="H9" s="483">
        <f>SUM(H25+H41+H57)</f>
        <v>0</v>
      </c>
      <c r="I9" s="483">
        <f>SUM(I25+I41+I57)</f>
        <v>0</v>
      </c>
      <c r="J9" s="482">
        <f>SUM(J25+J41+J57)</f>
        <v>0</v>
      </c>
      <c r="K9" s="483">
        <f>SUM(K25+K41+K57)</f>
        <v>0</v>
      </c>
      <c r="L9" s="483">
        <f>SUM(L25+L41+L57)</f>
        <v>0</v>
      </c>
    </row>
    <row r="10" spans="1:12" ht="12.75">
      <c r="A10" s="332">
        <f t="shared" si="0"/>
        <v>4</v>
      </c>
      <c r="B10" s="340"/>
      <c r="C10" s="341" t="s">
        <v>217</v>
      </c>
      <c r="D10" s="342"/>
      <c r="E10" s="343"/>
      <c r="F10" s="344"/>
      <c r="G10" s="486" t="e">
        <f>#REF!+#REF!</f>
        <v>#REF!</v>
      </c>
      <c r="H10" s="483">
        <v>0</v>
      </c>
      <c r="I10" s="483">
        <v>0</v>
      </c>
      <c r="J10" s="487">
        <v>0</v>
      </c>
      <c r="K10" s="483">
        <v>0</v>
      </c>
      <c r="L10" s="483">
        <v>0</v>
      </c>
    </row>
    <row r="11" spans="1:12" ht="12.75">
      <c r="A11" s="332">
        <f t="shared" si="0"/>
        <v>5</v>
      </c>
      <c r="B11" s="347">
        <v>1</v>
      </c>
      <c r="C11" s="449" t="s">
        <v>376</v>
      </c>
      <c r="D11" s="349"/>
      <c r="E11" s="349"/>
      <c r="F11" s="350"/>
      <c r="G11" s="351" t="e">
        <f>SUM(G13)</f>
        <v>#REF!</v>
      </c>
      <c r="H11" s="352">
        <f aca="true" t="shared" si="1" ref="H11:L12">H12</f>
        <v>22419</v>
      </c>
      <c r="I11" s="352">
        <f t="shared" si="1"/>
        <v>14900</v>
      </c>
      <c r="J11" s="490">
        <f t="shared" si="1"/>
        <v>14900</v>
      </c>
      <c r="K11" s="352">
        <f t="shared" si="1"/>
        <v>14900</v>
      </c>
      <c r="L11" s="352">
        <f t="shared" si="1"/>
        <v>14900</v>
      </c>
    </row>
    <row r="12" spans="1:12" ht="12.75">
      <c r="A12" s="332">
        <f t="shared" si="0"/>
        <v>6</v>
      </c>
      <c r="B12" s="362"/>
      <c r="C12" s="363"/>
      <c r="D12" s="337" t="s">
        <v>214</v>
      </c>
      <c r="E12" s="364"/>
      <c r="F12" s="365"/>
      <c r="G12" s="366" t="e">
        <f>G13</f>
        <v>#REF!</v>
      </c>
      <c r="H12" s="367">
        <f t="shared" si="1"/>
        <v>22419</v>
      </c>
      <c r="I12" s="367">
        <f t="shared" si="1"/>
        <v>14900</v>
      </c>
      <c r="J12" s="367">
        <f t="shared" si="1"/>
        <v>14900</v>
      </c>
      <c r="K12" s="367">
        <f t="shared" si="1"/>
        <v>14900</v>
      </c>
      <c r="L12" s="367">
        <f t="shared" si="1"/>
        <v>14900</v>
      </c>
    </row>
    <row r="13" spans="1:12" ht="12.75">
      <c r="A13" s="332">
        <f t="shared" si="0"/>
        <v>7</v>
      </c>
      <c r="B13" s="362"/>
      <c r="C13" s="447" t="s">
        <v>377</v>
      </c>
      <c r="D13" s="370" t="s">
        <v>378</v>
      </c>
      <c r="E13" s="371"/>
      <c r="F13" s="372"/>
      <c r="G13" s="419" t="e">
        <f>SUM(#REF!)</f>
        <v>#REF!</v>
      </c>
      <c r="H13" s="420">
        <f>SUM(H14:H18)</f>
        <v>22419</v>
      </c>
      <c r="I13" s="420">
        <f>SUM(I14:I18)</f>
        <v>14900</v>
      </c>
      <c r="J13" s="420">
        <f>SUM(J14,J15,J16,J17,J18)</f>
        <v>14900</v>
      </c>
      <c r="K13" s="420">
        <f>SUM(K14:K18)</f>
        <v>14900</v>
      </c>
      <c r="L13" s="420">
        <f>SUM(L14:L18)</f>
        <v>14900</v>
      </c>
    </row>
    <row r="14" spans="1:12" ht="12.75">
      <c r="A14" s="332">
        <f t="shared" si="0"/>
        <v>8</v>
      </c>
      <c r="B14" s="362"/>
      <c r="C14" s="407" t="s">
        <v>229</v>
      </c>
      <c r="D14" s="421" t="s">
        <v>250</v>
      </c>
      <c r="E14" s="409" t="s">
        <v>379</v>
      </c>
      <c r="F14" s="601"/>
      <c r="G14" s="602"/>
      <c r="H14" s="424">
        <f>výdavky!D260</f>
        <v>15256</v>
      </c>
      <c r="I14" s="424">
        <f>výdavky!E260</f>
        <v>8000</v>
      </c>
      <c r="J14" s="603">
        <f>výdavky!F260</f>
        <v>8000</v>
      </c>
      <c r="K14" s="424">
        <f>výdavky!G260</f>
        <v>8000</v>
      </c>
      <c r="L14" s="424">
        <f>výdavky!H260</f>
        <v>8000</v>
      </c>
    </row>
    <row r="15" spans="1:12" ht="12.75">
      <c r="A15" s="332">
        <f t="shared" si="0"/>
        <v>9</v>
      </c>
      <c r="B15" s="362"/>
      <c r="C15" s="407" t="s">
        <v>231</v>
      </c>
      <c r="D15" s="426" t="s">
        <v>252</v>
      </c>
      <c r="E15" s="413" t="s">
        <v>380</v>
      </c>
      <c r="F15" s="604"/>
      <c r="G15" s="605"/>
      <c r="H15" s="418">
        <f>výdavky!D261</f>
        <v>182</v>
      </c>
      <c r="I15" s="418">
        <f>výdavky!E261</f>
        <v>300</v>
      </c>
      <c r="J15" s="606">
        <f>výdavky!F261</f>
        <v>300</v>
      </c>
      <c r="K15" s="418">
        <f>výdavky!G261</f>
        <v>300</v>
      </c>
      <c r="L15" s="418">
        <f>výdavky!H261</f>
        <v>300</v>
      </c>
    </row>
    <row r="16" spans="1:12" ht="12.75">
      <c r="A16" s="332">
        <v>10</v>
      </c>
      <c r="B16" s="362"/>
      <c r="C16" s="407" t="s">
        <v>233</v>
      </c>
      <c r="D16" s="421" t="s">
        <v>263</v>
      </c>
      <c r="E16" s="409" t="s">
        <v>381</v>
      </c>
      <c r="F16" s="601"/>
      <c r="G16" s="602"/>
      <c r="H16" s="424">
        <f>výdavky!D262</f>
        <v>5565</v>
      </c>
      <c r="I16" s="424">
        <f>výdavky!E262</f>
        <v>6100</v>
      </c>
      <c r="J16" s="603">
        <f>výdavky!F262</f>
        <v>6100</v>
      </c>
      <c r="K16" s="424">
        <f>výdavky!G262</f>
        <v>6100</v>
      </c>
      <c r="L16" s="424">
        <f>výdavky!H262</f>
        <v>6100</v>
      </c>
    </row>
    <row r="17" spans="1:12" ht="12.75">
      <c r="A17" s="332">
        <v>11</v>
      </c>
      <c r="B17" s="362"/>
      <c r="C17" s="407" t="s">
        <v>235</v>
      </c>
      <c r="D17" s="426" t="s">
        <v>265</v>
      </c>
      <c r="E17" s="413" t="s">
        <v>316</v>
      </c>
      <c r="F17" s="604"/>
      <c r="G17" s="605"/>
      <c r="H17" s="418">
        <f>výdavky!D263</f>
        <v>1416</v>
      </c>
      <c r="I17" s="418">
        <f>výdavky!E263</f>
        <v>500</v>
      </c>
      <c r="J17" s="606">
        <f>výdavky!F263</f>
        <v>500</v>
      </c>
      <c r="K17" s="418">
        <f>výdavky!G263</f>
        <v>500</v>
      </c>
      <c r="L17" s="418">
        <f>výdavky!H263</f>
        <v>500</v>
      </c>
    </row>
    <row r="18" spans="1:12" ht="12.75">
      <c r="A18" s="332">
        <v>12</v>
      </c>
      <c r="B18" s="362"/>
      <c r="C18" s="407" t="s">
        <v>239</v>
      </c>
      <c r="D18" s="426" t="s">
        <v>267</v>
      </c>
      <c r="E18" s="413" t="s">
        <v>240</v>
      </c>
      <c r="F18" s="604"/>
      <c r="G18" s="605"/>
      <c r="H18" s="418">
        <f>výdavky!D264</f>
        <v>0</v>
      </c>
      <c r="I18" s="418">
        <f>výdavky!E264</f>
        <v>0</v>
      </c>
      <c r="J18" s="606">
        <f>výdavky!F264</f>
        <v>0</v>
      </c>
      <c r="K18" s="418">
        <f>výdavky!G264</f>
        <v>0</v>
      </c>
      <c r="L18" s="418">
        <f>výdavky!H264</f>
        <v>0</v>
      </c>
    </row>
    <row r="19" spans="1:12" ht="12.75">
      <c r="A19" s="332">
        <f aca="true" t="shared" si="2" ref="A19:A27">A18+1</f>
        <v>13</v>
      </c>
      <c r="B19" s="347">
        <v>2</v>
      </c>
      <c r="C19" s="449" t="s">
        <v>382</v>
      </c>
      <c r="D19" s="349"/>
      <c r="E19" s="349"/>
      <c r="F19" s="350"/>
      <c r="G19" s="351">
        <f>SUM(G21)</f>
        <v>580</v>
      </c>
      <c r="H19" s="353">
        <f>SUM(H20+H25)</f>
        <v>1980</v>
      </c>
      <c r="I19" s="353">
        <f>SUM(I20+I25)</f>
        <v>5100</v>
      </c>
      <c r="J19" s="490">
        <f>SUM(J20+J25)</f>
        <v>5500</v>
      </c>
      <c r="K19" s="353">
        <f>SUM(K20+K25)</f>
        <v>5500</v>
      </c>
      <c r="L19" s="353">
        <f>SUM(L20+L25)</f>
        <v>5500</v>
      </c>
    </row>
    <row r="20" spans="1:12" ht="12.75">
      <c r="A20" s="332">
        <f t="shared" si="2"/>
        <v>14</v>
      </c>
      <c r="B20" s="362"/>
      <c r="C20" s="363"/>
      <c r="D20" s="337" t="s">
        <v>214</v>
      </c>
      <c r="E20" s="364"/>
      <c r="F20" s="365"/>
      <c r="G20" s="366">
        <f aca="true" t="shared" si="3" ref="G20:L20">G21</f>
        <v>580</v>
      </c>
      <c r="H20" s="367">
        <f t="shared" si="3"/>
        <v>1980</v>
      </c>
      <c r="I20" s="367">
        <f t="shared" si="3"/>
        <v>5100</v>
      </c>
      <c r="J20" s="492">
        <f t="shared" si="3"/>
        <v>5500</v>
      </c>
      <c r="K20" s="367">
        <f t="shared" si="3"/>
        <v>5500</v>
      </c>
      <c r="L20" s="367">
        <f t="shared" si="3"/>
        <v>5500</v>
      </c>
    </row>
    <row r="21" spans="1:12" ht="12.75">
      <c r="A21" s="332">
        <f t="shared" si="2"/>
        <v>15</v>
      </c>
      <c r="B21" s="396"/>
      <c r="C21" s="447" t="s">
        <v>377</v>
      </c>
      <c r="D21" s="370" t="s">
        <v>378</v>
      </c>
      <c r="E21" s="371"/>
      <c r="F21" s="372"/>
      <c r="G21" s="406">
        <f>SUM(G22:G23)</f>
        <v>580</v>
      </c>
      <c r="H21" s="374">
        <f>SUM(H22:H24)</f>
        <v>1980</v>
      </c>
      <c r="I21" s="374">
        <f>SUM(I22:I24)</f>
        <v>5100</v>
      </c>
      <c r="J21" s="374">
        <f>SUM(J22:J24)</f>
        <v>5500</v>
      </c>
      <c r="K21" s="374">
        <f>SUM(K22:K24)</f>
        <v>5500</v>
      </c>
      <c r="L21" s="374">
        <f>SUM(L22:L24)</f>
        <v>5500</v>
      </c>
    </row>
    <row r="22" spans="1:12" ht="12.75">
      <c r="A22" s="332">
        <f t="shared" si="2"/>
        <v>16</v>
      </c>
      <c r="B22" s="396"/>
      <c r="C22" s="427" t="s">
        <v>249</v>
      </c>
      <c r="D22" s="421" t="s">
        <v>250</v>
      </c>
      <c r="E22" s="378" t="s">
        <v>383</v>
      </c>
      <c r="F22" s="422"/>
      <c r="G22" s="607">
        <f>ROUND(K22/30.126,1)</f>
        <v>169.3</v>
      </c>
      <c r="H22" s="441">
        <f>výdavky!D265</f>
        <v>1980</v>
      </c>
      <c r="I22" s="441">
        <f>výdavky!E265</f>
        <v>5100</v>
      </c>
      <c r="J22" s="521">
        <f>výdavky!F266</f>
        <v>5100</v>
      </c>
      <c r="K22" s="441">
        <f>výdavky!G266</f>
        <v>5100</v>
      </c>
      <c r="L22" s="441">
        <f>výdavky!H266</f>
        <v>5100</v>
      </c>
    </row>
    <row r="23" spans="1:12" ht="12.75">
      <c r="A23" s="332">
        <f t="shared" si="2"/>
        <v>17</v>
      </c>
      <c r="B23" s="396"/>
      <c r="C23" s="425" t="s">
        <v>249</v>
      </c>
      <c r="D23" s="426" t="s">
        <v>252</v>
      </c>
      <c r="E23" s="387" t="s">
        <v>384</v>
      </c>
      <c r="F23" s="394"/>
      <c r="G23" s="608">
        <f>397.4+13.3</f>
        <v>410.7</v>
      </c>
      <c r="H23" s="443">
        <v>0</v>
      </c>
      <c r="I23" s="443">
        <v>0</v>
      </c>
      <c r="J23" s="498">
        <f>výdavky!F267</f>
        <v>400</v>
      </c>
      <c r="K23" s="443">
        <f>výdavky!G267</f>
        <v>400</v>
      </c>
      <c r="L23" s="443">
        <f>výdavky!H267</f>
        <v>400</v>
      </c>
    </row>
    <row r="24" spans="1:12" ht="12.75">
      <c r="A24" s="332">
        <f t="shared" si="2"/>
        <v>18</v>
      </c>
      <c r="B24" s="396"/>
      <c r="C24" s="425" t="s">
        <v>249</v>
      </c>
      <c r="D24" s="426" t="s">
        <v>263</v>
      </c>
      <c r="E24" s="387" t="s">
        <v>385</v>
      </c>
      <c r="F24" s="394"/>
      <c r="G24" s="608"/>
      <c r="H24" s="443">
        <v>0</v>
      </c>
      <c r="I24" s="443">
        <v>0</v>
      </c>
      <c r="J24" s="498">
        <f>výdavky!F268</f>
        <v>0</v>
      </c>
      <c r="K24" s="443">
        <f>výdavky!G268</f>
        <v>0</v>
      </c>
      <c r="L24" s="443">
        <f>výdavky!H268</f>
        <v>0</v>
      </c>
    </row>
    <row r="25" spans="1:12" ht="12.75">
      <c r="A25" s="332">
        <f t="shared" si="2"/>
        <v>19</v>
      </c>
      <c r="B25" s="396"/>
      <c r="C25" s="425"/>
      <c r="D25" s="337" t="s">
        <v>216</v>
      </c>
      <c r="E25" s="393"/>
      <c r="F25" s="365"/>
      <c r="G25" s="579" t="e">
        <f aca="true" t="shared" si="4" ref="G25:L25">G26</f>
        <v>#REF!</v>
      </c>
      <c r="H25" s="554">
        <f t="shared" si="4"/>
        <v>0</v>
      </c>
      <c r="I25" s="554">
        <f t="shared" si="4"/>
        <v>0</v>
      </c>
      <c r="J25" s="609">
        <f t="shared" si="4"/>
        <v>0</v>
      </c>
      <c r="K25" s="554">
        <f t="shared" si="4"/>
        <v>0</v>
      </c>
      <c r="L25" s="554">
        <f t="shared" si="4"/>
        <v>0</v>
      </c>
    </row>
    <row r="26" spans="1:12" ht="12.75">
      <c r="A26" s="332">
        <f t="shared" si="2"/>
        <v>20</v>
      </c>
      <c r="B26" s="396"/>
      <c r="C26" s="447" t="s">
        <v>377</v>
      </c>
      <c r="D26" s="370" t="s">
        <v>378</v>
      </c>
      <c r="E26" s="371"/>
      <c r="F26" s="372"/>
      <c r="G26" s="406" t="e">
        <f>SUM(#REF!)</f>
        <v>#REF!</v>
      </c>
      <c r="H26" s="374">
        <f>SUM(H27:H27)</f>
        <v>0</v>
      </c>
      <c r="I26" s="374">
        <f>SUM(I27:I27)</f>
        <v>0</v>
      </c>
      <c r="J26" s="610">
        <f>SUM(J27:J27)</f>
        <v>0</v>
      </c>
      <c r="K26" s="374">
        <f>SUM(K27:K27)</f>
        <v>0</v>
      </c>
      <c r="L26" s="374">
        <f>SUM(L27:L27)</f>
        <v>0</v>
      </c>
    </row>
    <row r="27" spans="1:12" ht="12.75">
      <c r="A27" s="332">
        <f t="shared" si="2"/>
        <v>21</v>
      </c>
      <c r="B27" s="396"/>
      <c r="C27" s="425" t="s">
        <v>329</v>
      </c>
      <c r="D27" s="426" t="s">
        <v>265</v>
      </c>
      <c r="E27" s="383"/>
      <c r="F27" s="604"/>
      <c r="G27" s="415"/>
      <c r="H27" s="386">
        <v>0</v>
      </c>
      <c r="I27" s="386">
        <v>0</v>
      </c>
      <c r="J27" s="498">
        <v>0</v>
      </c>
      <c r="K27" s="386">
        <v>0</v>
      </c>
      <c r="L27" s="386">
        <v>0</v>
      </c>
    </row>
    <row r="28" spans="1:12" ht="12.75">
      <c r="A28" s="332">
        <v>22</v>
      </c>
      <c r="B28" s="347">
        <v>3</v>
      </c>
      <c r="C28" s="449" t="s">
        <v>386</v>
      </c>
      <c r="D28" s="349"/>
      <c r="E28" s="349"/>
      <c r="F28" s="350"/>
      <c r="G28" s="351">
        <f>G31+G62</f>
        <v>481.3</v>
      </c>
      <c r="H28" s="353">
        <f>SUM(H29,H43,H47)</f>
        <v>40680</v>
      </c>
      <c r="I28" s="353">
        <f>SUM(I29,I43,I47)</f>
        <v>30100</v>
      </c>
      <c r="J28" s="490">
        <f>SUM(J29,J43,J47)</f>
        <v>30100</v>
      </c>
      <c r="K28" s="353">
        <f>SUM(K29,K43,K47)</f>
        <v>30700</v>
      </c>
      <c r="L28" s="353">
        <f>SUM(L29,L43,L47)</f>
        <v>30700</v>
      </c>
    </row>
    <row r="29" spans="1:12" ht="12.75">
      <c r="A29" s="332">
        <f aca="true" t="shared" si="5" ref="A29:A36">A28+1</f>
        <v>23</v>
      </c>
      <c r="B29" s="396"/>
      <c r="C29" s="355" t="s">
        <v>219</v>
      </c>
      <c r="D29" s="356" t="s">
        <v>387</v>
      </c>
      <c r="E29" s="357"/>
      <c r="F29" s="358"/>
      <c r="G29" s="359">
        <f>F80</f>
        <v>0</v>
      </c>
      <c r="H29" s="360">
        <f>SUM(H30+H41)</f>
        <v>39532</v>
      </c>
      <c r="I29" s="360">
        <f>SUM(I30+I41)</f>
        <v>28700</v>
      </c>
      <c r="J29" s="611">
        <f>SUM(J30+J41)</f>
        <v>28700</v>
      </c>
      <c r="K29" s="360">
        <f>SUM(K30+K41)</f>
        <v>29300</v>
      </c>
      <c r="L29" s="360">
        <f>SUM(L30+L41)</f>
        <v>29300</v>
      </c>
    </row>
    <row r="30" spans="1:12" ht="12.75">
      <c r="A30" s="332">
        <f t="shared" si="5"/>
        <v>24</v>
      </c>
      <c r="B30" s="362"/>
      <c r="C30" s="363"/>
      <c r="D30" s="337" t="s">
        <v>214</v>
      </c>
      <c r="E30" s="364"/>
      <c r="F30" s="365"/>
      <c r="G30" s="366">
        <f>G31+G62</f>
        <v>481.3</v>
      </c>
      <c r="H30" s="367">
        <f>H31</f>
        <v>39532</v>
      </c>
      <c r="I30" s="367">
        <f>I31</f>
        <v>28700</v>
      </c>
      <c r="J30" s="492">
        <f>J31</f>
        <v>28700</v>
      </c>
      <c r="K30" s="367">
        <f>K31</f>
        <v>29300</v>
      </c>
      <c r="L30" s="367">
        <f>L31</f>
        <v>29300</v>
      </c>
    </row>
    <row r="31" spans="1:12" ht="12.75">
      <c r="A31" s="332">
        <f t="shared" si="5"/>
        <v>25</v>
      </c>
      <c r="B31" s="396"/>
      <c r="C31" s="447" t="s">
        <v>388</v>
      </c>
      <c r="D31" s="370" t="s">
        <v>387</v>
      </c>
      <c r="E31" s="371"/>
      <c r="F31" s="372"/>
      <c r="G31" s="406">
        <f>SUM(G32:G42)</f>
        <v>481.3</v>
      </c>
      <c r="H31" s="374">
        <f>SUM(H32:H40)</f>
        <v>39532</v>
      </c>
      <c r="I31" s="374">
        <f>SUM(I32:I40)</f>
        <v>28700</v>
      </c>
      <c r="J31" s="374">
        <f>SUM(J32:J40)</f>
        <v>28700</v>
      </c>
      <c r="K31" s="374">
        <f>SUM(K32:K40)</f>
        <v>29300</v>
      </c>
      <c r="L31" s="374">
        <f>SUM(L32:L40)</f>
        <v>29300</v>
      </c>
    </row>
    <row r="32" spans="1:12" ht="12.75">
      <c r="A32" s="332">
        <f t="shared" si="5"/>
        <v>26</v>
      </c>
      <c r="B32" s="612"/>
      <c r="C32" s="407" t="s">
        <v>223</v>
      </c>
      <c r="D32" s="421" t="s">
        <v>250</v>
      </c>
      <c r="E32" s="448" t="s">
        <v>389</v>
      </c>
      <c r="F32" s="422"/>
      <c r="G32" s="428">
        <f>ROUND(K32/30.126,1)</f>
        <v>481.3</v>
      </c>
      <c r="H32" s="381">
        <f>výdavky!D271</f>
        <v>17066</v>
      </c>
      <c r="I32" s="381">
        <f>výdavky!E271</f>
        <v>14000</v>
      </c>
      <c r="J32" s="521">
        <f>výdavky!F271</f>
        <v>14000</v>
      </c>
      <c r="K32" s="381">
        <f>výdavky!G271</f>
        <v>14500</v>
      </c>
      <c r="L32" s="381">
        <f>výdavky!H271</f>
        <v>14500</v>
      </c>
    </row>
    <row r="33" spans="1:12" ht="12.75">
      <c r="A33" s="332">
        <f t="shared" si="5"/>
        <v>27</v>
      </c>
      <c r="B33" s="612"/>
      <c r="C33" s="407" t="s">
        <v>225</v>
      </c>
      <c r="D33" s="426" t="s">
        <v>252</v>
      </c>
      <c r="E33" s="383" t="s">
        <v>226</v>
      </c>
      <c r="F33" s="394"/>
      <c r="G33" s="395"/>
      <c r="H33" s="386">
        <f>výdavky!D272</f>
        <v>6280</v>
      </c>
      <c r="I33" s="386">
        <f>výdavky!E272</f>
        <v>4400</v>
      </c>
      <c r="J33" s="498">
        <f>výdavky!F272</f>
        <v>4400</v>
      </c>
      <c r="K33" s="386">
        <f>výdavky!G272</f>
        <v>4500</v>
      </c>
      <c r="L33" s="386">
        <f>výdavky!H272</f>
        <v>4500</v>
      </c>
    </row>
    <row r="34" spans="1:12" ht="12.75">
      <c r="A34" s="332">
        <f t="shared" si="5"/>
        <v>28</v>
      </c>
      <c r="B34" s="612"/>
      <c r="C34" s="407" t="s">
        <v>229</v>
      </c>
      <c r="D34" s="421" t="s">
        <v>263</v>
      </c>
      <c r="E34" s="448" t="s">
        <v>379</v>
      </c>
      <c r="F34" s="422"/>
      <c r="G34" s="428"/>
      <c r="H34" s="381">
        <f>výdavky!D275</f>
        <v>13016</v>
      </c>
      <c r="I34" s="381">
        <f>výdavky!E275</f>
        <v>7000</v>
      </c>
      <c r="J34" s="521">
        <f>výdavky!F275</f>
        <v>7000</v>
      </c>
      <c r="K34" s="381">
        <f>výdavky!G275</f>
        <v>7000</v>
      </c>
      <c r="L34" s="381">
        <f>výdavky!H275</f>
        <v>7000</v>
      </c>
    </row>
    <row r="35" spans="1:12" ht="12.75">
      <c r="A35" s="332">
        <f t="shared" si="5"/>
        <v>29</v>
      </c>
      <c r="B35" s="612"/>
      <c r="C35" s="407" t="s">
        <v>231</v>
      </c>
      <c r="D35" s="426" t="s">
        <v>265</v>
      </c>
      <c r="E35" s="383" t="s">
        <v>390</v>
      </c>
      <c r="F35" s="394"/>
      <c r="G35" s="395"/>
      <c r="H35" s="386">
        <f>výdavky!D276</f>
        <v>865</v>
      </c>
      <c r="I35" s="386">
        <f>výdavky!F276</f>
        <v>800</v>
      </c>
      <c r="J35" s="498">
        <f>výdavky!G276</f>
        <v>800</v>
      </c>
      <c r="K35" s="386">
        <f>výdavky!G276</f>
        <v>800</v>
      </c>
      <c r="L35" s="386">
        <f>výdavky!H276</f>
        <v>800</v>
      </c>
    </row>
    <row r="36" spans="1:12" ht="12.75">
      <c r="A36" s="332">
        <f t="shared" si="5"/>
        <v>30</v>
      </c>
      <c r="B36" s="612"/>
      <c r="C36" s="407" t="s">
        <v>231</v>
      </c>
      <c r="D36" s="421" t="s">
        <v>267</v>
      </c>
      <c r="E36" s="448" t="s">
        <v>391</v>
      </c>
      <c r="F36" s="422"/>
      <c r="G36" s="428"/>
      <c r="H36" s="381">
        <f>výdavky!D278</f>
        <v>0</v>
      </c>
      <c r="I36" s="381">
        <f>výdavky!E278</f>
        <v>500</v>
      </c>
      <c r="J36" s="521">
        <f>výdavky!F278</f>
        <v>500</v>
      </c>
      <c r="K36" s="381">
        <f>výdavky!G278</f>
        <v>500</v>
      </c>
      <c r="L36" s="381">
        <f>výdavky!H278</f>
        <v>500</v>
      </c>
    </row>
    <row r="37" spans="1:12" ht="12.75">
      <c r="A37" s="332">
        <v>30</v>
      </c>
      <c r="B37" s="612"/>
      <c r="C37" s="407" t="s">
        <v>233</v>
      </c>
      <c r="D37" s="426" t="s">
        <v>271</v>
      </c>
      <c r="E37" s="383" t="s">
        <v>234</v>
      </c>
      <c r="F37" s="394"/>
      <c r="G37" s="395"/>
      <c r="H37" s="386">
        <f>výdavky!D280</f>
        <v>336</v>
      </c>
      <c r="I37" s="386">
        <f>výdavky!E280</f>
        <v>700</v>
      </c>
      <c r="J37" s="498">
        <f>výdavky!F280</f>
        <v>700</v>
      </c>
      <c r="K37" s="386">
        <f>výdavky!G280</f>
        <v>700</v>
      </c>
      <c r="L37" s="386">
        <f>výdavky!H280</f>
        <v>700</v>
      </c>
    </row>
    <row r="38" spans="1:12" ht="12.75">
      <c r="A38" s="332">
        <f aca="true" t="shared" si="6" ref="A38:A46">A37+1</f>
        <v>31</v>
      </c>
      <c r="B38" s="612"/>
      <c r="C38" s="407" t="s">
        <v>235</v>
      </c>
      <c r="D38" s="421" t="s">
        <v>274</v>
      </c>
      <c r="E38" s="448" t="s">
        <v>316</v>
      </c>
      <c r="F38" s="422"/>
      <c r="G38" s="428"/>
      <c r="H38" s="381">
        <f>výdavky!D282</f>
        <v>112</v>
      </c>
      <c r="I38" s="381">
        <f>výdavky!E282</f>
        <v>400</v>
      </c>
      <c r="J38" s="521">
        <f>výdavky!F282</f>
        <v>400</v>
      </c>
      <c r="K38" s="381">
        <f>výdavky!G282</f>
        <v>400</v>
      </c>
      <c r="L38" s="381">
        <f>výdavky!H282</f>
        <v>400</v>
      </c>
    </row>
    <row r="39" spans="1:12" ht="12.75">
      <c r="A39" s="332">
        <f t="shared" si="6"/>
        <v>32</v>
      </c>
      <c r="B39" s="612"/>
      <c r="C39" s="407" t="s">
        <v>239</v>
      </c>
      <c r="D39" s="426" t="s">
        <v>304</v>
      </c>
      <c r="E39" s="383" t="s">
        <v>240</v>
      </c>
      <c r="F39" s="394"/>
      <c r="G39" s="395"/>
      <c r="H39" s="386">
        <f>výdavky!D285</f>
        <v>790</v>
      </c>
      <c r="I39" s="386">
        <f>výdavky!E285</f>
        <v>900</v>
      </c>
      <c r="J39" s="498">
        <f>výdavky!F285</f>
        <v>900</v>
      </c>
      <c r="K39" s="386">
        <f>výdavky!G285</f>
        <v>900</v>
      </c>
      <c r="L39" s="386">
        <f>výdavky!H285</f>
        <v>900</v>
      </c>
    </row>
    <row r="40" spans="1:12" ht="12.75">
      <c r="A40" s="332">
        <f t="shared" si="6"/>
        <v>33</v>
      </c>
      <c r="B40" s="612"/>
      <c r="C40" s="407" t="s">
        <v>249</v>
      </c>
      <c r="D40" s="426" t="s">
        <v>306</v>
      </c>
      <c r="E40" s="383" t="s">
        <v>340</v>
      </c>
      <c r="F40" s="394"/>
      <c r="G40" s="395"/>
      <c r="H40" s="386">
        <f>výdavky!D287</f>
        <v>1067</v>
      </c>
      <c r="I40" s="386">
        <f>výdavky!E287</f>
        <v>0</v>
      </c>
      <c r="J40" s="498">
        <f>výdavky!F287</f>
        <v>0</v>
      </c>
      <c r="K40" s="386">
        <f>výdavky!G287</f>
        <v>0</v>
      </c>
      <c r="L40" s="386">
        <f>výdavky!H287</f>
        <v>0</v>
      </c>
    </row>
    <row r="41" spans="1:12" ht="12.75">
      <c r="A41" s="332">
        <f t="shared" si="6"/>
        <v>34</v>
      </c>
      <c r="B41" s="401"/>
      <c r="C41" s="425"/>
      <c r="D41" s="337" t="s">
        <v>216</v>
      </c>
      <c r="E41" s="393"/>
      <c r="F41" s="365"/>
      <c r="G41" s="579">
        <f aca="true" t="shared" si="7" ref="G41:L41">G42</f>
        <v>0</v>
      </c>
      <c r="H41" s="554">
        <f t="shared" si="7"/>
        <v>0</v>
      </c>
      <c r="I41" s="554">
        <f t="shared" si="7"/>
        <v>0</v>
      </c>
      <c r="J41" s="609">
        <f t="shared" si="7"/>
        <v>0</v>
      </c>
      <c r="K41" s="554">
        <f t="shared" si="7"/>
        <v>0</v>
      </c>
      <c r="L41" s="554">
        <f t="shared" si="7"/>
        <v>0</v>
      </c>
    </row>
    <row r="42" spans="1:12" ht="12.75">
      <c r="A42" s="332">
        <f t="shared" si="6"/>
        <v>35</v>
      </c>
      <c r="B42" s="396"/>
      <c r="C42" s="427" t="s">
        <v>329</v>
      </c>
      <c r="D42" s="426" t="s">
        <v>392</v>
      </c>
      <c r="E42" s="522"/>
      <c r="F42" s="394"/>
      <c r="G42" s="395">
        <f>ROUND(K42/30.126,1)</f>
        <v>0</v>
      </c>
      <c r="H42" s="386">
        <v>0</v>
      </c>
      <c r="I42" s="386">
        <v>0</v>
      </c>
      <c r="J42" s="498">
        <v>0</v>
      </c>
      <c r="K42" s="386">
        <v>0</v>
      </c>
      <c r="L42" s="386">
        <v>0</v>
      </c>
    </row>
    <row r="43" spans="1:12" ht="12.75">
      <c r="A43" s="332">
        <f t="shared" si="6"/>
        <v>36</v>
      </c>
      <c r="B43" s="396"/>
      <c r="C43" s="355" t="s">
        <v>243</v>
      </c>
      <c r="D43" s="356" t="s">
        <v>393</v>
      </c>
      <c r="E43" s="357"/>
      <c r="F43" s="358"/>
      <c r="G43" s="359">
        <f>F92</f>
        <v>0</v>
      </c>
      <c r="H43" s="360">
        <f aca="true" t="shared" si="8" ref="H43:L45">H44</f>
        <v>559</v>
      </c>
      <c r="I43" s="360">
        <f t="shared" si="8"/>
        <v>800</v>
      </c>
      <c r="J43" s="611">
        <f t="shared" si="8"/>
        <v>800</v>
      </c>
      <c r="K43" s="360">
        <f t="shared" si="8"/>
        <v>800</v>
      </c>
      <c r="L43" s="360">
        <f t="shared" si="8"/>
        <v>800</v>
      </c>
    </row>
    <row r="44" spans="1:12" ht="12.75">
      <c r="A44" s="332">
        <f t="shared" si="6"/>
        <v>37</v>
      </c>
      <c r="B44" s="362"/>
      <c r="C44" s="363"/>
      <c r="D44" s="337" t="s">
        <v>214</v>
      </c>
      <c r="E44" s="364"/>
      <c r="F44" s="365"/>
      <c r="G44" s="366">
        <f>G45+G68</f>
        <v>2474.6</v>
      </c>
      <c r="H44" s="367">
        <f t="shared" si="8"/>
        <v>559</v>
      </c>
      <c r="I44" s="367">
        <f t="shared" si="8"/>
        <v>800</v>
      </c>
      <c r="J44" s="492">
        <f t="shared" si="8"/>
        <v>800</v>
      </c>
      <c r="K44" s="367">
        <f t="shared" si="8"/>
        <v>800</v>
      </c>
      <c r="L44" s="367">
        <f t="shared" si="8"/>
        <v>800</v>
      </c>
    </row>
    <row r="45" spans="1:12" ht="12.75">
      <c r="A45" s="332">
        <f t="shared" si="6"/>
        <v>38</v>
      </c>
      <c r="B45" s="396"/>
      <c r="C45" s="447" t="s">
        <v>394</v>
      </c>
      <c r="D45" s="370" t="s">
        <v>395</v>
      </c>
      <c r="E45" s="371"/>
      <c r="F45" s="372"/>
      <c r="G45" s="406">
        <f>SUM(G46:G64)</f>
        <v>2441.4</v>
      </c>
      <c r="H45" s="374">
        <f t="shared" si="8"/>
        <v>559</v>
      </c>
      <c r="I45" s="374">
        <f t="shared" si="8"/>
        <v>800</v>
      </c>
      <c r="J45" s="610">
        <f t="shared" si="8"/>
        <v>800</v>
      </c>
      <c r="K45" s="374">
        <f t="shared" si="8"/>
        <v>800</v>
      </c>
      <c r="L45" s="374">
        <f t="shared" si="8"/>
        <v>800</v>
      </c>
    </row>
    <row r="46" spans="1:12" ht="12.75">
      <c r="A46" s="332">
        <f t="shared" si="6"/>
        <v>39</v>
      </c>
      <c r="B46" s="396"/>
      <c r="C46" s="427" t="s">
        <v>261</v>
      </c>
      <c r="D46" s="426" t="s">
        <v>396</v>
      </c>
      <c r="E46" s="522" t="s">
        <v>397</v>
      </c>
      <c r="F46" s="394"/>
      <c r="G46" s="395"/>
      <c r="H46" s="386">
        <f>výdavky!D290</f>
        <v>559</v>
      </c>
      <c r="I46" s="386">
        <f>výdavky!E290</f>
        <v>800</v>
      </c>
      <c r="J46" s="498">
        <f>výdavky!F290</f>
        <v>800</v>
      </c>
      <c r="K46" s="386">
        <f>výdavky!G290</f>
        <v>800</v>
      </c>
      <c r="L46" s="386">
        <f>výdavky!H290</f>
        <v>800</v>
      </c>
    </row>
    <row r="47" spans="1:12" ht="12.75">
      <c r="A47" s="332">
        <v>40</v>
      </c>
      <c r="B47" s="396"/>
      <c r="C47" s="613" t="s">
        <v>398</v>
      </c>
      <c r="D47" s="1282" t="s">
        <v>399</v>
      </c>
      <c r="E47" s="1282"/>
      <c r="F47" s="614"/>
      <c r="G47" s="615"/>
      <c r="H47" s="360">
        <f aca="true" t="shared" si="9" ref="H47:L49">SUM(H48)</f>
        <v>589</v>
      </c>
      <c r="I47" s="360">
        <f t="shared" si="9"/>
        <v>600</v>
      </c>
      <c r="J47" s="611">
        <f t="shared" si="9"/>
        <v>600</v>
      </c>
      <c r="K47" s="360">
        <f t="shared" si="9"/>
        <v>600</v>
      </c>
      <c r="L47" s="360">
        <f t="shared" si="9"/>
        <v>600</v>
      </c>
    </row>
    <row r="48" spans="1:12" ht="12.75">
      <c r="A48" s="332">
        <v>41</v>
      </c>
      <c r="B48" s="396"/>
      <c r="C48" s="425"/>
      <c r="D48" s="1283" t="s">
        <v>214</v>
      </c>
      <c r="E48" s="1283"/>
      <c r="F48" s="552"/>
      <c r="G48" s="553"/>
      <c r="H48" s="616">
        <f t="shared" si="9"/>
        <v>589</v>
      </c>
      <c r="I48" s="616">
        <f t="shared" si="9"/>
        <v>600</v>
      </c>
      <c r="J48" s="617">
        <f t="shared" si="9"/>
        <v>600</v>
      </c>
      <c r="K48" s="616">
        <f t="shared" si="9"/>
        <v>600</v>
      </c>
      <c r="L48" s="616">
        <f t="shared" si="9"/>
        <v>600</v>
      </c>
    </row>
    <row r="49" spans="1:12" s="559" customFormat="1" ht="12.75">
      <c r="A49" s="332">
        <v>42</v>
      </c>
      <c r="B49" s="618"/>
      <c r="C49" s="578" t="s">
        <v>400</v>
      </c>
      <c r="D49" s="1281" t="s">
        <v>401</v>
      </c>
      <c r="E49" s="1281"/>
      <c r="F49" s="405"/>
      <c r="G49" s="406"/>
      <c r="H49" s="374">
        <f t="shared" si="9"/>
        <v>589</v>
      </c>
      <c r="I49" s="374">
        <f t="shared" si="9"/>
        <v>600</v>
      </c>
      <c r="J49" s="610">
        <f t="shared" si="9"/>
        <v>600</v>
      </c>
      <c r="K49" s="374">
        <f t="shared" si="9"/>
        <v>600</v>
      </c>
      <c r="L49" s="374">
        <f t="shared" si="9"/>
        <v>600</v>
      </c>
    </row>
    <row r="50" spans="1:12" ht="12.75">
      <c r="A50" s="332">
        <v>43</v>
      </c>
      <c r="B50" s="396"/>
      <c r="C50" s="425" t="s">
        <v>239</v>
      </c>
      <c r="D50" s="619" t="s">
        <v>402</v>
      </c>
      <c r="E50" s="522" t="s">
        <v>403</v>
      </c>
      <c r="F50" s="394"/>
      <c r="G50" s="395"/>
      <c r="H50" s="386">
        <f>výdavky!D299</f>
        <v>589</v>
      </c>
      <c r="I50" s="386">
        <f>výdavky!E299</f>
        <v>600</v>
      </c>
      <c r="J50" s="498">
        <f>výdavky!F299</f>
        <v>600</v>
      </c>
      <c r="K50" s="386">
        <f>výdavky!G299</f>
        <v>600</v>
      </c>
      <c r="L50" s="386">
        <f>výdavky!H299</f>
        <v>600</v>
      </c>
    </row>
    <row r="51" spans="1:12" ht="12.75">
      <c r="A51" s="332">
        <v>44</v>
      </c>
      <c r="B51" s="347">
        <v>4</v>
      </c>
      <c r="C51" s="449" t="s">
        <v>404</v>
      </c>
      <c r="D51" s="349"/>
      <c r="E51" s="349"/>
      <c r="F51" s="350"/>
      <c r="G51" s="351">
        <f>SUM(G53)</f>
        <v>609.9</v>
      </c>
      <c r="H51" s="353">
        <f>SUM(H52+H57)</f>
        <v>0</v>
      </c>
      <c r="I51" s="353">
        <f>SUM(I52+I57)</f>
        <v>6000</v>
      </c>
      <c r="J51" s="490">
        <f>SUM(J52+J57)</f>
        <v>6000</v>
      </c>
      <c r="K51" s="353">
        <f>SUM(K52+K57)</f>
        <v>6000</v>
      </c>
      <c r="L51" s="353">
        <f>SUM(L52+L57)</f>
        <v>6000</v>
      </c>
    </row>
    <row r="52" spans="1:12" ht="12.75">
      <c r="A52" s="332">
        <f>A51+1</f>
        <v>45</v>
      </c>
      <c r="B52" s="362"/>
      <c r="C52" s="363"/>
      <c r="D52" s="337" t="s">
        <v>214</v>
      </c>
      <c r="E52" s="364"/>
      <c r="F52" s="365"/>
      <c r="G52" s="366">
        <f aca="true" t="shared" si="10" ref="G52:L52">G53</f>
        <v>609.9</v>
      </c>
      <c r="H52" s="367">
        <f t="shared" si="10"/>
        <v>0</v>
      </c>
      <c r="I52" s="367">
        <f t="shared" si="10"/>
        <v>6000</v>
      </c>
      <c r="J52" s="492">
        <f t="shared" si="10"/>
        <v>6000</v>
      </c>
      <c r="K52" s="367">
        <f t="shared" si="10"/>
        <v>6000</v>
      </c>
      <c r="L52" s="367">
        <f t="shared" si="10"/>
        <v>6000</v>
      </c>
    </row>
    <row r="53" spans="1:12" ht="12.75">
      <c r="A53" s="332">
        <f>A52+1</f>
        <v>46</v>
      </c>
      <c r="B53" s="396"/>
      <c r="C53" s="519" t="s">
        <v>388</v>
      </c>
      <c r="D53" s="370" t="s">
        <v>387</v>
      </c>
      <c r="E53" s="371"/>
      <c r="F53" s="372"/>
      <c r="G53" s="406">
        <f aca="true" t="shared" si="11" ref="G53:L53">SUM(G54:G56)</f>
        <v>609.9</v>
      </c>
      <c r="H53" s="374">
        <f t="shared" si="11"/>
        <v>0</v>
      </c>
      <c r="I53" s="374">
        <f t="shared" si="11"/>
        <v>6000</v>
      </c>
      <c r="J53" s="374">
        <f t="shared" si="11"/>
        <v>6000</v>
      </c>
      <c r="K53" s="374">
        <f t="shared" si="11"/>
        <v>6000</v>
      </c>
      <c r="L53" s="374">
        <f t="shared" si="11"/>
        <v>6000</v>
      </c>
    </row>
    <row r="54" spans="1:12" ht="12.75">
      <c r="A54" s="332">
        <f>A53+1</f>
        <v>47</v>
      </c>
      <c r="B54" s="396"/>
      <c r="C54" s="427" t="s">
        <v>405</v>
      </c>
      <c r="D54" s="426" t="s">
        <v>250</v>
      </c>
      <c r="E54" s="387" t="s">
        <v>406</v>
      </c>
      <c r="F54" s="394"/>
      <c r="G54" s="608">
        <f>ROUND(K54/30.126,1)</f>
        <v>132.8</v>
      </c>
      <c r="H54" s="443">
        <f>výdavky!D279</f>
        <v>0</v>
      </c>
      <c r="I54" s="443">
        <f>výdavky!E279</f>
        <v>4000</v>
      </c>
      <c r="J54" s="498">
        <f>výdavky!F279</f>
        <v>4000</v>
      </c>
      <c r="K54" s="443">
        <f>výdavky!G279</f>
        <v>4000</v>
      </c>
      <c r="L54" s="443">
        <f>výdavky!H279</f>
        <v>4000</v>
      </c>
    </row>
    <row r="55" spans="1:12" ht="12.75">
      <c r="A55" s="332">
        <f>A54+1</f>
        <v>48</v>
      </c>
      <c r="B55" s="396"/>
      <c r="C55" s="427" t="s">
        <v>405</v>
      </c>
      <c r="D55" s="426" t="s">
        <v>252</v>
      </c>
      <c r="E55" s="387" t="s">
        <v>407</v>
      </c>
      <c r="F55" s="394"/>
      <c r="G55" s="608">
        <f>ROUND(K55/30.126,1)</f>
        <v>66.4</v>
      </c>
      <c r="H55" s="443">
        <f>výdavky!D286</f>
        <v>0</v>
      </c>
      <c r="I55" s="443">
        <f>výdavky!E286</f>
        <v>2000</v>
      </c>
      <c r="J55" s="498">
        <f>výdavky!F286</f>
        <v>2000</v>
      </c>
      <c r="K55" s="443">
        <f>výdavky!G286</f>
        <v>2000</v>
      </c>
      <c r="L55" s="443">
        <f>výdavky!H286</f>
        <v>2000</v>
      </c>
    </row>
    <row r="56" spans="1:12" ht="12.75">
      <c r="A56" s="332">
        <f>A55+1</f>
        <v>49</v>
      </c>
      <c r="B56" s="396"/>
      <c r="C56" s="425"/>
      <c r="D56" s="426"/>
      <c r="E56" s="387"/>
      <c r="F56" s="394"/>
      <c r="G56" s="608">
        <f>397.4+13.3</f>
        <v>410.7</v>
      </c>
      <c r="H56" s="443">
        <v>0</v>
      </c>
      <c r="I56" s="443">
        <v>0</v>
      </c>
      <c r="J56" s="498">
        <v>0</v>
      </c>
      <c r="K56" s="443">
        <v>0</v>
      </c>
      <c r="L56" s="443">
        <v>0</v>
      </c>
    </row>
    <row r="57" spans="1:12" ht="12.75">
      <c r="A57" s="332">
        <v>48</v>
      </c>
      <c r="B57" s="401"/>
      <c r="C57" s="425"/>
      <c r="D57" s="337" t="s">
        <v>216</v>
      </c>
      <c r="E57" s="393"/>
      <c r="F57" s="365"/>
      <c r="G57" s="579">
        <f aca="true" t="shared" si="12" ref="G57:L57">G58</f>
        <v>0</v>
      </c>
      <c r="H57" s="554">
        <f t="shared" si="12"/>
        <v>0</v>
      </c>
      <c r="I57" s="554">
        <f t="shared" si="12"/>
        <v>0</v>
      </c>
      <c r="J57" s="609">
        <f t="shared" si="12"/>
        <v>0</v>
      </c>
      <c r="K57" s="554">
        <f t="shared" si="12"/>
        <v>0</v>
      </c>
      <c r="L57" s="554">
        <f t="shared" si="12"/>
        <v>0</v>
      </c>
    </row>
    <row r="58" spans="1:12" ht="12.75">
      <c r="A58" s="332">
        <f>A57+1</f>
        <v>49</v>
      </c>
      <c r="B58" s="396"/>
      <c r="C58" s="519" t="s">
        <v>400</v>
      </c>
      <c r="D58" s="370" t="s">
        <v>401</v>
      </c>
      <c r="E58" s="371"/>
      <c r="F58" s="372"/>
      <c r="G58" s="406">
        <f aca="true" t="shared" si="13" ref="G58:L58">SUM(G59:G59)</f>
        <v>0</v>
      </c>
      <c r="H58" s="374">
        <f t="shared" si="13"/>
        <v>0</v>
      </c>
      <c r="I58" s="374">
        <f t="shared" si="13"/>
        <v>0</v>
      </c>
      <c r="J58" s="610">
        <f t="shared" si="13"/>
        <v>0</v>
      </c>
      <c r="K58" s="374">
        <f t="shared" si="13"/>
        <v>0</v>
      </c>
      <c r="L58" s="374">
        <f t="shared" si="13"/>
        <v>0</v>
      </c>
    </row>
    <row r="59" spans="1:12" ht="12.75">
      <c r="A59" s="332">
        <f>A58+1</f>
        <v>50</v>
      </c>
      <c r="B59" s="396"/>
      <c r="C59" s="427" t="s">
        <v>329</v>
      </c>
      <c r="D59" s="426" t="s">
        <v>271</v>
      </c>
      <c r="E59" s="387"/>
      <c r="F59" s="394"/>
      <c r="G59" s="395"/>
      <c r="H59" s="386">
        <v>0</v>
      </c>
      <c r="I59" s="386">
        <v>0</v>
      </c>
      <c r="J59" s="498">
        <v>0</v>
      </c>
      <c r="K59" s="386">
        <v>0</v>
      </c>
      <c r="L59" s="386">
        <v>0</v>
      </c>
    </row>
    <row r="60" spans="1:12" ht="12.75">
      <c r="A60" s="332">
        <v>51</v>
      </c>
      <c r="B60" s="347">
        <v>5</v>
      </c>
      <c r="C60" s="449" t="s">
        <v>408</v>
      </c>
      <c r="D60" s="349"/>
      <c r="E60" s="349"/>
      <c r="F60" s="350"/>
      <c r="G60" s="351">
        <f>SUM(G63)</f>
        <v>0</v>
      </c>
      <c r="H60" s="353">
        <f>H62</f>
        <v>0</v>
      </c>
      <c r="I60" s="353">
        <f>I62</f>
        <v>0</v>
      </c>
      <c r="J60" s="490">
        <f>J62</f>
        <v>0</v>
      </c>
      <c r="K60" s="353">
        <f>K62</f>
        <v>0</v>
      </c>
      <c r="L60" s="353">
        <f>L62</f>
        <v>0</v>
      </c>
    </row>
    <row r="61" spans="1:12" ht="12.75">
      <c r="A61" s="332">
        <f aca="true" t="shared" si="14" ref="A61:A69">A60+1</f>
        <v>52</v>
      </c>
      <c r="B61" s="362"/>
      <c r="C61" s="363"/>
      <c r="D61" s="337" t="s">
        <v>214</v>
      </c>
      <c r="E61" s="364"/>
      <c r="F61" s="365"/>
      <c r="G61" s="366">
        <f aca="true" t="shared" si="15" ref="G61:L61">G62</f>
        <v>0</v>
      </c>
      <c r="H61" s="367">
        <f t="shared" si="15"/>
        <v>0</v>
      </c>
      <c r="I61" s="367">
        <f t="shared" si="15"/>
        <v>0</v>
      </c>
      <c r="J61" s="492">
        <f t="shared" si="15"/>
        <v>0</v>
      </c>
      <c r="K61" s="367">
        <f t="shared" si="15"/>
        <v>0</v>
      </c>
      <c r="L61" s="367">
        <f t="shared" si="15"/>
        <v>0</v>
      </c>
    </row>
    <row r="62" spans="1:12" ht="12" customHeight="1">
      <c r="A62" s="332">
        <f t="shared" si="14"/>
        <v>53</v>
      </c>
      <c r="B62" s="401"/>
      <c r="C62" s="519" t="s">
        <v>409</v>
      </c>
      <c r="D62" s="370" t="s">
        <v>410</v>
      </c>
      <c r="E62" s="371"/>
      <c r="F62" s="372"/>
      <c r="G62" s="406">
        <f>SUM(G63:G63)</f>
        <v>0</v>
      </c>
      <c r="H62" s="374">
        <f>SUM(H63:H64)</f>
        <v>0</v>
      </c>
      <c r="I62" s="374">
        <f>SUM(I63:I64)</f>
        <v>0</v>
      </c>
      <c r="J62" s="374">
        <f>SUM(J63:J64)</f>
        <v>0</v>
      </c>
      <c r="K62" s="374">
        <f>SUM(K63:K64)</f>
        <v>0</v>
      </c>
      <c r="L62" s="374">
        <f>SUM(L63:L64)</f>
        <v>0</v>
      </c>
    </row>
    <row r="63" spans="1:12" ht="12.75">
      <c r="A63" s="332">
        <f t="shared" si="14"/>
        <v>54</v>
      </c>
      <c r="B63" s="401"/>
      <c r="C63" s="427" t="s">
        <v>405</v>
      </c>
      <c r="D63" s="426" t="s">
        <v>250</v>
      </c>
      <c r="E63" s="383" t="s">
        <v>411</v>
      </c>
      <c r="F63" s="414"/>
      <c r="G63" s="395">
        <f>ROUND(K63/30.126,1)</f>
        <v>0</v>
      </c>
      <c r="H63" s="386">
        <v>0</v>
      </c>
      <c r="I63" s="386">
        <v>0</v>
      </c>
      <c r="J63" s="498">
        <v>0</v>
      </c>
      <c r="K63" s="386">
        <v>0</v>
      </c>
      <c r="L63" s="386">
        <v>0</v>
      </c>
    </row>
    <row r="64" spans="1:12" ht="12.75">
      <c r="A64" s="332">
        <f t="shared" si="14"/>
        <v>55</v>
      </c>
      <c r="B64" s="396"/>
      <c r="C64" s="427" t="s">
        <v>405</v>
      </c>
      <c r="D64" s="426" t="s">
        <v>252</v>
      </c>
      <c r="E64" s="383" t="s">
        <v>412</v>
      </c>
      <c r="F64" s="414"/>
      <c r="G64" s="395">
        <v>1.8</v>
      </c>
      <c r="H64" s="386">
        <f>výdavky!D304</f>
        <v>0</v>
      </c>
      <c r="I64" s="386">
        <f>výdavky!E304</f>
        <v>0</v>
      </c>
      <c r="J64" s="498">
        <f>výdavky!F304</f>
        <v>0</v>
      </c>
      <c r="K64" s="386">
        <f>výdavky!G304</f>
        <v>0</v>
      </c>
      <c r="L64" s="386">
        <f>výdavky!H304</f>
        <v>0</v>
      </c>
    </row>
    <row r="65" spans="1:12" s="296" customFormat="1" ht="12.75">
      <c r="A65" s="332">
        <f t="shared" si="14"/>
        <v>56</v>
      </c>
      <c r="B65" s="444">
        <v>6</v>
      </c>
      <c r="C65" s="445" t="s">
        <v>413</v>
      </c>
      <c r="D65" s="349"/>
      <c r="E65" s="349"/>
      <c r="F65" s="350"/>
      <c r="G65" s="351">
        <f>G67+F70</f>
        <v>83</v>
      </c>
      <c r="H65" s="353">
        <f aca="true" t="shared" si="16" ref="H65:L66">H66</f>
        <v>2451</v>
      </c>
      <c r="I65" s="353">
        <f t="shared" si="16"/>
        <v>2500</v>
      </c>
      <c r="J65" s="490">
        <f t="shared" si="16"/>
        <v>2500</v>
      </c>
      <c r="K65" s="353">
        <f t="shared" si="16"/>
        <v>2500</v>
      </c>
      <c r="L65" s="353">
        <f t="shared" si="16"/>
        <v>2500</v>
      </c>
    </row>
    <row r="66" spans="1:12" ht="12.75">
      <c r="A66" s="332">
        <f t="shared" si="14"/>
        <v>57</v>
      </c>
      <c r="B66" s="446"/>
      <c r="C66" s="436"/>
      <c r="D66" s="336" t="s">
        <v>214</v>
      </c>
      <c r="E66" s="364"/>
      <c r="F66" s="365"/>
      <c r="G66" s="366">
        <f>G67+F70</f>
        <v>83</v>
      </c>
      <c r="H66" s="367">
        <f t="shared" si="16"/>
        <v>2451</v>
      </c>
      <c r="I66" s="367">
        <f t="shared" si="16"/>
        <v>2500</v>
      </c>
      <c r="J66" s="492">
        <f t="shared" si="16"/>
        <v>2500</v>
      </c>
      <c r="K66" s="367">
        <f t="shared" si="16"/>
        <v>2500</v>
      </c>
      <c r="L66" s="367">
        <f t="shared" si="16"/>
        <v>2500</v>
      </c>
    </row>
    <row r="67" spans="1:12" ht="12.75">
      <c r="A67" s="332">
        <f t="shared" si="14"/>
        <v>58</v>
      </c>
      <c r="B67" s="368"/>
      <c r="C67" s="519" t="s">
        <v>409</v>
      </c>
      <c r="D67" s="404" t="s">
        <v>410</v>
      </c>
      <c r="E67" s="371"/>
      <c r="F67" s="372"/>
      <c r="G67" s="406">
        <f aca="true" t="shared" si="17" ref="G67:L67">SUM(G68:G69)</f>
        <v>83</v>
      </c>
      <c r="H67" s="374">
        <f t="shared" si="17"/>
        <v>2451</v>
      </c>
      <c r="I67" s="374">
        <f t="shared" si="17"/>
        <v>2500</v>
      </c>
      <c r="J67" s="374">
        <f t="shared" si="17"/>
        <v>2500</v>
      </c>
      <c r="K67" s="374">
        <f t="shared" si="17"/>
        <v>2500</v>
      </c>
      <c r="L67" s="374">
        <f t="shared" si="17"/>
        <v>2500</v>
      </c>
    </row>
    <row r="68" spans="1:12" ht="12.75">
      <c r="A68" s="332">
        <f t="shared" si="14"/>
        <v>59</v>
      </c>
      <c r="B68" s="368"/>
      <c r="C68" s="427" t="s">
        <v>229</v>
      </c>
      <c r="D68" s="426" t="s">
        <v>250</v>
      </c>
      <c r="E68" s="387" t="s">
        <v>379</v>
      </c>
      <c r="F68" s="394"/>
      <c r="G68" s="395">
        <f>ROUND(K68/30.126,1)</f>
        <v>33.2</v>
      </c>
      <c r="H68" s="386">
        <f>výdavky!D302</f>
        <v>1000</v>
      </c>
      <c r="I68" s="386">
        <f>výdavky!E302</f>
        <v>1000</v>
      </c>
      <c r="J68" s="498">
        <f>výdavky!F302</f>
        <v>1000</v>
      </c>
      <c r="K68" s="386">
        <f>výdavky!G302</f>
        <v>1000</v>
      </c>
      <c r="L68" s="386">
        <f>výdavky!H302</f>
        <v>1000</v>
      </c>
    </row>
    <row r="69" spans="1:12" ht="12.75">
      <c r="A69" s="456">
        <f t="shared" si="14"/>
        <v>60</v>
      </c>
      <c r="B69" s="570"/>
      <c r="C69" s="571" t="s">
        <v>235</v>
      </c>
      <c r="D69" s="501" t="s">
        <v>252</v>
      </c>
      <c r="E69" s="572" t="s">
        <v>413</v>
      </c>
      <c r="F69" s="573"/>
      <c r="G69" s="574">
        <f>ROUND(K69/30.126,1)</f>
        <v>49.8</v>
      </c>
      <c r="H69" s="506">
        <f>výdavky!D303</f>
        <v>1451</v>
      </c>
      <c r="I69" s="506">
        <f>výdavky!E303</f>
        <v>1500</v>
      </c>
      <c r="J69" s="505">
        <f>výdavky!F303</f>
        <v>1500</v>
      </c>
      <c r="K69" s="506">
        <f>výdavky!G303</f>
        <v>1500</v>
      </c>
      <c r="L69" s="506">
        <f>výdavky!H303</f>
        <v>1500</v>
      </c>
    </row>
    <row r="70" spans="1:12" ht="12.75">
      <c r="A70" s="1"/>
      <c r="B70"/>
      <c r="D70" s="620"/>
      <c r="L70" s="621"/>
    </row>
    <row r="71" spans="1:12" ht="12.75">
      <c r="A71" s="1"/>
      <c r="B71"/>
      <c r="L71" s="621"/>
    </row>
    <row r="72" spans="1:12" ht="12.75">
      <c r="A72" s="1"/>
      <c r="B72"/>
      <c r="L72" s="621"/>
    </row>
    <row r="73" spans="1:12" ht="12.75">
      <c r="A73" s="1"/>
      <c r="B73"/>
      <c r="L73" s="621"/>
    </row>
    <row r="74" spans="1:12" ht="12.75">
      <c r="A74" s="1"/>
      <c r="B74"/>
      <c r="L74" s="621"/>
    </row>
    <row r="75" spans="1:12" ht="12.75">
      <c r="A75" s="1"/>
      <c r="B75"/>
      <c r="L75" s="621"/>
    </row>
    <row r="76" spans="1:12" ht="12.75">
      <c r="A76" s="1"/>
      <c r="B76"/>
      <c r="L76" s="621"/>
    </row>
    <row r="77" spans="1:12" ht="12.75">
      <c r="A77" s="1"/>
      <c r="B77"/>
      <c r="L77" s="621"/>
    </row>
    <row r="78" spans="1:12" ht="12.75">
      <c r="A78" s="1"/>
      <c r="B78"/>
      <c r="L78" s="621"/>
    </row>
    <row r="79" spans="1:12" ht="12.75">
      <c r="A79" s="1"/>
      <c r="B79"/>
      <c r="L79" s="621"/>
    </row>
    <row r="80" spans="1:12" ht="12.75">
      <c r="A80" s="1"/>
      <c r="B80"/>
      <c r="L80" s="621"/>
    </row>
    <row r="81" spans="1:12" ht="12.75">
      <c r="A81" s="1"/>
      <c r="B81"/>
      <c r="L81" s="621"/>
    </row>
    <row r="82" spans="1:12" ht="12.75">
      <c r="A82" s="1"/>
      <c r="B82"/>
      <c r="L82" s="621"/>
    </row>
    <row r="83" spans="1:12" ht="12.75">
      <c r="A83" s="1"/>
      <c r="B83"/>
      <c r="L83" s="621"/>
    </row>
    <row r="84" spans="1:12" ht="12.75">
      <c r="A84" s="1"/>
      <c r="B84"/>
      <c r="L84" s="621"/>
    </row>
    <row r="85" spans="1:12" ht="12.75">
      <c r="A85" s="1"/>
      <c r="B85"/>
      <c r="L85" s="621"/>
    </row>
    <row r="86" spans="1:12" ht="12.75">
      <c r="A86" s="1"/>
      <c r="B86"/>
      <c r="L86" s="621"/>
    </row>
    <row r="87" spans="1:12" ht="12.75">
      <c r="A87" s="1"/>
      <c r="B87"/>
      <c r="L87" s="621"/>
    </row>
    <row r="88" spans="1:12" ht="12.75">
      <c r="A88" s="1"/>
      <c r="B88"/>
      <c r="L88" s="621"/>
    </row>
    <row r="89" spans="1:12" ht="12.75">
      <c r="A89" s="1"/>
      <c r="B89"/>
      <c r="L89" s="621"/>
    </row>
    <row r="90" spans="1:12" ht="12.75">
      <c r="A90" s="1"/>
      <c r="B90"/>
      <c r="L90" s="621"/>
    </row>
    <row r="91" spans="1:12" ht="12.75">
      <c r="A91" s="1"/>
      <c r="B91"/>
      <c r="L91" s="621"/>
    </row>
    <row r="92" spans="1:12" ht="12.75">
      <c r="A92" s="1"/>
      <c r="B92"/>
      <c r="L92" s="621"/>
    </row>
    <row r="93" spans="1:12" ht="12.75">
      <c r="A93" s="1"/>
      <c r="B93"/>
      <c r="L93" s="621"/>
    </row>
    <row r="94" spans="1:12" ht="12.75">
      <c r="A94" s="1"/>
      <c r="B94"/>
      <c r="L94" s="621"/>
    </row>
    <row r="95" spans="1:12" ht="12.75">
      <c r="A95" s="1"/>
      <c r="B95"/>
      <c r="L95" s="621"/>
    </row>
    <row r="96" spans="1:12" ht="12.75">
      <c r="A96" s="1"/>
      <c r="B96"/>
      <c r="L96" s="621"/>
    </row>
    <row r="97" spans="1:12" ht="12.75">
      <c r="A97" s="1"/>
      <c r="B97"/>
      <c r="L97" s="621"/>
    </row>
    <row r="98" spans="1:12" ht="12.75">
      <c r="A98" s="1"/>
      <c r="B98"/>
      <c r="L98" s="621"/>
    </row>
    <row r="99" spans="1:12" ht="12.75">
      <c r="A99" s="1"/>
      <c r="B99"/>
      <c r="L99" s="621"/>
    </row>
    <row r="100" spans="1:12" ht="12.75">
      <c r="A100" s="1"/>
      <c r="B100"/>
      <c r="L100" s="621"/>
    </row>
    <row r="101" spans="1:12" ht="12.75">
      <c r="A101" s="1"/>
      <c r="B101"/>
      <c r="L101" s="621"/>
    </row>
  </sheetData>
  <mergeCells count="5">
    <mergeCell ref="D49:E49"/>
    <mergeCell ref="G3:L3"/>
    <mergeCell ref="D4:F6"/>
    <mergeCell ref="D47:E47"/>
    <mergeCell ref="D48:E48"/>
  </mergeCells>
  <printOptions/>
  <pageMargins left="0.7874015748031497" right="0.1968503937007874" top="0.1968503937007874" bottom="0.1968503937007874" header="0.5118110236220472" footer="0.5118110236220472"/>
  <pageSetup horizontalDpi="300" verticalDpi="3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55"/>
  <sheetViews>
    <sheetView workbookViewId="0" topLeftCell="A4">
      <selection activeCell="I15" sqref="I15"/>
    </sheetView>
  </sheetViews>
  <sheetFormatPr defaultColWidth="9.140625" defaultRowHeight="12.75"/>
  <cols>
    <col min="1" max="1" width="3.57421875" style="295" customWidth="1"/>
    <col min="2" max="2" width="4.140625" style="1" customWidth="1"/>
    <col min="3" max="3" width="7.57421875" style="0" customWidth="1"/>
    <col min="4" max="4" width="3.421875" style="0" customWidth="1"/>
    <col min="5" max="5" width="31.421875" style="0" customWidth="1"/>
    <col min="7" max="7" width="0" style="0" hidden="1" customWidth="1"/>
    <col min="10" max="10" width="10.140625" style="0" customWidth="1"/>
    <col min="11" max="11" width="8.421875" style="0" customWidth="1"/>
    <col min="12" max="12" width="9.7109375" style="0" customWidth="1"/>
  </cols>
  <sheetData>
    <row r="1" spans="2:13" ht="15.75">
      <c r="B1" s="299" t="s">
        <v>414</v>
      </c>
      <c r="E1" s="299" t="s">
        <v>415</v>
      </c>
      <c r="F1" s="297"/>
      <c r="G1" s="466" t="e">
        <f>G2-G7</f>
        <v>#REF!</v>
      </c>
      <c r="H1" s="466"/>
      <c r="I1" s="466"/>
      <c r="J1" s="465">
        <f>J2-J7</f>
        <v>0</v>
      </c>
      <c r="K1" s="465">
        <f>K2-K7</f>
        <v>0</v>
      </c>
      <c r="L1" s="465">
        <f>L2-L7</f>
        <v>0</v>
      </c>
      <c r="M1" s="622"/>
    </row>
    <row r="2" spans="2:13" ht="15.75">
      <c r="B2" s="299"/>
      <c r="F2" s="297"/>
      <c r="G2" s="466" t="e">
        <f>SUM(G8:G10)</f>
        <v>#REF!</v>
      </c>
      <c r="H2" s="466"/>
      <c r="I2" s="466"/>
      <c r="J2" s="465">
        <f>SUM(J8:J10)</f>
        <v>708334</v>
      </c>
      <c r="K2" s="465">
        <f>SUM(K8:K10)</f>
        <v>715459</v>
      </c>
      <c r="L2" s="465">
        <f>SUM(L8:L10)</f>
        <v>619900</v>
      </c>
      <c r="M2" s="622"/>
    </row>
    <row r="3" spans="1:12" ht="15.75">
      <c r="A3" s="308"/>
      <c r="B3" s="309"/>
      <c r="C3" s="310"/>
      <c r="D3" s="310"/>
      <c r="E3" s="311"/>
      <c r="F3" s="312"/>
      <c r="G3" s="1275" t="s">
        <v>201</v>
      </c>
      <c r="H3" s="1275"/>
      <c r="I3" s="1275"/>
      <c r="J3" s="1275"/>
      <c r="K3" s="1275"/>
      <c r="L3" s="1275"/>
    </row>
    <row r="4" spans="1:12" ht="12" customHeight="1">
      <c r="A4" s="313"/>
      <c r="B4" s="314" t="s">
        <v>202</v>
      </c>
      <c r="C4" s="315" t="s">
        <v>203</v>
      </c>
      <c r="D4" s="1276" t="s">
        <v>204</v>
      </c>
      <c r="E4" s="1276"/>
      <c r="F4" s="1276"/>
      <c r="G4" s="316"/>
      <c r="H4" s="318">
        <v>2011</v>
      </c>
      <c r="I4" s="318">
        <v>2012</v>
      </c>
      <c r="J4" s="317">
        <v>2013</v>
      </c>
      <c r="K4" s="318">
        <v>2014</v>
      </c>
      <c r="L4" s="318">
        <v>2015</v>
      </c>
    </row>
    <row r="5" spans="1:12" ht="12" customHeight="1">
      <c r="A5" s="313"/>
      <c r="B5" s="314" t="s">
        <v>205</v>
      </c>
      <c r="C5" s="315" t="s">
        <v>206</v>
      </c>
      <c r="D5" s="1276"/>
      <c r="E5" s="1276"/>
      <c r="F5" s="1276"/>
      <c r="G5" s="319" t="s">
        <v>207</v>
      </c>
      <c r="H5" s="321" t="s">
        <v>209</v>
      </c>
      <c r="I5" s="321" t="s">
        <v>209</v>
      </c>
      <c r="J5" s="623" t="s">
        <v>208</v>
      </c>
      <c r="K5" s="321" t="s">
        <v>209</v>
      </c>
      <c r="L5" s="321" t="s">
        <v>209</v>
      </c>
    </row>
    <row r="6" spans="1:12" ht="12.75">
      <c r="A6" s="313"/>
      <c r="B6" s="314" t="s">
        <v>210</v>
      </c>
      <c r="C6" s="315" t="s">
        <v>211</v>
      </c>
      <c r="D6" s="1276"/>
      <c r="E6" s="1276"/>
      <c r="F6" s="1276"/>
      <c r="G6" s="322">
        <v>1</v>
      </c>
      <c r="H6" s="324">
        <v>-2</v>
      </c>
      <c r="I6" s="324">
        <v>-1</v>
      </c>
      <c r="J6" s="324">
        <v>1</v>
      </c>
      <c r="K6" s="324">
        <v>2</v>
      </c>
      <c r="L6" s="324">
        <v>3</v>
      </c>
    </row>
    <row r="7" spans="1:12" ht="15">
      <c r="A7" s="624">
        <v>1</v>
      </c>
      <c r="B7" s="625" t="s">
        <v>414</v>
      </c>
      <c r="C7" s="327"/>
      <c r="D7" s="514"/>
      <c r="E7" s="328" t="s">
        <v>415</v>
      </c>
      <c r="F7" s="515"/>
      <c r="G7" s="330" t="e">
        <f>G11+G22+G40+#REF!+#REF!+#REF!+#REF!+#REF!</f>
        <v>#REF!</v>
      </c>
      <c r="H7" s="331">
        <f>SUM(H8:H10)</f>
        <v>644346</v>
      </c>
      <c r="I7" s="626">
        <f>SUM(I8:I10)</f>
        <v>1105525.15</v>
      </c>
      <c r="J7" s="331">
        <f>SUM(J8:J10)</f>
        <v>708334</v>
      </c>
      <c r="K7" s="331">
        <f>SUM(K8:K10)</f>
        <v>715459</v>
      </c>
      <c r="L7" s="331">
        <f>SUM(L8:L10)</f>
        <v>619900</v>
      </c>
    </row>
    <row r="8" spans="1:12" ht="12.75">
      <c r="A8" s="627">
        <f>A7+1</f>
        <v>2</v>
      </c>
      <c r="B8" s="333" t="s">
        <v>213</v>
      </c>
      <c r="C8" s="334" t="s">
        <v>214</v>
      </c>
      <c r="D8" s="335"/>
      <c r="E8" s="336"/>
      <c r="F8" s="337"/>
      <c r="G8" s="481" t="e">
        <f>G12+#REF!+#REF!+#REF!+#REF!+#REF!+#REF!+#REF!</f>
        <v>#REF!</v>
      </c>
      <c r="H8" s="483">
        <f>SUM(H12,H23,H41)</f>
        <v>640746</v>
      </c>
      <c r="I8" s="483">
        <f>SUM(I12,I23,I41)</f>
        <v>669089.15</v>
      </c>
      <c r="J8" s="483">
        <f>SUM(J12,J23,J41)</f>
        <v>708334</v>
      </c>
      <c r="K8" s="483">
        <f>SUM(K12,K23,K41)</f>
        <v>715459</v>
      </c>
      <c r="L8" s="483">
        <f>SUM(L12,L23,L41)</f>
        <v>619900</v>
      </c>
    </row>
    <row r="9" spans="1:12" ht="12.75">
      <c r="A9" s="627">
        <f>A8+1</f>
        <v>3</v>
      </c>
      <c r="B9" s="333" t="s">
        <v>215</v>
      </c>
      <c r="C9" s="334" t="s">
        <v>216</v>
      </c>
      <c r="D9" s="335"/>
      <c r="E9" s="336"/>
      <c r="F9" s="337"/>
      <c r="G9" s="481" t="e">
        <f>G19+#REF!+#REF!+#REF!+#REF!</f>
        <v>#REF!</v>
      </c>
      <c r="H9" s="483">
        <f>SUM(H19+H36)</f>
        <v>3600</v>
      </c>
      <c r="I9" s="483">
        <f>SUM(I19+I36)</f>
        <v>436436</v>
      </c>
      <c r="J9" s="483">
        <f>SUM(J19+J36)</f>
        <v>0</v>
      </c>
      <c r="K9" s="483">
        <f>SUM(K19+K36)</f>
        <v>0</v>
      </c>
      <c r="L9" s="483">
        <f>SUM(L19+L36)</f>
        <v>0</v>
      </c>
    </row>
    <row r="10" spans="1:12" ht="12.75">
      <c r="A10" s="627">
        <f>A9+1</f>
        <v>4</v>
      </c>
      <c r="B10" s="340"/>
      <c r="C10" s="341" t="s">
        <v>217</v>
      </c>
      <c r="D10" s="342"/>
      <c r="E10" s="343"/>
      <c r="F10" s="344"/>
      <c r="G10" s="486">
        <v>0</v>
      </c>
      <c r="H10" s="483">
        <v>0</v>
      </c>
      <c r="I10" s="483">
        <v>0</v>
      </c>
      <c r="J10" s="487">
        <v>0</v>
      </c>
      <c r="K10" s="483">
        <v>0</v>
      </c>
      <c r="L10" s="483">
        <v>0</v>
      </c>
    </row>
    <row r="11" spans="1:12" ht="12.75">
      <c r="A11" s="627">
        <v>5</v>
      </c>
      <c r="B11" s="628">
        <v>1</v>
      </c>
      <c r="C11" s="449" t="s">
        <v>196</v>
      </c>
      <c r="D11" s="349"/>
      <c r="E11" s="349"/>
      <c r="F11" s="350"/>
      <c r="G11" s="351" t="e">
        <f>G13+G20</f>
        <v>#REF!</v>
      </c>
      <c r="H11" s="352">
        <f>SUM(H12+H19)</f>
        <v>109261</v>
      </c>
      <c r="I11" s="352">
        <f>SUM(I12+I19)</f>
        <v>108970</v>
      </c>
      <c r="J11" s="353">
        <f>SUM(J12+J19)</f>
        <v>105600</v>
      </c>
      <c r="K11" s="352">
        <f>SUM(K12+K19)</f>
        <v>110600</v>
      </c>
      <c r="L11" s="352">
        <f>SUM(L12+L19)</f>
        <v>110600</v>
      </c>
    </row>
    <row r="12" spans="1:12" ht="12.75">
      <c r="A12" s="627">
        <f aca="true" t="shared" si="0" ref="A12:A18">A11+1</f>
        <v>6</v>
      </c>
      <c r="B12" s="629"/>
      <c r="C12" s="363"/>
      <c r="D12" s="337" t="s">
        <v>214</v>
      </c>
      <c r="E12" s="364"/>
      <c r="F12" s="365"/>
      <c r="G12" s="366">
        <f aca="true" t="shared" si="1" ref="G12:L12">G13</f>
        <v>3651.2999999999997</v>
      </c>
      <c r="H12" s="367">
        <f t="shared" si="1"/>
        <v>105661</v>
      </c>
      <c r="I12" s="367">
        <f t="shared" si="1"/>
        <v>108970</v>
      </c>
      <c r="J12" s="367">
        <f t="shared" si="1"/>
        <v>105600</v>
      </c>
      <c r="K12" s="367">
        <f t="shared" si="1"/>
        <v>110600</v>
      </c>
      <c r="L12" s="367">
        <f t="shared" si="1"/>
        <v>110600</v>
      </c>
    </row>
    <row r="13" spans="1:12" ht="12.75">
      <c r="A13" s="627">
        <f t="shared" si="0"/>
        <v>7</v>
      </c>
      <c r="B13" s="377"/>
      <c r="C13" s="451" t="s">
        <v>416</v>
      </c>
      <c r="D13" s="370" t="s">
        <v>417</v>
      </c>
      <c r="E13" s="371"/>
      <c r="F13" s="372"/>
      <c r="G13" s="419">
        <f aca="true" t="shared" si="2" ref="G13:L13">SUM(G14:G18)</f>
        <v>3651.2999999999997</v>
      </c>
      <c r="H13" s="420">
        <f t="shared" si="2"/>
        <v>105661</v>
      </c>
      <c r="I13" s="420">
        <f t="shared" si="2"/>
        <v>108970</v>
      </c>
      <c r="J13" s="420">
        <f t="shared" si="2"/>
        <v>105600</v>
      </c>
      <c r="K13" s="420">
        <f t="shared" si="2"/>
        <v>110600</v>
      </c>
      <c r="L13" s="420">
        <f t="shared" si="2"/>
        <v>110600</v>
      </c>
    </row>
    <row r="14" spans="1:12" ht="12.75">
      <c r="A14" s="627">
        <f t="shared" si="0"/>
        <v>8</v>
      </c>
      <c r="B14" s="377"/>
      <c r="C14" s="407" t="s">
        <v>418</v>
      </c>
      <c r="D14" s="426" t="s">
        <v>250</v>
      </c>
      <c r="E14" s="387" t="s">
        <v>419</v>
      </c>
      <c r="F14" s="394"/>
      <c r="G14" s="395">
        <f>ROUND(K14/30.126,1)</f>
        <v>2157.6</v>
      </c>
      <c r="H14" s="386">
        <f>výdavky!D312</f>
        <v>64944</v>
      </c>
      <c r="I14" s="386">
        <f>výdavky!E312</f>
        <v>60000</v>
      </c>
      <c r="J14" s="498">
        <f>výdavky!F312</f>
        <v>62000</v>
      </c>
      <c r="K14" s="386">
        <f>výdavky!G312</f>
        <v>65000</v>
      </c>
      <c r="L14" s="386">
        <f>výdavky!H312</f>
        <v>65000</v>
      </c>
    </row>
    <row r="15" spans="1:12" ht="12.75">
      <c r="A15" s="627">
        <f t="shared" si="0"/>
        <v>9</v>
      </c>
      <c r="B15" s="377"/>
      <c r="C15" s="407" t="s">
        <v>420</v>
      </c>
      <c r="D15" s="426" t="s">
        <v>252</v>
      </c>
      <c r="E15" s="387" t="s">
        <v>397</v>
      </c>
      <c r="F15" s="394"/>
      <c r="G15" s="395">
        <f>ROUND(K15/30.126,1)</f>
        <v>1128.6</v>
      </c>
      <c r="H15" s="386">
        <f>výdavky!D313</f>
        <v>37471</v>
      </c>
      <c r="I15" s="386">
        <f>výdavky!E313</f>
        <v>36370</v>
      </c>
      <c r="J15" s="498">
        <f>výdavky!F313</f>
        <v>32000</v>
      </c>
      <c r="K15" s="386">
        <f>výdavky!G313</f>
        <v>34000</v>
      </c>
      <c r="L15" s="386">
        <f>výdavky!H313</f>
        <v>34000</v>
      </c>
    </row>
    <row r="16" spans="1:12" ht="12.75">
      <c r="A16" s="627">
        <f t="shared" si="0"/>
        <v>10</v>
      </c>
      <c r="B16" s="377"/>
      <c r="C16" s="407" t="s">
        <v>231</v>
      </c>
      <c r="D16" s="426" t="s">
        <v>263</v>
      </c>
      <c r="E16" s="387" t="s">
        <v>421</v>
      </c>
      <c r="F16" s="394"/>
      <c r="G16" s="395">
        <f>ROUND(K16/30.126,1)</f>
        <v>365.1</v>
      </c>
      <c r="H16" s="386">
        <f>výdavky!D317</f>
        <v>0</v>
      </c>
      <c r="I16" s="386">
        <f>výdavky!E317</f>
        <v>12000</v>
      </c>
      <c r="J16" s="498">
        <f>výdavky!F317</f>
        <v>11000</v>
      </c>
      <c r="K16" s="386">
        <f>výdavky!G317</f>
        <v>11000</v>
      </c>
      <c r="L16" s="386">
        <f>výdavky!H317</f>
        <v>11000</v>
      </c>
    </row>
    <row r="17" spans="1:12" ht="12.75">
      <c r="A17" s="627">
        <f t="shared" si="0"/>
        <v>11</v>
      </c>
      <c r="B17" s="377"/>
      <c r="C17" s="407" t="s">
        <v>405</v>
      </c>
      <c r="D17" s="426" t="s">
        <v>265</v>
      </c>
      <c r="E17" s="630" t="s">
        <v>422</v>
      </c>
      <c r="F17" s="631"/>
      <c r="G17" s="632"/>
      <c r="H17" s="633">
        <f>výdavky!D314</f>
        <v>166</v>
      </c>
      <c r="I17" s="633">
        <f>výdavky!E314</f>
        <v>400</v>
      </c>
      <c r="J17" s="634">
        <f>výdavky!F314</f>
        <v>400</v>
      </c>
      <c r="K17" s="633">
        <f>výdavky!G314</f>
        <v>400</v>
      </c>
      <c r="L17" s="633">
        <f>výdavky!H314</f>
        <v>400</v>
      </c>
    </row>
    <row r="18" spans="1:12" ht="12.75">
      <c r="A18" s="627">
        <f t="shared" si="0"/>
        <v>12</v>
      </c>
      <c r="B18" s="377"/>
      <c r="C18" s="407" t="s">
        <v>405</v>
      </c>
      <c r="D18" s="426" t="s">
        <v>267</v>
      </c>
      <c r="E18" s="630" t="s">
        <v>423</v>
      </c>
      <c r="F18" s="631"/>
      <c r="G18" s="632"/>
      <c r="H18" s="633">
        <f>výdavky!D315</f>
        <v>3080</v>
      </c>
      <c r="I18" s="633">
        <f>výdavky!E315</f>
        <v>200</v>
      </c>
      <c r="J18" s="634">
        <f>výdavky!F315</f>
        <v>200</v>
      </c>
      <c r="K18" s="633">
        <f>výdavky!G315</f>
        <v>200</v>
      </c>
      <c r="L18" s="633">
        <f>výdavky!H315</f>
        <v>200</v>
      </c>
    </row>
    <row r="19" spans="1:12" ht="12.75">
      <c r="A19" s="627">
        <v>13</v>
      </c>
      <c r="B19" s="377"/>
      <c r="C19" s="425"/>
      <c r="D19" s="337" t="s">
        <v>216</v>
      </c>
      <c r="E19" s="393"/>
      <c r="F19" s="365"/>
      <c r="G19" s="366" t="e">
        <f aca="true" t="shared" si="3" ref="G19:L19">G20</f>
        <v>#REF!</v>
      </c>
      <c r="H19" s="367">
        <f t="shared" si="3"/>
        <v>3600</v>
      </c>
      <c r="I19" s="367">
        <f t="shared" si="3"/>
        <v>0</v>
      </c>
      <c r="J19" s="367">
        <f t="shared" si="3"/>
        <v>0</v>
      </c>
      <c r="K19" s="367">
        <f t="shared" si="3"/>
        <v>0</v>
      </c>
      <c r="L19" s="367">
        <f t="shared" si="3"/>
        <v>0</v>
      </c>
    </row>
    <row r="20" spans="1:12" s="402" customFormat="1" ht="12.75">
      <c r="A20" s="627">
        <f>A19+1</f>
        <v>14</v>
      </c>
      <c r="B20" s="377"/>
      <c r="C20" s="451" t="s">
        <v>416</v>
      </c>
      <c r="D20" s="370" t="s">
        <v>417</v>
      </c>
      <c r="E20" s="371"/>
      <c r="F20" s="372"/>
      <c r="G20" s="419" t="e">
        <f>SUM(#REF!)</f>
        <v>#REF!</v>
      </c>
      <c r="H20" s="420">
        <f>SUM(H21:H21)</f>
        <v>3600</v>
      </c>
      <c r="I20" s="420">
        <f>SUM(I21:I21)</f>
        <v>0</v>
      </c>
      <c r="J20" s="420">
        <f>SUM(J21:J21)</f>
        <v>0</v>
      </c>
      <c r="K20" s="420">
        <f>SUM(K21:K21)</f>
        <v>0</v>
      </c>
      <c r="L20" s="420">
        <f>SUM(L21:L21)</f>
        <v>0</v>
      </c>
    </row>
    <row r="21" spans="1:12" s="402" customFormat="1" ht="12.75">
      <c r="A21" s="627">
        <f>A20+1</f>
        <v>15</v>
      </c>
      <c r="B21" s="408"/>
      <c r="C21" s="635" t="s">
        <v>329</v>
      </c>
      <c r="D21" s="426" t="s">
        <v>271</v>
      </c>
      <c r="E21" s="413" t="s">
        <v>424</v>
      </c>
      <c r="F21" s="604"/>
      <c r="G21" s="605"/>
      <c r="H21" s="418">
        <f>výdavky!D415</f>
        <v>3600</v>
      </c>
      <c r="I21" s="418">
        <v>0</v>
      </c>
      <c r="J21" s="606">
        <f>výdavky!F415</f>
        <v>0</v>
      </c>
      <c r="K21" s="418">
        <f>výdavky!G415</f>
        <v>0</v>
      </c>
      <c r="L21" s="418">
        <f>výdavky!H415</f>
        <v>0</v>
      </c>
    </row>
    <row r="22" spans="1:12" ht="12.75">
      <c r="A22" s="627">
        <v>16</v>
      </c>
      <c r="B22" s="628">
        <v>2</v>
      </c>
      <c r="C22" s="449" t="s">
        <v>194</v>
      </c>
      <c r="D22" s="349"/>
      <c r="E22" s="349"/>
      <c r="F22" s="350"/>
      <c r="G22" s="351" t="e">
        <f>#REF!+#REF!+#REF!+#REF!+#REF!+#REF!+#REF!+#REF!</f>
        <v>#REF!</v>
      </c>
      <c r="H22" s="353">
        <f>H23+H36</f>
        <v>475072</v>
      </c>
      <c r="I22" s="353">
        <f>I23+I36</f>
        <v>934555.15</v>
      </c>
      <c r="J22" s="353">
        <f>J23+J36</f>
        <v>540734</v>
      </c>
      <c r="K22" s="353">
        <f>K23+K36</f>
        <v>542859</v>
      </c>
      <c r="L22" s="353">
        <f>L23+L36</f>
        <v>447300</v>
      </c>
    </row>
    <row r="23" spans="1:12" ht="12.75">
      <c r="A23" s="627">
        <f>A22+1</f>
        <v>17</v>
      </c>
      <c r="B23" s="636"/>
      <c r="C23" s="637"/>
      <c r="D23" s="336" t="s">
        <v>214</v>
      </c>
      <c r="E23" s="364"/>
      <c r="F23" s="365"/>
      <c r="G23" s="366">
        <f>G34</f>
        <v>0</v>
      </c>
      <c r="H23" s="367">
        <f>SUM(H24)</f>
        <v>475072</v>
      </c>
      <c r="I23" s="367">
        <f>SUM(I24)</f>
        <v>498119.15</v>
      </c>
      <c r="J23" s="545">
        <f>SUM(J24)</f>
        <v>540734</v>
      </c>
      <c r="K23" s="367">
        <f>SUM(K24)</f>
        <v>542859</v>
      </c>
      <c r="L23" s="367">
        <f>SUM(L24)</f>
        <v>447300</v>
      </c>
    </row>
    <row r="24" spans="1:12" ht="12.75">
      <c r="A24" s="627"/>
      <c r="B24" s="636"/>
      <c r="C24" s="451" t="s">
        <v>425</v>
      </c>
      <c r="D24" s="370" t="s">
        <v>426</v>
      </c>
      <c r="E24" s="371"/>
      <c r="F24" s="372"/>
      <c r="G24" s="419">
        <f>G25</f>
        <v>0</v>
      </c>
      <c r="H24" s="420">
        <f>SUM(H25,H26,H27,H28,H29,H30,H31,H32,H33,H34,H35)</f>
        <v>475072</v>
      </c>
      <c r="I24" s="420">
        <f>SUM(I25,I26,I27,I28,I29,I30,I31,I32,I33,I34,I35)</f>
        <v>498119.15</v>
      </c>
      <c r="J24" s="420">
        <f>SUM(J25,J26,J27,J28,J29,J30,J31,J32,J33,J34,J35)</f>
        <v>540734</v>
      </c>
      <c r="K24" s="420">
        <f>SUM(K25,K26,K27,K28,K29,K30,K31,K32,K33,K34,K35)</f>
        <v>542859</v>
      </c>
      <c r="L24" s="420">
        <f>SUM(L25,L26,L27,L28,L29,L30,L31,L32,L33,L34,L35)</f>
        <v>447300</v>
      </c>
    </row>
    <row r="25" spans="1:12" ht="12.75">
      <c r="A25" s="627">
        <f>A23+1</f>
        <v>18</v>
      </c>
      <c r="B25" s="636"/>
      <c r="C25" s="425" t="s">
        <v>418</v>
      </c>
      <c r="D25" s="531">
        <v>1</v>
      </c>
      <c r="E25" s="638" t="s">
        <v>419</v>
      </c>
      <c r="F25" s="639"/>
      <c r="G25" s="640"/>
      <c r="H25" s="641">
        <f>výdavky!D321</f>
        <v>372462</v>
      </c>
      <c r="I25" s="641">
        <f>výdavky!E321</f>
        <v>355559</v>
      </c>
      <c r="J25" s="641">
        <f>výdavky!F321</f>
        <v>355559</v>
      </c>
      <c r="K25" s="641">
        <f>výdavky!G321</f>
        <v>355559</v>
      </c>
      <c r="L25" s="641">
        <f>výdavky!H321</f>
        <v>360000</v>
      </c>
    </row>
    <row r="26" spans="1:12" ht="12.75">
      <c r="A26" s="627"/>
      <c r="B26" s="636"/>
      <c r="C26" s="425" t="s">
        <v>420</v>
      </c>
      <c r="D26" s="531">
        <v>2</v>
      </c>
      <c r="E26" s="638" t="s">
        <v>397</v>
      </c>
      <c r="F26" s="642"/>
      <c r="G26" s="643"/>
      <c r="H26" s="641">
        <f>výdavky!D322</f>
        <v>64255</v>
      </c>
      <c r="I26" s="641">
        <f>výdavky!E322</f>
        <v>48000</v>
      </c>
      <c r="J26" s="641">
        <f>výdavky!F322</f>
        <v>40000</v>
      </c>
      <c r="K26" s="641">
        <f>výdavky!G322</f>
        <v>40000</v>
      </c>
      <c r="L26" s="641">
        <f>výdavky!H322</f>
        <v>40000</v>
      </c>
    </row>
    <row r="27" spans="1:12" ht="12.75">
      <c r="A27" s="627"/>
      <c r="B27" s="636"/>
      <c r="C27" s="425" t="s">
        <v>261</v>
      </c>
      <c r="D27" s="531">
        <v>3</v>
      </c>
      <c r="E27" s="522" t="s">
        <v>427</v>
      </c>
      <c r="F27" s="644"/>
      <c r="G27" s="645"/>
      <c r="H27" s="646">
        <f>výdavky!D323</f>
        <v>0</v>
      </c>
      <c r="I27" s="646">
        <f>výdavky!E323</f>
        <v>17200</v>
      </c>
      <c r="J27" s="646">
        <f>výdavky!F323</f>
        <v>0</v>
      </c>
      <c r="K27" s="646">
        <f>výdavky!G323</f>
        <v>0</v>
      </c>
      <c r="L27" s="646">
        <f>výdavky!H323</f>
        <v>0</v>
      </c>
    </row>
    <row r="28" spans="1:12" ht="12.75">
      <c r="A28" s="627"/>
      <c r="B28" s="636"/>
      <c r="C28" s="425" t="s">
        <v>405</v>
      </c>
      <c r="D28" s="531">
        <v>4</v>
      </c>
      <c r="E28" s="522" t="s">
        <v>428</v>
      </c>
      <c r="F28" s="644"/>
      <c r="G28" s="645"/>
      <c r="H28" s="646">
        <f>výdavky!D324</f>
        <v>17980</v>
      </c>
      <c r="I28" s="646">
        <f>výdavky!E324</f>
        <v>24000</v>
      </c>
      <c r="J28" s="646">
        <f>výdavky!F324</f>
        <v>24000</v>
      </c>
      <c r="K28" s="646">
        <f>výdavky!G324</f>
        <v>26000</v>
      </c>
      <c r="L28" s="646">
        <f>výdavky!H324</f>
        <v>26000</v>
      </c>
    </row>
    <row r="29" spans="1:12" ht="12.75">
      <c r="A29" s="627"/>
      <c r="B29" s="636"/>
      <c r="C29" s="425" t="s">
        <v>405</v>
      </c>
      <c r="D29" s="531">
        <v>5</v>
      </c>
      <c r="E29" s="638" t="s">
        <v>429</v>
      </c>
      <c r="F29" s="642"/>
      <c r="G29" s="643"/>
      <c r="H29" s="641">
        <f>výdavky!D325</f>
        <v>0</v>
      </c>
      <c r="I29" s="641">
        <f>výdavky!E325</f>
        <v>21573.52</v>
      </c>
      <c r="J29" s="641">
        <f>výdavky!F325</f>
        <v>0</v>
      </c>
      <c r="K29" s="641">
        <f>výdavky!G325</f>
        <v>0</v>
      </c>
      <c r="L29" s="641">
        <f>výdavky!H325</f>
        <v>0</v>
      </c>
    </row>
    <row r="30" spans="1:12" ht="12.75">
      <c r="A30" s="627"/>
      <c r="B30" s="636"/>
      <c r="C30" s="425" t="s">
        <v>405</v>
      </c>
      <c r="D30" s="531">
        <v>6</v>
      </c>
      <c r="E30" s="638" t="s">
        <v>430</v>
      </c>
      <c r="F30" s="642"/>
      <c r="G30" s="643"/>
      <c r="H30" s="641">
        <f>výdavky!D327</f>
        <v>3740</v>
      </c>
      <c r="I30" s="641">
        <f>výdavky!E327</f>
        <v>3394</v>
      </c>
      <c r="J30" s="641">
        <f>výdavky!F327</f>
        <v>3500</v>
      </c>
      <c r="K30" s="641">
        <f>výdavky!G327</f>
        <v>3500</v>
      </c>
      <c r="L30" s="641">
        <f>výdavky!H327</f>
        <v>3500</v>
      </c>
    </row>
    <row r="31" spans="1:12" ht="12.75">
      <c r="A31" s="627"/>
      <c r="B31" s="636"/>
      <c r="C31" s="425" t="s">
        <v>405</v>
      </c>
      <c r="D31" s="531">
        <v>7</v>
      </c>
      <c r="E31" s="638" t="s">
        <v>431</v>
      </c>
      <c r="F31" s="642"/>
      <c r="G31" s="643"/>
      <c r="H31" s="641">
        <f>výdavky!D328</f>
        <v>6120</v>
      </c>
      <c r="I31" s="641">
        <f>výdavky!E328</f>
        <v>8033</v>
      </c>
      <c r="J31" s="641">
        <f>výdavky!F328</f>
        <v>7000</v>
      </c>
      <c r="K31" s="641">
        <f>výdavky!G328</f>
        <v>7000</v>
      </c>
      <c r="L31" s="641">
        <f>výdavky!H328</f>
        <v>7000</v>
      </c>
    </row>
    <row r="32" spans="1:12" ht="12.75">
      <c r="A32" s="627"/>
      <c r="B32" s="636"/>
      <c r="C32" s="425" t="s">
        <v>405</v>
      </c>
      <c r="D32" s="531">
        <v>8</v>
      </c>
      <c r="E32" s="638" t="s">
        <v>432</v>
      </c>
      <c r="F32" s="642"/>
      <c r="G32" s="643"/>
      <c r="H32" s="641">
        <f>výdavky!D329</f>
        <v>2822</v>
      </c>
      <c r="I32" s="641">
        <f>výdavky!E329</f>
        <v>2800</v>
      </c>
      <c r="J32" s="641">
        <f>výdavky!F329</f>
        <v>2800</v>
      </c>
      <c r="K32" s="641">
        <f>výdavky!G329</f>
        <v>2800</v>
      </c>
      <c r="L32" s="641">
        <f>výdavky!H329</f>
        <v>2800</v>
      </c>
    </row>
    <row r="33" spans="1:12" ht="12.75">
      <c r="A33" s="627"/>
      <c r="B33" s="636"/>
      <c r="C33" s="407" t="s">
        <v>405</v>
      </c>
      <c r="D33" s="426" t="s">
        <v>306</v>
      </c>
      <c r="E33" s="638" t="s">
        <v>433</v>
      </c>
      <c r="F33" s="631"/>
      <c r="G33" s="632"/>
      <c r="H33" s="641">
        <f>výdavky!D330</f>
        <v>7693</v>
      </c>
      <c r="I33" s="641">
        <f>výdavky!E330</f>
        <v>7813</v>
      </c>
      <c r="J33" s="641">
        <f>výdavky!F330</f>
        <v>8000</v>
      </c>
      <c r="K33" s="641">
        <f>výdavky!G330</f>
        <v>8000</v>
      </c>
      <c r="L33" s="641">
        <f>výdavky!H330</f>
        <v>8000</v>
      </c>
    </row>
    <row r="34" spans="1:12" ht="12.75">
      <c r="A34" s="627">
        <f>A25+1</f>
        <v>19</v>
      </c>
      <c r="B34" s="636"/>
      <c r="C34" s="407" t="s">
        <v>405</v>
      </c>
      <c r="D34" s="426" t="s">
        <v>392</v>
      </c>
      <c r="E34" s="638" t="s">
        <v>434</v>
      </c>
      <c r="F34" s="631"/>
      <c r="G34" s="632"/>
      <c r="H34" s="641">
        <f>výdavky!D331</f>
        <v>0</v>
      </c>
      <c r="I34" s="641">
        <f>výdavky!E331</f>
        <v>5756.26</v>
      </c>
      <c r="J34" s="641">
        <f>výdavky!F331</f>
        <v>89875</v>
      </c>
      <c r="K34" s="641">
        <f>výdavky!G331</f>
        <v>90000</v>
      </c>
      <c r="L34" s="641">
        <f>výdavky!H331</f>
        <v>0</v>
      </c>
    </row>
    <row r="35" spans="1:12" ht="12.75">
      <c r="A35" s="627"/>
      <c r="B35" s="636"/>
      <c r="C35" s="425" t="s">
        <v>405</v>
      </c>
      <c r="D35" s="426" t="s">
        <v>396</v>
      </c>
      <c r="E35" s="630" t="s">
        <v>435</v>
      </c>
      <c r="F35" s="647"/>
      <c r="G35" s="648"/>
      <c r="H35" s="649">
        <f>výdavky!D332</f>
        <v>0</v>
      </c>
      <c r="I35" s="649">
        <f>výdavky!E332</f>
        <v>3990.37</v>
      </c>
      <c r="J35" s="649">
        <f>výdavky!F332</f>
        <v>10000</v>
      </c>
      <c r="K35" s="649">
        <f>výdavky!G332</f>
        <v>10000</v>
      </c>
      <c r="L35" s="649">
        <f>výdavky!H332</f>
        <v>0</v>
      </c>
    </row>
    <row r="36" spans="1:12" ht="12.75">
      <c r="A36" s="627">
        <f>A34+1</f>
        <v>20</v>
      </c>
      <c r="B36" s="377"/>
      <c r="C36" s="425"/>
      <c r="D36" s="336" t="s">
        <v>216</v>
      </c>
      <c r="E36" s="393"/>
      <c r="F36" s="365"/>
      <c r="G36" s="366">
        <f aca="true" t="shared" si="4" ref="G36:L37">G37</f>
        <v>0</v>
      </c>
      <c r="H36" s="367">
        <f t="shared" si="4"/>
        <v>0</v>
      </c>
      <c r="I36" s="367">
        <f t="shared" si="4"/>
        <v>436436</v>
      </c>
      <c r="J36" s="367">
        <f t="shared" si="4"/>
        <v>0</v>
      </c>
      <c r="K36" s="367">
        <f t="shared" si="4"/>
        <v>0</v>
      </c>
      <c r="L36" s="367">
        <f t="shared" si="4"/>
        <v>0</v>
      </c>
    </row>
    <row r="37" spans="1:12" ht="12.75">
      <c r="A37" s="627">
        <f aca="true" t="shared" si="5" ref="A37:A50">A36+1</f>
        <v>21</v>
      </c>
      <c r="B37" s="377"/>
      <c r="C37" s="451" t="s">
        <v>425</v>
      </c>
      <c r="D37" s="370" t="s">
        <v>426</v>
      </c>
      <c r="E37" s="371"/>
      <c r="F37" s="372"/>
      <c r="G37" s="419">
        <f t="shared" si="4"/>
        <v>0</v>
      </c>
      <c r="H37" s="420">
        <f t="shared" si="4"/>
        <v>0</v>
      </c>
      <c r="I37" s="420">
        <f t="shared" si="4"/>
        <v>436436</v>
      </c>
      <c r="J37" s="420">
        <f t="shared" si="4"/>
        <v>0</v>
      </c>
      <c r="K37" s="420">
        <f t="shared" si="4"/>
        <v>0</v>
      </c>
      <c r="L37" s="420">
        <f t="shared" si="4"/>
        <v>0</v>
      </c>
    </row>
    <row r="38" spans="1:12" ht="12.75">
      <c r="A38" s="627">
        <f t="shared" si="5"/>
        <v>22</v>
      </c>
      <c r="B38" s="408"/>
      <c r="C38" s="407" t="s">
        <v>329</v>
      </c>
      <c r="D38" s="421" t="s">
        <v>263</v>
      </c>
      <c r="E38" s="448" t="s">
        <v>93</v>
      </c>
      <c r="F38" s="650"/>
      <c r="G38" s="651"/>
      <c r="H38" s="381">
        <v>0</v>
      </c>
      <c r="I38" s="381">
        <f>výdavky!E417</f>
        <v>436436</v>
      </c>
      <c r="J38" s="521">
        <f>výdavky!F417</f>
        <v>0</v>
      </c>
      <c r="K38" s="381">
        <f>výdavky!G417</f>
        <v>0</v>
      </c>
      <c r="L38" s="381">
        <f>výdavky!H417</f>
        <v>0</v>
      </c>
    </row>
    <row r="39" spans="1:12" ht="12.75">
      <c r="A39" s="627">
        <f t="shared" si="5"/>
        <v>23</v>
      </c>
      <c r="B39" s="408"/>
      <c r="C39" s="427" t="s">
        <v>329</v>
      </c>
      <c r="D39" s="426" t="s">
        <v>265</v>
      </c>
      <c r="E39" s="383"/>
      <c r="F39" s="414"/>
      <c r="G39" s="395"/>
      <c r="H39" s="386">
        <v>0</v>
      </c>
      <c r="I39" s="386">
        <v>0</v>
      </c>
      <c r="J39" s="498">
        <v>0</v>
      </c>
      <c r="K39" s="386">
        <v>0</v>
      </c>
      <c r="L39" s="386">
        <v>0</v>
      </c>
    </row>
    <row r="40" spans="1:12" ht="12.75">
      <c r="A40" s="627">
        <f t="shared" si="5"/>
        <v>24</v>
      </c>
      <c r="B40" s="628">
        <v>3</v>
      </c>
      <c r="C40" s="449" t="s">
        <v>436</v>
      </c>
      <c r="D40" s="349"/>
      <c r="E40" s="349"/>
      <c r="F40" s="350"/>
      <c r="G40" s="351" t="e">
        <f>#REF!+#REF!</f>
        <v>#REF!</v>
      </c>
      <c r="H40" s="353">
        <f aca="true" t="shared" si="6" ref="H40:L41">H41</f>
        <v>60013</v>
      </c>
      <c r="I40" s="353">
        <f t="shared" si="6"/>
        <v>62000</v>
      </c>
      <c r="J40" s="353">
        <f t="shared" si="6"/>
        <v>62000</v>
      </c>
      <c r="K40" s="353">
        <f t="shared" si="6"/>
        <v>62000</v>
      </c>
      <c r="L40" s="353">
        <f t="shared" si="6"/>
        <v>62000</v>
      </c>
    </row>
    <row r="41" spans="1:12" ht="12.75">
      <c r="A41" s="627">
        <f t="shared" si="5"/>
        <v>25</v>
      </c>
      <c r="B41" s="629"/>
      <c r="C41" s="363"/>
      <c r="D41" s="337" t="s">
        <v>214</v>
      </c>
      <c r="E41" s="364"/>
      <c r="F41" s="365"/>
      <c r="G41" s="366">
        <f>G42</f>
        <v>984.1999999999999</v>
      </c>
      <c r="H41" s="367">
        <f t="shared" si="6"/>
        <v>60013</v>
      </c>
      <c r="I41" s="367">
        <f t="shared" si="6"/>
        <v>62000</v>
      </c>
      <c r="J41" s="367">
        <f t="shared" si="6"/>
        <v>62000</v>
      </c>
      <c r="K41" s="367">
        <f t="shared" si="6"/>
        <v>62000</v>
      </c>
      <c r="L41" s="367">
        <f t="shared" si="6"/>
        <v>62000</v>
      </c>
    </row>
    <row r="42" spans="1:12" ht="12.75">
      <c r="A42" s="627">
        <f t="shared" si="5"/>
        <v>26</v>
      </c>
      <c r="B42" s="377"/>
      <c r="C42" s="451" t="s">
        <v>437</v>
      </c>
      <c r="D42" s="370" t="s">
        <v>438</v>
      </c>
      <c r="E42" s="371"/>
      <c r="F42" s="372"/>
      <c r="G42" s="419">
        <f aca="true" t="shared" si="7" ref="G42:L42">SUM(G43:G50)</f>
        <v>984.1999999999999</v>
      </c>
      <c r="H42" s="420">
        <f t="shared" si="7"/>
        <v>60013</v>
      </c>
      <c r="I42" s="420">
        <f t="shared" si="7"/>
        <v>62000</v>
      </c>
      <c r="J42" s="420">
        <f t="shared" si="7"/>
        <v>62000</v>
      </c>
      <c r="K42" s="420">
        <f t="shared" si="7"/>
        <v>62000</v>
      </c>
      <c r="L42" s="420">
        <f t="shared" si="7"/>
        <v>62000</v>
      </c>
    </row>
    <row r="43" spans="1:12" ht="12.75">
      <c r="A43" s="627">
        <f t="shared" si="5"/>
        <v>27</v>
      </c>
      <c r="B43" s="377"/>
      <c r="C43" s="407" t="s">
        <v>223</v>
      </c>
      <c r="D43" s="426" t="s">
        <v>250</v>
      </c>
      <c r="E43" s="387" t="s">
        <v>279</v>
      </c>
      <c r="F43" s="394"/>
      <c r="G43" s="395">
        <f>ROUND(K43/30.126,1)</f>
        <v>710.3</v>
      </c>
      <c r="H43" s="386">
        <f>výdavky!D334</f>
        <v>20265</v>
      </c>
      <c r="I43" s="386">
        <f>výdavky!E334</f>
        <v>21400</v>
      </c>
      <c r="J43" s="386">
        <f>výdavky!F334</f>
        <v>21400</v>
      </c>
      <c r="K43" s="386">
        <f>výdavky!G334</f>
        <v>21400</v>
      </c>
      <c r="L43" s="386">
        <f>výdavky!H334</f>
        <v>21400</v>
      </c>
    </row>
    <row r="44" spans="1:12" ht="12.75">
      <c r="A44" s="627">
        <f t="shared" si="5"/>
        <v>28</v>
      </c>
      <c r="B44" s="377"/>
      <c r="C44" s="407" t="s">
        <v>225</v>
      </c>
      <c r="D44" s="426" t="s">
        <v>252</v>
      </c>
      <c r="E44" s="387" t="s">
        <v>439</v>
      </c>
      <c r="F44" s="394"/>
      <c r="G44" s="395">
        <f>ROUND(K44/30.126,1)</f>
        <v>260.6</v>
      </c>
      <c r="H44" s="386">
        <f>výdavky!D335</f>
        <v>7181</v>
      </c>
      <c r="I44" s="386">
        <f>výdavky!E335</f>
        <v>7850</v>
      </c>
      <c r="J44" s="386">
        <f>výdavky!F335</f>
        <v>7850</v>
      </c>
      <c r="K44" s="386">
        <f>výdavky!G335</f>
        <v>7850</v>
      </c>
      <c r="L44" s="386">
        <f>výdavky!H335</f>
        <v>7850</v>
      </c>
    </row>
    <row r="45" spans="1:12" ht="12.75">
      <c r="A45" s="627">
        <f t="shared" si="5"/>
        <v>29</v>
      </c>
      <c r="B45" s="377"/>
      <c r="C45" s="407" t="s">
        <v>229</v>
      </c>
      <c r="D45" s="426" t="s">
        <v>263</v>
      </c>
      <c r="E45" s="387" t="s">
        <v>379</v>
      </c>
      <c r="F45" s="394"/>
      <c r="G45" s="395"/>
      <c r="H45" s="386">
        <f>výdavky!D337</f>
        <v>8702</v>
      </c>
      <c r="I45" s="386">
        <f>výdavky!E337</f>
        <v>7500</v>
      </c>
      <c r="J45" s="498">
        <f>výdavky!F337</f>
        <v>7500</v>
      </c>
      <c r="K45" s="386">
        <f>výdavky!G337</f>
        <v>7500</v>
      </c>
      <c r="L45" s="386">
        <f>výdavky!H337</f>
        <v>7500</v>
      </c>
    </row>
    <row r="46" spans="1:12" ht="12.75">
      <c r="A46" s="627">
        <f t="shared" si="5"/>
        <v>30</v>
      </c>
      <c r="B46" s="377"/>
      <c r="C46" s="407" t="s">
        <v>231</v>
      </c>
      <c r="D46" s="426" t="s">
        <v>265</v>
      </c>
      <c r="E46" s="387" t="s">
        <v>440</v>
      </c>
      <c r="F46" s="394"/>
      <c r="G46" s="395">
        <f>ROUND(K46/30.126,1)</f>
        <v>13.3</v>
      </c>
      <c r="H46" s="386">
        <f>výdavky!D338</f>
        <v>257</v>
      </c>
      <c r="I46" s="386">
        <f>výdavky!E338</f>
        <v>400</v>
      </c>
      <c r="J46" s="498">
        <f>výdavky!F338</f>
        <v>400</v>
      </c>
      <c r="K46" s="386">
        <f>výdavky!G338</f>
        <v>400</v>
      </c>
      <c r="L46" s="386">
        <f>výdavky!H338</f>
        <v>400</v>
      </c>
    </row>
    <row r="47" spans="1:12" ht="12.75">
      <c r="A47" s="627">
        <f t="shared" si="5"/>
        <v>31</v>
      </c>
      <c r="B47" s="377"/>
      <c r="C47" s="407" t="s">
        <v>231</v>
      </c>
      <c r="D47" s="421" t="s">
        <v>267</v>
      </c>
      <c r="E47" s="378" t="s">
        <v>421</v>
      </c>
      <c r="F47" s="422"/>
      <c r="G47" s="428"/>
      <c r="H47" s="381">
        <f>výdavky!D339</f>
        <v>23451</v>
      </c>
      <c r="I47" s="381">
        <f>výdavky!E339</f>
        <v>23000</v>
      </c>
      <c r="J47" s="521">
        <f>výdavky!F339</f>
        <v>23000</v>
      </c>
      <c r="K47" s="381">
        <f>výdavky!G339</f>
        <v>23000</v>
      </c>
      <c r="L47" s="381">
        <f>výdavky!H339</f>
        <v>23000</v>
      </c>
    </row>
    <row r="48" spans="1:12" ht="12.75">
      <c r="A48" s="627">
        <f t="shared" si="5"/>
        <v>32</v>
      </c>
      <c r="B48" s="377"/>
      <c r="C48" s="407" t="s">
        <v>231</v>
      </c>
      <c r="D48" s="426" t="s">
        <v>271</v>
      </c>
      <c r="E48" s="387" t="s">
        <v>441</v>
      </c>
      <c r="F48" s="394"/>
      <c r="G48" s="395"/>
      <c r="H48" s="386">
        <f>výdavky!D340</f>
        <v>0</v>
      </c>
      <c r="I48" s="386">
        <f>výdavky!E340</f>
        <v>1500</v>
      </c>
      <c r="J48" s="498">
        <f>výdavky!F340</f>
        <v>1500</v>
      </c>
      <c r="K48" s="386">
        <f>výdavky!G340</f>
        <v>1500</v>
      </c>
      <c r="L48" s="386">
        <f>výdavky!H340</f>
        <v>1500</v>
      </c>
    </row>
    <row r="49" spans="1:12" ht="12.75">
      <c r="A49" s="627">
        <f t="shared" si="5"/>
        <v>33</v>
      </c>
      <c r="B49" s="377"/>
      <c r="C49" s="407" t="s">
        <v>235</v>
      </c>
      <c r="D49" s="426" t="s">
        <v>274</v>
      </c>
      <c r="E49" s="387" t="s">
        <v>316</v>
      </c>
      <c r="F49" s="394"/>
      <c r="G49" s="395"/>
      <c r="H49" s="386">
        <f>výdavky!D341</f>
        <v>8</v>
      </c>
      <c r="I49" s="386">
        <f>výdavky!E341</f>
        <v>200</v>
      </c>
      <c r="J49" s="498">
        <f>výdavky!F341</f>
        <v>200</v>
      </c>
      <c r="K49" s="386">
        <f>výdavky!G341</f>
        <v>200</v>
      </c>
      <c r="L49" s="386">
        <f>výdavky!H341</f>
        <v>200</v>
      </c>
    </row>
    <row r="50" spans="1:12" ht="12.75">
      <c r="A50" s="582">
        <f t="shared" si="5"/>
        <v>34</v>
      </c>
      <c r="B50" s="652"/>
      <c r="C50" s="653" t="s">
        <v>239</v>
      </c>
      <c r="D50" s="501" t="s">
        <v>304</v>
      </c>
      <c r="E50" s="572" t="s">
        <v>240</v>
      </c>
      <c r="F50" s="573"/>
      <c r="G50" s="574"/>
      <c r="H50" s="506">
        <f>výdavky!D342</f>
        <v>149</v>
      </c>
      <c r="I50" s="506">
        <f>výdavky!E342</f>
        <v>150</v>
      </c>
      <c r="J50" s="506">
        <f>výdavky!F342</f>
        <v>150</v>
      </c>
      <c r="K50" s="506">
        <f>výdavky!G342</f>
        <v>150</v>
      </c>
      <c r="L50" s="506">
        <f>výdavky!H342</f>
        <v>150</v>
      </c>
    </row>
    <row r="53" ht="12.75">
      <c r="E53" s="296"/>
    </row>
    <row r="55" ht="12.75">
      <c r="L55" s="621"/>
    </row>
  </sheetData>
  <mergeCells count="2">
    <mergeCell ref="G3:L3"/>
    <mergeCell ref="D4:F6"/>
  </mergeCells>
  <printOptions/>
  <pageMargins left="0.5905511811023623" right="0.1968503937007874" top="0.7874015748031497" bottom="0.7874015748031497" header="0.5118110236220472" footer="0.5118110236220472"/>
  <pageSetup horizontalDpi="300" verticalDpi="3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7">
      <selection activeCell="J36" sqref="J36"/>
    </sheetView>
  </sheetViews>
  <sheetFormatPr defaultColWidth="9.140625" defaultRowHeight="12.75"/>
  <cols>
    <col min="1" max="1" width="3.57421875" style="295" customWidth="1"/>
    <col min="2" max="2" width="4.140625" style="1" customWidth="1"/>
    <col min="3" max="3" width="7.57421875" style="0" customWidth="1"/>
    <col min="4" max="4" width="3.421875" style="0" customWidth="1"/>
    <col min="5" max="5" width="31.421875" style="0" customWidth="1"/>
    <col min="6" max="6" width="7.8515625" style="0" customWidth="1"/>
    <col min="7" max="7" width="0" style="0" hidden="1" customWidth="1"/>
    <col min="10" max="10" width="7.57421875" style="0" customWidth="1"/>
    <col min="11" max="11" width="8.421875" style="0" customWidth="1"/>
    <col min="12" max="12" width="7.28125" style="0" customWidth="1"/>
  </cols>
  <sheetData>
    <row r="1" spans="2:12" ht="15.75">
      <c r="B1" s="299" t="s">
        <v>442</v>
      </c>
      <c r="E1" s="654" t="s">
        <v>443</v>
      </c>
      <c r="F1" s="297"/>
      <c r="G1" s="464" t="e">
        <f>G2-G7</f>
        <v>#REF!</v>
      </c>
      <c r="H1" s="464"/>
      <c r="I1" s="464"/>
      <c r="J1" s="465">
        <f>J2-J7</f>
        <v>0</v>
      </c>
      <c r="K1" s="465">
        <f>K2-K7</f>
        <v>0</v>
      </c>
      <c r="L1" s="465">
        <f>L2-L7</f>
        <v>0</v>
      </c>
    </row>
    <row r="2" spans="2:12" ht="15.75">
      <c r="B2" s="299"/>
      <c r="E2" s="297"/>
      <c r="F2" s="297"/>
      <c r="G2" s="464" t="e">
        <f>SUM(G8:G10)</f>
        <v>#REF!</v>
      </c>
      <c r="H2" s="464"/>
      <c r="I2" s="464"/>
      <c r="J2" s="465">
        <f>SUM(J8:J10)</f>
        <v>37350</v>
      </c>
      <c r="K2" s="465">
        <f>SUM(K8:K10)</f>
        <v>40350</v>
      </c>
      <c r="L2" s="465">
        <f>SUM(L8:L10)</f>
        <v>40350</v>
      </c>
    </row>
    <row r="3" spans="1:12" ht="12.75" customHeight="1">
      <c r="A3" s="308"/>
      <c r="B3" s="309"/>
      <c r="C3" s="310"/>
      <c r="D3" s="310"/>
      <c r="E3" s="311"/>
      <c r="F3" s="312"/>
      <c r="G3" s="1275" t="s">
        <v>201</v>
      </c>
      <c r="H3" s="1275"/>
      <c r="I3" s="1275"/>
      <c r="J3" s="1275"/>
      <c r="K3" s="1275"/>
      <c r="L3" s="1275"/>
    </row>
    <row r="4" spans="1:12" ht="12" customHeight="1">
      <c r="A4" s="313"/>
      <c r="B4" s="314" t="s">
        <v>202</v>
      </c>
      <c r="C4" s="315" t="s">
        <v>203</v>
      </c>
      <c r="D4" s="1277" t="s">
        <v>204</v>
      </c>
      <c r="E4" s="1277"/>
      <c r="F4" s="1277"/>
      <c r="G4" s="316"/>
      <c r="H4" s="318">
        <v>2011</v>
      </c>
      <c r="I4" s="318">
        <v>2012</v>
      </c>
      <c r="J4" s="318">
        <v>2013</v>
      </c>
      <c r="K4" s="318">
        <v>2014</v>
      </c>
      <c r="L4" s="318">
        <v>2015</v>
      </c>
    </row>
    <row r="5" spans="1:12" ht="13.5" customHeight="1">
      <c r="A5" s="313"/>
      <c r="B5" s="314" t="s">
        <v>205</v>
      </c>
      <c r="C5" s="315" t="s">
        <v>206</v>
      </c>
      <c r="D5" s="1277"/>
      <c r="E5" s="1277"/>
      <c r="F5" s="1277"/>
      <c r="G5" s="319" t="s">
        <v>207</v>
      </c>
      <c r="H5" s="321" t="s">
        <v>209</v>
      </c>
      <c r="I5" s="321" t="s">
        <v>209</v>
      </c>
      <c r="J5" s="623" t="s">
        <v>208</v>
      </c>
      <c r="K5" s="321" t="s">
        <v>209</v>
      </c>
      <c r="L5" s="321" t="s">
        <v>209</v>
      </c>
    </row>
    <row r="6" spans="1:12" ht="12.75">
      <c r="A6" s="468"/>
      <c r="B6" s="469" t="s">
        <v>210</v>
      </c>
      <c r="C6" s="470" t="s">
        <v>211</v>
      </c>
      <c r="D6" s="1277"/>
      <c r="E6" s="1277"/>
      <c r="F6" s="1277"/>
      <c r="G6" s="471">
        <v>1</v>
      </c>
      <c r="H6" s="542">
        <v>-2</v>
      </c>
      <c r="I6" s="542">
        <v>-1</v>
      </c>
      <c r="J6" s="542">
        <v>1</v>
      </c>
      <c r="K6" s="542">
        <v>2</v>
      </c>
      <c r="L6" s="542">
        <v>3</v>
      </c>
    </row>
    <row r="7" spans="1:12" ht="15">
      <c r="A7" s="332">
        <v>1</v>
      </c>
      <c r="B7" s="655" t="s">
        <v>442</v>
      </c>
      <c r="C7" s="474"/>
      <c r="D7" s="475"/>
      <c r="E7" s="476" t="s">
        <v>444</v>
      </c>
      <c r="F7" s="477"/>
      <c r="G7" s="656" t="e">
        <f>G11+#REF!+#REF!+G17+#REF!+#REF!+#REF!+#REF!+#REF!+#REF!+#REF!+#REF!+G22+#REF!</f>
        <v>#REF!</v>
      </c>
      <c r="H7" s="657">
        <f>SUM(H8:H10)</f>
        <v>37025</v>
      </c>
      <c r="I7" s="657">
        <f>SUM(I8:I10)</f>
        <v>40650</v>
      </c>
      <c r="J7" s="658">
        <f>SUM(J8,J9,J10)</f>
        <v>37350</v>
      </c>
      <c r="K7" s="657">
        <f>SUM(K8:K10)</f>
        <v>40350</v>
      </c>
      <c r="L7" s="657">
        <f>SUM(L8:L10)</f>
        <v>40350</v>
      </c>
    </row>
    <row r="8" spans="1:12" ht="12.75">
      <c r="A8" s="332">
        <f aca="true" t="shared" si="0" ref="A8:A15">A7+1</f>
        <v>2</v>
      </c>
      <c r="B8" s="333" t="s">
        <v>213</v>
      </c>
      <c r="C8" s="334" t="s">
        <v>214</v>
      </c>
      <c r="D8" s="335"/>
      <c r="E8" s="336"/>
      <c r="F8" s="337"/>
      <c r="G8" s="481" t="e">
        <f>G12+#REF!+#REF!+#REF!+G18+#REF!+#REF!+#REF!+#REF!+G23+#REF!+#REF!+#REF!</f>
        <v>#REF!</v>
      </c>
      <c r="H8" s="483">
        <f>SUM(H12,H18,H23,H31)</f>
        <v>37025</v>
      </c>
      <c r="I8" s="483">
        <f>SUM(I12,I18,I23,I31)</f>
        <v>40650</v>
      </c>
      <c r="J8" s="483">
        <f>SUM(J12,J18,J23,J31)</f>
        <v>37350</v>
      </c>
      <c r="K8" s="483">
        <f>SUM(K12,K18,K23,K31)</f>
        <v>40350</v>
      </c>
      <c r="L8" s="483">
        <f>SUM(L12,L18,L23,L31)</f>
        <v>40350</v>
      </c>
    </row>
    <row r="9" spans="1:12" ht="12.75">
      <c r="A9" s="332">
        <f t="shared" si="0"/>
        <v>3</v>
      </c>
      <c r="B9" s="333" t="s">
        <v>215</v>
      </c>
      <c r="C9" s="334" t="s">
        <v>216</v>
      </c>
      <c r="D9" s="335"/>
      <c r="E9" s="336"/>
      <c r="F9" s="337"/>
      <c r="G9" s="481" t="e">
        <f>#REF!</f>
        <v>#REF!</v>
      </c>
      <c r="H9" s="483">
        <f>SUM(H27)</f>
        <v>0</v>
      </c>
      <c r="I9" s="483">
        <f>SUM(I27)</f>
        <v>0</v>
      </c>
      <c r="J9" s="482">
        <f>SUM(J27)</f>
        <v>0</v>
      </c>
      <c r="K9" s="483">
        <f>SUM(K27)</f>
        <v>0</v>
      </c>
      <c r="L9" s="483">
        <f>SUM(L27)</f>
        <v>0</v>
      </c>
    </row>
    <row r="10" spans="1:12" ht="12.75">
      <c r="A10" s="332">
        <f t="shared" si="0"/>
        <v>4</v>
      </c>
      <c r="B10" s="340"/>
      <c r="C10" s="341" t="s">
        <v>217</v>
      </c>
      <c r="D10" s="342"/>
      <c r="E10" s="343"/>
      <c r="F10" s="344"/>
      <c r="G10" s="486" t="e">
        <f>#REF!</f>
        <v>#REF!</v>
      </c>
      <c r="H10" s="483">
        <v>0</v>
      </c>
      <c r="I10" s="483">
        <v>0</v>
      </c>
      <c r="J10" s="487">
        <v>0</v>
      </c>
      <c r="K10" s="483">
        <v>0</v>
      </c>
      <c r="L10" s="483">
        <v>0</v>
      </c>
    </row>
    <row r="11" spans="1:12" ht="12.75">
      <c r="A11" s="332">
        <f t="shared" si="0"/>
        <v>5</v>
      </c>
      <c r="B11" s="347">
        <v>1</v>
      </c>
      <c r="C11" s="449" t="s">
        <v>445</v>
      </c>
      <c r="D11" s="349"/>
      <c r="E11" s="349"/>
      <c r="F11" s="350"/>
      <c r="G11" s="659">
        <f>SUM(G13)</f>
        <v>328.7</v>
      </c>
      <c r="H11" s="352">
        <f aca="true" t="shared" si="1" ref="H11:L12">H12</f>
        <v>10964</v>
      </c>
      <c r="I11" s="352">
        <f t="shared" si="1"/>
        <v>13200</v>
      </c>
      <c r="J11" s="660">
        <f t="shared" si="1"/>
        <v>9900</v>
      </c>
      <c r="K11" s="352">
        <f t="shared" si="1"/>
        <v>9900</v>
      </c>
      <c r="L11" s="352">
        <f t="shared" si="1"/>
        <v>9900</v>
      </c>
    </row>
    <row r="12" spans="1:12" ht="12.75">
      <c r="A12" s="332">
        <f t="shared" si="0"/>
        <v>6</v>
      </c>
      <c r="B12" s="362"/>
      <c r="C12" s="363"/>
      <c r="D12" s="337" t="s">
        <v>214</v>
      </c>
      <c r="E12" s="364"/>
      <c r="F12" s="365"/>
      <c r="G12" s="661">
        <f>G13</f>
        <v>328.7</v>
      </c>
      <c r="H12" s="367">
        <f t="shared" si="1"/>
        <v>10964</v>
      </c>
      <c r="I12" s="367">
        <f t="shared" si="1"/>
        <v>13200</v>
      </c>
      <c r="J12" s="662">
        <f t="shared" si="1"/>
        <v>9900</v>
      </c>
      <c r="K12" s="367">
        <f t="shared" si="1"/>
        <v>9900</v>
      </c>
      <c r="L12" s="367">
        <f t="shared" si="1"/>
        <v>9900</v>
      </c>
    </row>
    <row r="13" spans="1:12" ht="12.75">
      <c r="A13" s="332">
        <f t="shared" si="0"/>
        <v>7</v>
      </c>
      <c r="B13" s="396"/>
      <c r="C13" s="447" t="s">
        <v>446</v>
      </c>
      <c r="D13" s="370" t="s">
        <v>447</v>
      </c>
      <c r="E13" s="371"/>
      <c r="F13" s="372"/>
      <c r="G13" s="663">
        <f>SUM(G14:G15)</f>
        <v>328.7</v>
      </c>
      <c r="H13" s="374">
        <f>SUM(H14,H15,H16)</f>
        <v>10964</v>
      </c>
      <c r="I13" s="374">
        <f>SUM(I14,I15,I16)</f>
        <v>13200</v>
      </c>
      <c r="J13" s="497">
        <f>SUM(J14,J15,J16)</f>
        <v>9900</v>
      </c>
      <c r="K13" s="374">
        <f>SUM(K14,K15,K16)</f>
        <v>9900</v>
      </c>
      <c r="L13" s="374">
        <f>SUM(L14,L15,L16)</f>
        <v>9900</v>
      </c>
    </row>
    <row r="14" spans="1:12" ht="12.75">
      <c r="A14" s="332">
        <f t="shared" si="0"/>
        <v>8</v>
      </c>
      <c r="B14" s="396"/>
      <c r="C14" s="427" t="s">
        <v>261</v>
      </c>
      <c r="D14" s="426" t="s">
        <v>250</v>
      </c>
      <c r="E14" s="387" t="s">
        <v>448</v>
      </c>
      <c r="F14" s="394"/>
      <c r="G14" s="395">
        <f>ROUND(K14/30.126,1)</f>
        <v>129.5</v>
      </c>
      <c r="H14" s="386">
        <f>výdavky!D349</f>
        <v>3863</v>
      </c>
      <c r="I14" s="386">
        <f>výdavky!E349</f>
        <v>3900</v>
      </c>
      <c r="J14" s="498">
        <f>výdavky!F349</f>
        <v>3900</v>
      </c>
      <c r="K14" s="386">
        <f>výdavky!G349</f>
        <v>3900</v>
      </c>
      <c r="L14" s="386">
        <f>výdavky!H349</f>
        <v>3900</v>
      </c>
    </row>
    <row r="15" spans="1:12" ht="12.75">
      <c r="A15" s="332">
        <f t="shared" si="0"/>
        <v>9</v>
      </c>
      <c r="B15" s="396"/>
      <c r="C15" s="427" t="s">
        <v>261</v>
      </c>
      <c r="D15" s="426" t="s">
        <v>252</v>
      </c>
      <c r="E15" s="387" t="s">
        <v>449</v>
      </c>
      <c r="F15" s="394"/>
      <c r="G15" s="395">
        <f>ROUND(K15/30.126,1)</f>
        <v>199.2</v>
      </c>
      <c r="H15" s="386">
        <f>výdavky!D350</f>
        <v>5240</v>
      </c>
      <c r="I15" s="386">
        <f>výdavky!E350</f>
        <v>8800</v>
      </c>
      <c r="J15" s="498">
        <f>výdavky!F350</f>
        <v>6000</v>
      </c>
      <c r="K15" s="386">
        <f>výdavky!G350</f>
        <v>6000</v>
      </c>
      <c r="L15" s="386">
        <f>výdavky!H350</f>
        <v>6000</v>
      </c>
    </row>
    <row r="16" spans="1:12" ht="12.75">
      <c r="A16" s="332"/>
      <c r="B16" s="396"/>
      <c r="C16" s="425" t="s">
        <v>405</v>
      </c>
      <c r="D16" s="426" t="s">
        <v>263</v>
      </c>
      <c r="E16" s="522" t="s">
        <v>450</v>
      </c>
      <c r="F16" s="394"/>
      <c r="G16" s="395"/>
      <c r="H16" s="386">
        <f>výdavky!D358</f>
        <v>1861</v>
      </c>
      <c r="I16" s="386">
        <f>výdavky!E358</f>
        <v>500</v>
      </c>
      <c r="J16" s="498">
        <f>výdavky!F358</f>
        <v>0</v>
      </c>
      <c r="K16" s="386">
        <f>výdavky!G358</f>
        <v>0</v>
      </c>
      <c r="L16" s="386">
        <f>výdavky!H358</f>
        <v>0</v>
      </c>
    </row>
    <row r="17" spans="1:12" ht="12.75">
      <c r="A17" s="332">
        <v>10</v>
      </c>
      <c r="B17" s="347">
        <v>2</v>
      </c>
      <c r="C17" s="449" t="s">
        <v>451</v>
      </c>
      <c r="D17" s="349"/>
      <c r="E17" s="349"/>
      <c r="F17" s="350"/>
      <c r="G17" s="351" t="e">
        <f>#REF!</f>
        <v>#REF!</v>
      </c>
      <c r="H17" s="664">
        <f>SUM(H18)</f>
        <v>1023</v>
      </c>
      <c r="I17" s="664">
        <f>SUM(I18)</f>
        <v>1600</v>
      </c>
      <c r="J17" s="665">
        <f>SUM(J18)</f>
        <v>1600</v>
      </c>
      <c r="K17" s="664">
        <f>SUM(K18)</f>
        <v>1600</v>
      </c>
      <c r="L17" s="664">
        <f>SUM(L18)</f>
        <v>1600</v>
      </c>
    </row>
    <row r="18" spans="1:12" ht="12.75">
      <c r="A18" s="332">
        <v>11</v>
      </c>
      <c r="B18" s="362"/>
      <c r="C18" s="363"/>
      <c r="D18" s="337" t="s">
        <v>214</v>
      </c>
      <c r="E18" s="364"/>
      <c r="F18" s="365"/>
      <c r="G18" s="661">
        <f aca="true" t="shared" si="2" ref="G18:L18">G19</f>
        <v>33.2</v>
      </c>
      <c r="H18" s="367">
        <f t="shared" si="2"/>
        <v>1023</v>
      </c>
      <c r="I18" s="367">
        <f t="shared" si="2"/>
        <v>1600</v>
      </c>
      <c r="J18" s="662">
        <f t="shared" si="2"/>
        <v>1600</v>
      </c>
      <c r="K18" s="367">
        <f t="shared" si="2"/>
        <v>1600</v>
      </c>
      <c r="L18" s="367">
        <f t="shared" si="2"/>
        <v>1600</v>
      </c>
    </row>
    <row r="19" spans="1:12" ht="12.75">
      <c r="A19" s="332">
        <f aca="true" t="shared" si="3" ref="A19:A26">A18+1</f>
        <v>12</v>
      </c>
      <c r="B19" s="396"/>
      <c r="C19" s="447" t="s">
        <v>452</v>
      </c>
      <c r="D19" s="370" t="s">
        <v>453</v>
      </c>
      <c r="E19" s="371"/>
      <c r="F19" s="372"/>
      <c r="G19" s="663">
        <f>SUM(G20)</f>
        <v>33.2</v>
      </c>
      <c r="H19" s="374">
        <f>SUM(H20:H21)</f>
        <v>1023</v>
      </c>
      <c r="I19" s="374">
        <f>SUM(I20:I21)</f>
        <v>1600</v>
      </c>
      <c r="J19" s="497">
        <f>SUM(J20:J21)</f>
        <v>1600</v>
      </c>
      <c r="K19" s="374">
        <f>SUM(K20:K21)</f>
        <v>1600</v>
      </c>
      <c r="L19" s="374">
        <f>SUM(L20:L21)</f>
        <v>1600</v>
      </c>
    </row>
    <row r="20" spans="1:12" ht="12.75">
      <c r="A20" s="332">
        <f t="shared" si="3"/>
        <v>13</v>
      </c>
      <c r="B20" s="396"/>
      <c r="C20" s="427" t="s">
        <v>405</v>
      </c>
      <c r="D20" s="426" t="s">
        <v>250</v>
      </c>
      <c r="E20" s="387" t="s">
        <v>454</v>
      </c>
      <c r="F20" s="394"/>
      <c r="G20" s="395">
        <f>ROUND(K20/30.126,1)</f>
        <v>33.2</v>
      </c>
      <c r="H20" s="386">
        <f>výdavky!D353</f>
        <v>584</v>
      </c>
      <c r="I20" s="386">
        <f>výdavky!E353</f>
        <v>1000</v>
      </c>
      <c r="J20" s="498">
        <f>výdavky!F353</f>
        <v>1000</v>
      </c>
      <c r="K20" s="386">
        <f>výdavky!G353</f>
        <v>1000</v>
      </c>
      <c r="L20" s="386">
        <f>výdavky!H353</f>
        <v>1000</v>
      </c>
    </row>
    <row r="21" spans="1:12" ht="12.75">
      <c r="A21" s="332">
        <f t="shared" si="3"/>
        <v>14</v>
      </c>
      <c r="B21" s="396"/>
      <c r="C21" s="425" t="s">
        <v>405</v>
      </c>
      <c r="D21" s="426" t="s">
        <v>252</v>
      </c>
      <c r="E21" s="387" t="s">
        <v>455</v>
      </c>
      <c r="F21" s="394"/>
      <c r="G21" s="395"/>
      <c r="H21" s="386">
        <f>výdavky!D351</f>
        <v>439</v>
      </c>
      <c r="I21" s="386">
        <f>výdavky!E351</f>
        <v>600</v>
      </c>
      <c r="J21" s="498">
        <f>výdavky!F351</f>
        <v>600</v>
      </c>
      <c r="K21" s="386">
        <f>výdavky!G351</f>
        <v>600</v>
      </c>
      <c r="L21" s="386">
        <f>výdavky!H351</f>
        <v>600</v>
      </c>
    </row>
    <row r="22" spans="1:12" ht="12.75">
      <c r="A22" s="332">
        <f t="shared" si="3"/>
        <v>15</v>
      </c>
      <c r="B22" s="347">
        <v>3</v>
      </c>
      <c r="C22" s="449" t="s">
        <v>456</v>
      </c>
      <c r="D22" s="349"/>
      <c r="E22" s="349"/>
      <c r="F22" s="350"/>
      <c r="G22" s="351">
        <f>SUM(G24)</f>
        <v>431.5</v>
      </c>
      <c r="H22" s="353">
        <f>H24</f>
        <v>11732</v>
      </c>
      <c r="I22" s="353">
        <f>I24</f>
        <v>10000</v>
      </c>
      <c r="J22" s="660">
        <f>J24</f>
        <v>10000</v>
      </c>
      <c r="K22" s="353">
        <f>K24</f>
        <v>13000</v>
      </c>
      <c r="L22" s="353">
        <f>L24</f>
        <v>13000</v>
      </c>
    </row>
    <row r="23" spans="1:12" ht="12.75">
      <c r="A23" s="332">
        <f t="shared" si="3"/>
        <v>16</v>
      </c>
      <c r="B23" s="362"/>
      <c r="C23" s="363"/>
      <c r="D23" s="337" t="s">
        <v>214</v>
      </c>
      <c r="E23" s="364"/>
      <c r="F23" s="365"/>
      <c r="G23" s="366">
        <f aca="true" t="shared" si="4" ref="G23:L23">G24</f>
        <v>431.5</v>
      </c>
      <c r="H23" s="367">
        <f t="shared" si="4"/>
        <v>11732</v>
      </c>
      <c r="I23" s="367">
        <f t="shared" si="4"/>
        <v>10000</v>
      </c>
      <c r="J23" s="662">
        <f t="shared" si="4"/>
        <v>10000</v>
      </c>
      <c r="K23" s="367">
        <f t="shared" si="4"/>
        <v>13000</v>
      </c>
      <c r="L23" s="367">
        <f t="shared" si="4"/>
        <v>13000</v>
      </c>
    </row>
    <row r="24" spans="1:12" ht="12.75">
      <c r="A24" s="332">
        <f t="shared" si="3"/>
        <v>17</v>
      </c>
      <c r="B24" s="362"/>
      <c r="C24" s="447" t="s">
        <v>457</v>
      </c>
      <c r="D24" s="370" t="s">
        <v>456</v>
      </c>
      <c r="E24" s="371"/>
      <c r="F24" s="372"/>
      <c r="G24" s="437">
        <f>SUM(G25:G34)</f>
        <v>431.5</v>
      </c>
      <c r="H24" s="438">
        <f>SUM(H25,H26)</f>
        <v>11732</v>
      </c>
      <c r="I24" s="438">
        <f>SUM(I25,I26)</f>
        <v>10000</v>
      </c>
      <c r="J24" s="666">
        <f>SUM(J25,J26)</f>
        <v>10000</v>
      </c>
      <c r="K24" s="438">
        <f>SUM(K25,K26)</f>
        <v>13000</v>
      </c>
      <c r="L24" s="438">
        <f>SUM(L25,L26)</f>
        <v>13000</v>
      </c>
    </row>
    <row r="25" spans="1:12" ht="12.75">
      <c r="A25" s="332">
        <f t="shared" si="3"/>
        <v>18</v>
      </c>
      <c r="B25" s="396"/>
      <c r="C25" s="427" t="s">
        <v>418</v>
      </c>
      <c r="D25" s="426" t="s">
        <v>250</v>
      </c>
      <c r="E25" s="387" t="s">
        <v>419</v>
      </c>
      <c r="F25" s="394"/>
      <c r="G25" s="395">
        <f>ROUND(K25/30.126,1)</f>
        <v>398.3</v>
      </c>
      <c r="H25" s="386">
        <f>výdavky!D355</f>
        <v>8946</v>
      </c>
      <c r="I25" s="386">
        <f>výdavky!E355</f>
        <v>9200</v>
      </c>
      <c r="J25" s="667">
        <f>výdavky!F355</f>
        <v>9200</v>
      </c>
      <c r="K25" s="386">
        <f>výdavky!G355</f>
        <v>12000</v>
      </c>
      <c r="L25" s="386">
        <f>výdavky!H355</f>
        <v>12000</v>
      </c>
    </row>
    <row r="26" spans="1:12" ht="12.75">
      <c r="A26" s="332">
        <f t="shared" si="3"/>
        <v>19</v>
      </c>
      <c r="B26" s="396"/>
      <c r="C26" s="427" t="s">
        <v>420</v>
      </c>
      <c r="D26" s="426" t="s">
        <v>252</v>
      </c>
      <c r="E26" s="387" t="s">
        <v>397</v>
      </c>
      <c r="F26" s="394"/>
      <c r="G26" s="395">
        <f>ROUND(K26/30.126,1)</f>
        <v>33.2</v>
      </c>
      <c r="H26" s="386">
        <f>výdavky!D356</f>
        <v>2786</v>
      </c>
      <c r="I26" s="386">
        <f>výdavky!E356</f>
        <v>800</v>
      </c>
      <c r="J26" s="667">
        <f>výdavky!F356</f>
        <v>800</v>
      </c>
      <c r="K26" s="386">
        <f>výdavky!G356</f>
        <v>1000</v>
      </c>
      <c r="L26" s="386">
        <f>výdavky!H356</f>
        <v>1000</v>
      </c>
    </row>
    <row r="27" spans="1:12" ht="12.75">
      <c r="A27" s="332">
        <v>20</v>
      </c>
      <c r="B27" s="396"/>
      <c r="C27" s="425"/>
      <c r="D27" s="1283" t="s">
        <v>216</v>
      </c>
      <c r="E27" s="1283"/>
      <c r="F27" s="393"/>
      <c r="G27" s="668"/>
      <c r="H27" s="616">
        <f aca="true" t="shared" si="5" ref="H27:L28">SUM(H28)</f>
        <v>0</v>
      </c>
      <c r="I27" s="616">
        <f t="shared" si="5"/>
        <v>0</v>
      </c>
      <c r="J27" s="617">
        <f t="shared" si="5"/>
        <v>0</v>
      </c>
      <c r="K27" s="616">
        <f t="shared" si="5"/>
        <v>0</v>
      </c>
      <c r="L27" s="616">
        <f t="shared" si="5"/>
        <v>0</v>
      </c>
    </row>
    <row r="28" spans="1:12" ht="12.75">
      <c r="A28" s="332">
        <v>21</v>
      </c>
      <c r="B28" s="396"/>
      <c r="C28" s="447" t="s">
        <v>457</v>
      </c>
      <c r="D28" s="370" t="s">
        <v>456</v>
      </c>
      <c r="E28" s="371"/>
      <c r="F28" s="372"/>
      <c r="G28" s="437">
        <f>SUM(G29:G38)</f>
        <v>0</v>
      </c>
      <c r="H28" s="438">
        <f t="shared" si="5"/>
        <v>0</v>
      </c>
      <c r="I28" s="438">
        <f t="shared" si="5"/>
        <v>0</v>
      </c>
      <c r="J28" s="666">
        <f t="shared" si="5"/>
        <v>0</v>
      </c>
      <c r="K28" s="438">
        <f t="shared" si="5"/>
        <v>0</v>
      </c>
      <c r="L28" s="438">
        <f t="shared" si="5"/>
        <v>0</v>
      </c>
    </row>
    <row r="29" spans="1:12" ht="12.75">
      <c r="A29" s="332">
        <v>22</v>
      </c>
      <c r="B29" s="396"/>
      <c r="C29" s="425" t="s">
        <v>329</v>
      </c>
      <c r="D29" s="426" t="s">
        <v>263</v>
      </c>
      <c r="E29" s="387" t="s">
        <v>95</v>
      </c>
      <c r="F29" s="394"/>
      <c r="G29" s="395"/>
      <c r="H29" s="386">
        <v>0</v>
      </c>
      <c r="I29" s="386">
        <v>0</v>
      </c>
      <c r="J29" s="667">
        <f>výdavky!F423</f>
        <v>0</v>
      </c>
      <c r="K29" s="386">
        <f>výdavky!G423</f>
        <v>0</v>
      </c>
      <c r="L29" s="386">
        <f>výdavky!H423</f>
        <v>0</v>
      </c>
    </row>
    <row r="30" spans="1:12" ht="12.75">
      <c r="A30" s="332">
        <v>23</v>
      </c>
      <c r="B30" s="669">
        <v>4</v>
      </c>
      <c r="C30" s="1278" t="s">
        <v>458</v>
      </c>
      <c r="D30" s="1278"/>
      <c r="E30" s="1278"/>
      <c r="F30" s="670"/>
      <c r="G30" s="671"/>
      <c r="H30" s="526">
        <f aca="true" t="shared" si="6" ref="H30:L31">SUM(H31)</f>
        <v>13306</v>
      </c>
      <c r="I30" s="526">
        <f t="shared" si="6"/>
        <v>15850</v>
      </c>
      <c r="J30" s="672">
        <f t="shared" si="6"/>
        <v>15850</v>
      </c>
      <c r="K30" s="526">
        <f t="shared" si="6"/>
        <v>15850</v>
      </c>
      <c r="L30" s="526">
        <f t="shared" si="6"/>
        <v>15850</v>
      </c>
    </row>
    <row r="31" spans="1:12" ht="12.75">
      <c r="A31" s="332">
        <v>24</v>
      </c>
      <c r="B31" s="396"/>
      <c r="C31" s="425"/>
      <c r="D31" s="337" t="s">
        <v>214</v>
      </c>
      <c r="E31" s="364"/>
      <c r="F31" s="365"/>
      <c r="G31" s="553"/>
      <c r="H31" s="616">
        <f t="shared" si="6"/>
        <v>13306</v>
      </c>
      <c r="I31" s="616">
        <f t="shared" si="6"/>
        <v>15850</v>
      </c>
      <c r="J31" s="673">
        <f t="shared" si="6"/>
        <v>15850</v>
      </c>
      <c r="K31" s="616">
        <f t="shared" si="6"/>
        <v>15850</v>
      </c>
      <c r="L31" s="616">
        <f t="shared" si="6"/>
        <v>15850</v>
      </c>
    </row>
    <row r="32" spans="1:12" ht="12.75">
      <c r="A32" s="332">
        <v>25</v>
      </c>
      <c r="B32" s="396"/>
      <c r="C32" s="447" t="s">
        <v>459</v>
      </c>
      <c r="D32" s="370" t="s">
        <v>460</v>
      </c>
      <c r="E32" s="371"/>
      <c r="F32" s="372"/>
      <c r="G32" s="395"/>
      <c r="H32" s="580">
        <f>SUM(H33,H34,H35)</f>
        <v>13306</v>
      </c>
      <c r="I32" s="580">
        <f>SUM(I33,I34,I35)</f>
        <v>15850</v>
      </c>
      <c r="J32" s="674">
        <f>SUM(J33,J34,J35)</f>
        <v>15850</v>
      </c>
      <c r="K32" s="580">
        <f>SUM(K33,K34,K35)</f>
        <v>15850</v>
      </c>
      <c r="L32" s="580">
        <f>SUM(L33,L34,L35)</f>
        <v>15850</v>
      </c>
    </row>
    <row r="33" spans="1:12" ht="12.75">
      <c r="A33" s="332">
        <v>26</v>
      </c>
      <c r="B33" s="396"/>
      <c r="C33" s="425" t="s">
        <v>405</v>
      </c>
      <c r="D33" s="426" t="s">
        <v>250</v>
      </c>
      <c r="E33" s="630" t="s">
        <v>461</v>
      </c>
      <c r="F33" s="675"/>
      <c r="G33" s="676"/>
      <c r="H33" s="633">
        <f>výdavky!D362</f>
        <v>12426</v>
      </c>
      <c r="I33" s="633">
        <f>výdavky!E362</f>
        <v>14500</v>
      </c>
      <c r="J33" s="677">
        <f>výdavky!F362</f>
        <v>14500</v>
      </c>
      <c r="K33" s="633">
        <f>výdavky!G362</f>
        <v>14500</v>
      </c>
      <c r="L33" s="633">
        <f>výdavky!H362</f>
        <v>14500</v>
      </c>
    </row>
    <row r="34" spans="1:12" ht="12.75">
      <c r="A34" s="332">
        <v>27</v>
      </c>
      <c r="B34" s="396"/>
      <c r="C34" s="425" t="s">
        <v>405</v>
      </c>
      <c r="D34" s="426" t="s">
        <v>252</v>
      </c>
      <c r="E34" s="630" t="s">
        <v>462</v>
      </c>
      <c r="F34" s="675"/>
      <c r="G34" s="676"/>
      <c r="H34" s="633">
        <f>výdavky!D363</f>
        <v>880</v>
      </c>
      <c r="I34" s="633">
        <f>výdavky!E363</f>
        <v>1350</v>
      </c>
      <c r="J34" s="677">
        <f>výdavky!F363</f>
        <v>1350</v>
      </c>
      <c r="K34" s="633">
        <f>výdavky!G363</f>
        <v>1350</v>
      </c>
      <c r="L34" s="633">
        <f>výdavky!H363</f>
        <v>1350</v>
      </c>
    </row>
    <row r="35" spans="1:12" ht="12.75">
      <c r="A35" s="456">
        <v>28</v>
      </c>
      <c r="B35" s="582"/>
      <c r="C35" s="500"/>
      <c r="D35" s="501" t="s">
        <v>263</v>
      </c>
      <c r="E35" s="572" t="s">
        <v>463</v>
      </c>
      <c r="F35" s="573"/>
      <c r="G35" s="678"/>
      <c r="H35" s="679">
        <f>výdavky!D361</f>
        <v>0</v>
      </c>
      <c r="I35" s="679">
        <f>výdavky!E361</f>
        <v>0</v>
      </c>
      <c r="J35" s="680">
        <f>výdavky!F361</f>
        <v>0</v>
      </c>
      <c r="K35" s="679">
        <f>výdavky!G361</f>
        <v>0</v>
      </c>
      <c r="L35" s="679">
        <f>výdavky!H361</f>
        <v>0</v>
      </c>
    </row>
  </sheetData>
  <mergeCells count="4">
    <mergeCell ref="G3:L3"/>
    <mergeCell ref="D4:F6"/>
    <mergeCell ref="D27:E27"/>
    <mergeCell ref="C30:E30"/>
  </mergeCells>
  <printOptions/>
  <pageMargins left="0.7874015748031497" right="0.3937007874015748" top="0.7874015748031497" bottom="0.7874015748031497" header="0.5118110236220472" footer="0.5118110236220472"/>
  <pageSetup horizontalDpi="300" verticalDpi="3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A1">
      <selection activeCell="I33" sqref="I33"/>
    </sheetView>
  </sheetViews>
  <sheetFormatPr defaultColWidth="9.140625" defaultRowHeight="12.75"/>
  <cols>
    <col min="2" max="2" width="29.140625" style="0" customWidth="1"/>
    <col min="3" max="7" width="10.7109375" style="0" customWidth="1"/>
    <col min="9" max="9" width="11.57421875" style="0" customWidth="1"/>
  </cols>
  <sheetData>
    <row r="1" spans="1:7" ht="15.75">
      <c r="A1" s="1284" t="s">
        <v>464</v>
      </c>
      <c r="B1" s="1284"/>
      <c r="C1" s="1284"/>
      <c r="D1" s="1284"/>
      <c r="E1" s="1284"/>
      <c r="F1" s="1284"/>
      <c r="G1" s="1284"/>
    </row>
    <row r="2" spans="1:7" s="681" customFormat="1" ht="15.75">
      <c r="A2" s="1284"/>
      <c r="B2" s="1284"/>
      <c r="C2" s="1284"/>
      <c r="D2" s="1284"/>
      <c r="E2" s="1284"/>
      <c r="F2" s="1284"/>
      <c r="G2" s="1284"/>
    </row>
    <row r="3" spans="1:7" ht="12.75">
      <c r="A3" s="682"/>
      <c r="B3" s="682"/>
      <c r="C3" s="682"/>
      <c r="D3" s="682"/>
      <c r="E3" s="682"/>
      <c r="F3" s="683"/>
      <c r="G3" s="683"/>
    </row>
    <row r="4" spans="1:7" ht="12.75">
      <c r="A4" s="682"/>
      <c r="B4" s="682"/>
      <c r="C4" s="682"/>
      <c r="D4" s="682"/>
      <c r="E4" s="682"/>
      <c r="F4" s="683"/>
      <c r="G4" s="683"/>
    </row>
    <row r="5" spans="1:7" ht="12.75">
      <c r="A5" s="684" t="s">
        <v>465</v>
      </c>
      <c r="B5" s="685"/>
      <c r="C5" s="1285" t="s">
        <v>466</v>
      </c>
      <c r="D5" s="1285"/>
      <c r="E5" s="1285"/>
      <c r="F5" s="1285"/>
      <c r="G5" s="1285"/>
    </row>
    <row r="6" spans="1:7" ht="12.75">
      <c r="A6" s="686"/>
      <c r="B6" s="687"/>
      <c r="C6" s="688">
        <v>2011</v>
      </c>
      <c r="D6" s="688">
        <v>2012</v>
      </c>
      <c r="E6" s="688">
        <v>2013</v>
      </c>
      <c r="F6" s="689">
        <v>2014</v>
      </c>
      <c r="G6" s="689">
        <v>2015</v>
      </c>
    </row>
    <row r="7" spans="1:7" ht="12.75">
      <c r="A7" s="686"/>
      <c r="B7" s="687"/>
      <c r="C7" s="690" t="s">
        <v>208</v>
      </c>
      <c r="D7" s="690" t="s">
        <v>208</v>
      </c>
      <c r="E7" s="690" t="s">
        <v>208</v>
      </c>
      <c r="F7" s="690" t="s">
        <v>208</v>
      </c>
      <c r="G7" s="690" t="s">
        <v>208</v>
      </c>
    </row>
    <row r="8" spans="1:7" ht="12.75">
      <c r="A8" s="691"/>
      <c r="B8" s="692"/>
      <c r="C8" s="693">
        <v>-2</v>
      </c>
      <c r="D8" s="693">
        <v>-1</v>
      </c>
      <c r="E8" s="693">
        <v>1</v>
      </c>
      <c r="F8" s="694">
        <v>2</v>
      </c>
      <c r="G8" s="694">
        <v>3</v>
      </c>
    </row>
    <row r="9" spans="1:7" ht="12.75">
      <c r="A9" s="695" t="s">
        <v>467</v>
      </c>
      <c r="B9" s="696"/>
      <c r="C9" s="697"/>
      <c r="D9" s="697"/>
      <c r="E9" s="697"/>
      <c r="F9" s="698"/>
      <c r="G9" s="698"/>
    </row>
    <row r="10" spans="1:7" ht="12.75">
      <c r="A10" s="699" t="s">
        <v>1</v>
      </c>
      <c r="B10" s="700"/>
      <c r="C10" s="701">
        <v>1291907</v>
      </c>
      <c r="D10" s="701">
        <v>1370550</v>
      </c>
      <c r="E10" s="701">
        <v>1402752</v>
      </c>
      <c r="F10" s="701">
        <v>1396877</v>
      </c>
      <c r="G10" s="701">
        <v>1296877</v>
      </c>
    </row>
    <row r="11" spans="1:10" ht="12.75">
      <c r="A11" s="699" t="s">
        <v>85</v>
      </c>
      <c r="B11" s="700"/>
      <c r="C11" s="701">
        <v>720865</v>
      </c>
      <c r="D11" s="701">
        <v>421775</v>
      </c>
      <c r="E11" s="701">
        <v>640000</v>
      </c>
      <c r="F11" s="701">
        <v>0</v>
      </c>
      <c r="G11" s="701">
        <v>0</v>
      </c>
      <c r="H11" s="298"/>
      <c r="I11" s="622"/>
      <c r="J11" s="298"/>
    </row>
    <row r="12" spans="1:11" ht="12.75">
      <c r="A12" s="702" t="s">
        <v>468</v>
      </c>
      <c r="B12" s="703"/>
      <c r="C12" s="704">
        <v>246629</v>
      </c>
      <c r="D12" s="704">
        <v>310000</v>
      </c>
      <c r="E12" s="704">
        <v>0</v>
      </c>
      <c r="F12" s="704">
        <v>33987</v>
      </c>
      <c r="G12" s="704">
        <v>0</v>
      </c>
      <c r="H12" s="298"/>
      <c r="I12" s="301"/>
      <c r="J12" s="301"/>
      <c r="K12" s="298"/>
    </row>
    <row r="13" spans="1:10" ht="12.75">
      <c r="A13" s="705" t="s">
        <v>469</v>
      </c>
      <c r="B13" s="706"/>
      <c r="C13" s="707">
        <f>SUM(C10,C11,C12)</f>
        <v>2259401</v>
      </c>
      <c r="D13" s="707">
        <f>SUM(D10,D11,D12)</f>
        <v>2102325</v>
      </c>
      <c r="E13" s="707">
        <f>SUM(E10,E11,E12)</f>
        <v>2042752</v>
      </c>
      <c r="F13" s="707">
        <f>SUM(F10,F11,F12)</f>
        <v>1430864</v>
      </c>
      <c r="G13" s="707">
        <f>SUM(G10,G11,G12)</f>
        <v>1296877</v>
      </c>
      <c r="I13" s="708"/>
      <c r="J13" s="708"/>
    </row>
    <row r="14" spans="1:11" ht="12.75">
      <c r="A14" s="709"/>
      <c r="B14" s="710"/>
      <c r="C14" s="711"/>
      <c r="D14" s="711"/>
      <c r="E14" s="711"/>
      <c r="F14" s="711"/>
      <c r="G14" s="711"/>
      <c r="I14" s="708"/>
      <c r="J14" s="708"/>
      <c r="K14" s="298"/>
    </row>
    <row r="15" spans="1:10" ht="12.75">
      <c r="A15" s="712" t="s">
        <v>470</v>
      </c>
      <c r="B15" s="713"/>
      <c r="C15" s="701"/>
      <c r="D15" s="701"/>
      <c r="E15" s="701"/>
      <c r="F15" s="701"/>
      <c r="G15" s="701"/>
      <c r="I15" s="708"/>
      <c r="J15" s="708"/>
    </row>
    <row r="16" spans="1:9" ht="12.75">
      <c r="A16" s="702" t="s">
        <v>471</v>
      </c>
      <c r="B16" s="703"/>
      <c r="C16" s="704">
        <v>1275619</v>
      </c>
      <c r="D16" s="704">
        <v>1266696</v>
      </c>
      <c r="E16" s="704">
        <f>SUM('Program 1'!J8,'Program 2'!J8,'Program 3'!J8,'Program 4'!J8,'Program 5'!J8,'Program 6'!J8,'Program 7'!J8,'Program 8'!J8,'Program 9'!J8,'Program 10'!J8)</f>
        <v>1265892</v>
      </c>
      <c r="F16" s="704">
        <f>SUM('Program 1'!K8,'Program 2'!K8,'Program 3'!K8,'Program 4'!K8,'Program 5'!K8,'Program 6'!K8,'Program 7'!K8,'Program 8'!K8,'Program 9'!K8,'Program 10'!K8)</f>
        <v>1280864</v>
      </c>
      <c r="G16" s="704">
        <f>SUM('Program 1'!L8,'Program 2'!L8,'Program 3'!L8,'Program 4'!L8,'Program 5'!L8,'Program 6'!L8,'Program 7'!L8,'Program 8'!L8,'Program 9'!L8,'Program 10'!L8)</f>
        <v>1184805</v>
      </c>
      <c r="I16" s="298"/>
    </row>
    <row r="17" spans="1:10" ht="12.75">
      <c r="A17" s="699" t="s">
        <v>472</v>
      </c>
      <c r="B17" s="700"/>
      <c r="C17" s="701">
        <v>768466</v>
      </c>
      <c r="D17" s="701">
        <v>594050</v>
      </c>
      <c r="E17" s="701">
        <f>SUM('Program 1'!J9,'Program 2'!J9,'Program 3'!J9,'Program 4'!J9,'Program 5'!J9,'Program 6'!J9,'Program 7'!J9,'Program 8'!J9,'Program 9'!J9,'Program 10'!J9)</f>
        <v>565000</v>
      </c>
      <c r="F17" s="701">
        <f>SUM('Program 1'!K9,'Program 2'!K9,'Program 3'!K9,'Program 4'!K9,'Program 5'!K9,'Program 6'!K9,'Program 7'!K9,'Program 8'!K9,'Program 9'!K9,'Program 10'!K9)</f>
        <v>0</v>
      </c>
      <c r="G17" s="701">
        <f>SUM('Program 1'!L9,'Program 2'!L9,'Program 3'!L9,'Program 4'!L9,'Program 5'!L9,'Program 6'!L9,'Program 7'!L9,'Program 8'!L9,'Program 9'!L9,'Program 10'!L9)</f>
        <v>0</v>
      </c>
      <c r="H17" s="298"/>
      <c r="J17" s="298"/>
    </row>
    <row r="18" spans="1:10" ht="12.75">
      <c r="A18" s="714" t="s">
        <v>473</v>
      </c>
      <c r="B18" s="715"/>
      <c r="C18" s="704">
        <v>141494</v>
      </c>
      <c r="D18" s="704">
        <v>194795</v>
      </c>
      <c r="E18" s="704">
        <f>SUM('Program 1'!J10,'Program 2'!J10,'Program 3'!J10,'Program 4'!J10,'Program 5'!J10,'Program 6'!J10,'Program 7'!J10,'Program 8'!J10,'Program 9'!J10,'Program 10'!J10)</f>
        <v>160000</v>
      </c>
      <c r="F18" s="704">
        <f>SUM('Program 1'!K10,'Program 2'!K10,'Program 3'!K10,'Program 4'!K10,'Program 5'!K10,'Program 6'!K10,'Program 7'!K10,'Program 8'!K10,'Program 9'!K10,'Program 10'!K10)</f>
        <v>150000</v>
      </c>
      <c r="G18" s="704">
        <f>SUM('Program 1'!L10,'Program 2'!L10,'Program 3'!L10,'Program 4'!L10,'Program 5'!L10,'Program 6'!L10,'Program 7'!L10,'Program 8'!L10,'Program 9'!L10,'Program 10'!L10)</f>
        <v>0</v>
      </c>
      <c r="H18" s="298"/>
      <c r="J18" s="298"/>
    </row>
    <row r="19" spans="1:10" ht="12.75">
      <c r="A19" s="705" t="s">
        <v>474</v>
      </c>
      <c r="B19" s="716"/>
      <c r="C19" s="707">
        <f>SUM(C16,C17,C18)</f>
        <v>2185579</v>
      </c>
      <c r="D19" s="707">
        <f>SUM(D16,D17,D18)</f>
        <v>2055541</v>
      </c>
      <c r="E19" s="707">
        <f>SUM(E16,E17,E18)</f>
        <v>1990892</v>
      </c>
      <c r="F19" s="707">
        <f>SUM(F16,F17,F18)</f>
        <v>1430864</v>
      </c>
      <c r="G19" s="707">
        <f>SUM(G16,G17,G18)</f>
        <v>1184805</v>
      </c>
      <c r="H19" s="298"/>
      <c r="J19" s="298"/>
    </row>
    <row r="20" spans="1:7" ht="12.75">
      <c r="A20" s="717"/>
      <c r="B20" s="703"/>
      <c r="C20" s="704"/>
      <c r="D20" s="704"/>
      <c r="E20" s="704"/>
      <c r="F20" s="718"/>
      <c r="G20" s="704"/>
    </row>
    <row r="21" spans="1:7" ht="12.75">
      <c r="A21" s="1286" t="s">
        <v>475</v>
      </c>
      <c r="B21" s="1286"/>
      <c r="C21" s="719">
        <f>SUM(C13-C19)</f>
        <v>73822</v>
      </c>
      <c r="D21" s="719">
        <f>SUM(D13-D19)</f>
        <v>46784</v>
      </c>
      <c r="E21" s="719">
        <f>SUM(E13-E19)</f>
        <v>51860</v>
      </c>
      <c r="F21" s="719">
        <f>SUM(F13-F19)</f>
        <v>0</v>
      </c>
      <c r="G21" s="719">
        <f>SUM(G13-G19)</f>
        <v>112072</v>
      </c>
    </row>
    <row r="24" spans="1:7" ht="12.75">
      <c r="A24" s="684" t="s">
        <v>476</v>
      </c>
      <c r="B24" s="685"/>
      <c r="C24" s="1287" t="s">
        <v>466</v>
      </c>
      <c r="D24" s="1287"/>
      <c r="E24" s="1287"/>
      <c r="F24" s="1287"/>
      <c r="G24" s="1287"/>
    </row>
    <row r="25" spans="1:7" ht="12.75">
      <c r="A25" s="686"/>
      <c r="B25" s="687"/>
      <c r="C25" s="688">
        <v>2011</v>
      </c>
      <c r="D25" s="688">
        <v>2012</v>
      </c>
      <c r="E25" s="688">
        <v>2013</v>
      </c>
      <c r="F25" s="689">
        <v>2014</v>
      </c>
      <c r="G25" s="689">
        <v>2015</v>
      </c>
    </row>
    <row r="26" spans="1:7" ht="12.75">
      <c r="A26" s="686"/>
      <c r="B26" s="687"/>
      <c r="C26" s="690" t="s">
        <v>208</v>
      </c>
      <c r="D26" s="690" t="s">
        <v>208</v>
      </c>
      <c r="E26" s="690" t="s">
        <v>208</v>
      </c>
      <c r="F26" s="690" t="s">
        <v>208</v>
      </c>
      <c r="G26" s="690" t="s">
        <v>208</v>
      </c>
    </row>
    <row r="27" spans="1:7" ht="12.75">
      <c r="A27" s="691"/>
      <c r="B27" s="692"/>
      <c r="C27" s="720">
        <v>-2</v>
      </c>
      <c r="D27" s="720">
        <v>-1</v>
      </c>
      <c r="E27" s="720">
        <v>1</v>
      </c>
      <c r="F27" s="694">
        <v>2</v>
      </c>
      <c r="G27" s="694">
        <v>3</v>
      </c>
    </row>
    <row r="28" spans="1:7" ht="12.75">
      <c r="A28" s="1288" t="s">
        <v>1</v>
      </c>
      <c r="B28" s="1288"/>
      <c r="C28" s="721">
        <f>C10</f>
        <v>1291907</v>
      </c>
      <c r="D28" s="722">
        <f>D10</f>
        <v>1370550</v>
      </c>
      <c r="E28" s="722">
        <f>E10</f>
        <v>1402752</v>
      </c>
      <c r="F28" s="722">
        <f>F10</f>
        <v>1396877</v>
      </c>
      <c r="G28" s="723">
        <f>G10</f>
        <v>1296877</v>
      </c>
    </row>
    <row r="29" spans="1:7" ht="12.75">
      <c r="A29" s="1289" t="s">
        <v>471</v>
      </c>
      <c r="B29" s="1289"/>
      <c r="C29" s="724">
        <f>SUM(C16)</f>
        <v>1275619</v>
      </c>
      <c r="D29" s="725">
        <f>D16</f>
        <v>1266696</v>
      </c>
      <c r="E29" s="725">
        <f>E16</f>
        <v>1265892</v>
      </c>
      <c r="F29" s="725">
        <f>F16</f>
        <v>1280864</v>
      </c>
      <c r="G29" s="726">
        <f>G16</f>
        <v>1184805</v>
      </c>
    </row>
    <row r="30" spans="1:7" ht="12.75">
      <c r="A30" s="1290" t="s">
        <v>477</v>
      </c>
      <c r="B30" s="1290"/>
      <c r="C30" s="727">
        <f>C28-C29</f>
        <v>16288</v>
      </c>
      <c r="D30" s="728">
        <f>D28-D29</f>
        <v>103854</v>
      </c>
      <c r="E30" s="728">
        <f>E28-E29</f>
        <v>136860</v>
      </c>
      <c r="F30" s="728">
        <f>F28-F29</f>
        <v>116013</v>
      </c>
      <c r="G30" s="729">
        <f>G28-G29</f>
        <v>112072</v>
      </c>
    </row>
    <row r="31" spans="1:7" ht="12.75">
      <c r="A31" s="1291"/>
      <c r="B31" s="1291"/>
      <c r="C31" s="730"/>
      <c r="D31" s="730"/>
      <c r="E31" s="296"/>
      <c r="F31" s="296"/>
      <c r="G31" s="731"/>
    </row>
    <row r="32" spans="1:7" ht="12.75">
      <c r="A32" s="1292" t="s">
        <v>85</v>
      </c>
      <c r="B32" s="1292"/>
      <c r="C32" s="732">
        <f>C11</f>
        <v>720865</v>
      </c>
      <c r="D32" s="733">
        <f>D11</f>
        <v>421775</v>
      </c>
      <c r="E32" s="734">
        <f>SUM(E11)</f>
        <v>640000</v>
      </c>
      <c r="F32" s="734">
        <f>SUM(F11)</f>
        <v>0</v>
      </c>
      <c r="G32" s="735">
        <f>SUM(G11)</f>
        <v>0</v>
      </c>
    </row>
    <row r="33" spans="1:7" ht="12.75">
      <c r="A33" s="1289" t="s">
        <v>472</v>
      </c>
      <c r="B33" s="1289"/>
      <c r="C33" s="736">
        <f>C17</f>
        <v>768466</v>
      </c>
      <c r="D33" s="737">
        <f>D17</f>
        <v>594050</v>
      </c>
      <c r="E33" s="738">
        <f>SUM(E17)</f>
        <v>565000</v>
      </c>
      <c r="F33" s="738">
        <f>SUM(F17)</f>
        <v>0</v>
      </c>
      <c r="G33" s="739">
        <f>SUM(G17)</f>
        <v>0</v>
      </c>
    </row>
    <row r="34" spans="1:7" ht="12.75">
      <c r="A34" s="1290" t="s">
        <v>477</v>
      </c>
      <c r="B34" s="1290"/>
      <c r="C34" s="740">
        <f>C32-C33</f>
        <v>-47601</v>
      </c>
      <c r="D34" s="741">
        <f>D32-D33</f>
        <v>-172275</v>
      </c>
      <c r="E34" s="741">
        <f>E32-E33</f>
        <v>75000</v>
      </c>
      <c r="F34" s="741">
        <f>F32-F33</f>
        <v>0</v>
      </c>
      <c r="G34" s="742">
        <f>G32-G33</f>
        <v>0</v>
      </c>
    </row>
    <row r="35" spans="1:7" ht="12.75">
      <c r="A35" s="1291"/>
      <c r="B35" s="1291"/>
      <c r="C35" s="730"/>
      <c r="D35" s="730"/>
      <c r="E35" s="296"/>
      <c r="F35" s="296"/>
      <c r="G35" s="731"/>
    </row>
    <row r="36" spans="1:7" ht="12.75">
      <c r="A36" s="1292" t="s">
        <v>96</v>
      </c>
      <c r="B36" s="1292"/>
      <c r="C36" s="732">
        <f>C12</f>
        <v>246629</v>
      </c>
      <c r="D36" s="733">
        <f>D12</f>
        <v>310000</v>
      </c>
      <c r="E36" s="734">
        <f>SUM(E12)</f>
        <v>0</v>
      </c>
      <c r="F36" s="734">
        <f>F12</f>
        <v>33987</v>
      </c>
      <c r="G36" s="735">
        <f>SUM(G12)</f>
        <v>0</v>
      </c>
    </row>
    <row r="37" spans="1:7" ht="12.75">
      <c r="A37" s="1289" t="s">
        <v>478</v>
      </c>
      <c r="B37" s="1289"/>
      <c r="C37" s="736">
        <f>C18</f>
        <v>141494</v>
      </c>
      <c r="D37" s="737">
        <f>D18</f>
        <v>194795</v>
      </c>
      <c r="E37" s="738">
        <f>SUM(E18)</f>
        <v>160000</v>
      </c>
      <c r="F37" s="738">
        <f>F18</f>
        <v>150000</v>
      </c>
      <c r="G37" s="739">
        <f>SUM(G18)</f>
        <v>0</v>
      </c>
    </row>
    <row r="38" spans="1:7" ht="12.75">
      <c r="A38" s="1290" t="s">
        <v>477</v>
      </c>
      <c r="B38" s="1290"/>
      <c r="C38" s="740">
        <f>C36-C37</f>
        <v>105135</v>
      </c>
      <c r="D38" s="741">
        <f>D36-D37</f>
        <v>115205</v>
      </c>
      <c r="E38" s="741">
        <f>E36-E37</f>
        <v>-160000</v>
      </c>
      <c r="F38" s="741">
        <f>F36-F37</f>
        <v>-116013</v>
      </c>
      <c r="G38" s="742">
        <f>G36-G37</f>
        <v>0</v>
      </c>
    </row>
    <row r="39" spans="1:7" ht="12.75">
      <c r="A39" s="1291"/>
      <c r="B39" s="1291"/>
      <c r="C39" s="296"/>
      <c r="D39" s="296"/>
      <c r="E39" s="296"/>
      <c r="F39" s="296"/>
      <c r="G39" s="731"/>
    </row>
    <row r="40" spans="1:7" ht="12.75">
      <c r="A40" s="1292" t="s">
        <v>479</v>
      </c>
      <c r="B40" s="1292"/>
      <c r="C40" s="732">
        <f>C13</f>
        <v>2259401</v>
      </c>
      <c r="D40" s="733">
        <f>D13</f>
        <v>2102325</v>
      </c>
      <c r="E40" s="734">
        <f>SUM(E13)</f>
        <v>2042752</v>
      </c>
      <c r="F40" s="734">
        <f>F13</f>
        <v>1430864</v>
      </c>
      <c r="G40" s="735">
        <f>G13</f>
        <v>1296877</v>
      </c>
    </row>
    <row r="41" spans="1:7" ht="12.75">
      <c r="A41" s="1289" t="s">
        <v>480</v>
      </c>
      <c r="B41" s="1289"/>
      <c r="C41" s="736">
        <f>C19</f>
        <v>2185579</v>
      </c>
      <c r="D41" s="737">
        <f>D19</f>
        <v>2055541</v>
      </c>
      <c r="E41" s="738">
        <f>SUM(E19)</f>
        <v>1990892</v>
      </c>
      <c r="F41" s="738">
        <f>F19</f>
        <v>1430864</v>
      </c>
      <c r="G41" s="739">
        <f>G19</f>
        <v>1184805</v>
      </c>
    </row>
    <row r="42" spans="1:7" ht="12.75">
      <c r="A42" s="1293" t="s">
        <v>477</v>
      </c>
      <c r="B42" s="1293"/>
      <c r="C42" s="743">
        <f>C40-C41</f>
        <v>73822</v>
      </c>
      <c r="D42" s="744">
        <f>D40-D41</f>
        <v>46784</v>
      </c>
      <c r="E42" s="744">
        <f>E40-E41</f>
        <v>51860</v>
      </c>
      <c r="F42" s="744">
        <f>F40-F41</f>
        <v>0</v>
      </c>
      <c r="G42" s="745">
        <f>G40-G41</f>
        <v>112072</v>
      </c>
    </row>
  </sheetData>
  <mergeCells count="20">
    <mergeCell ref="A39:B39"/>
    <mergeCell ref="A40:B40"/>
    <mergeCell ref="A41:B41"/>
    <mergeCell ref="A42:B42"/>
    <mergeCell ref="A35:B35"/>
    <mergeCell ref="A36:B36"/>
    <mergeCell ref="A37:B37"/>
    <mergeCell ref="A38:B38"/>
    <mergeCell ref="A31:B31"/>
    <mergeCell ref="A32:B32"/>
    <mergeCell ref="A33:B33"/>
    <mergeCell ref="A34:B34"/>
    <mergeCell ref="C24:G24"/>
    <mergeCell ref="A28:B28"/>
    <mergeCell ref="A29:B29"/>
    <mergeCell ref="A30:B30"/>
    <mergeCell ref="A1:G1"/>
    <mergeCell ref="A2:G2"/>
    <mergeCell ref="C5:G5"/>
    <mergeCell ref="A21:B21"/>
  </mergeCells>
  <printOptions/>
  <pageMargins left="0.5905511811023623" right="0.3937007874015748" top="0.7874015748031497" bottom="0.7874015748031497" header="0.5118110236220472" footer="0.5118110236220472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I50"/>
  <sheetViews>
    <sheetView workbookViewId="0" topLeftCell="A19">
      <selection activeCell="E53" sqref="E53"/>
    </sheetView>
  </sheetViews>
  <sheetFormatPr defaultColWidth="9.140625" defaultRowHeight="12.75"/>
  <cols>
    <col min="1" max="1" width="10.00390625" style="0" customWidth="1"/>
    <col min="6" max="8" width="9.140625" style="298" customWidth="1"/>
    <col min="9" max="9" width="12.140625" style="0" customWidth="1"/>
  </cols>
  <sheetData>
    <row r="2" spans="1:9" ht="12.75">
      <c r="A2" s="1294" t="s">
        <v>481</v>
      </c>
      <c r="B2" s="1294"/>
      <c r="C2" s="1294"/>
      <c r="D2" s="1294"/>
      <c r="E2" s="1294"/>
      <c r="F2" s="1294"/>
      <c r="G2" s="1294"/>
      <c r="H2" s="1294"/>
      <c r="I2" s="1294"/>
    </row>
    <row r="3" spans="1:9" ht="12.75">
      <c r="A3" s="746"/>
      <c r="B3" s="746"/>
      <c r="C3" s="746"/>
      <c r="D3" s="746"/>
      <c r="E3" s="746"/>
      <c r="F3" s="747"/>
      <c r="G3" s="747"/>
      <c r="H3" s="747"/>
      <c r="I3" s="746"/>
    </row>
    <row r="4" spans="1:9" ht="12.75">
      <c r="A4" s="746"/>
      <c r="B4" s="746"/>
      <c r="C4" s="746"/>
      <c r="D4" s="746"/>
      <c r="E4" s="746"/>
      <c r="F4" s="747"/>
      <c r="G4" s="747"/>
      <c r="H4" s="747"/>
      <c r="I4" s="746"/>
    </row>
    <row r="5" spans="6:9" ht="12.75">
      <c r="F5" s="1295">
        <v>2012</v>
      </c>
      <c r="G5" s="1295">
        <v>2013</v>
      </c>
      <c r="H5" s="1296" t="s">
        <v>477</v>
      </c>
      <c r="I5" s="1296"/>
    </row>
    <row r="6" spans="6:9" ht="12.75">
      <c r="F6" s="1295"/>
      <c r="G6" s="1295"/>
      <c r="H6" s="749" t="s">
        <v>482</v>
      </c>
      <c r="I6" s="748" t="s">
        <v>483</v>
      </c>
    </row>
    <row r="7" spans="1:9" s="559" customFormat="1" ht="12.75">
      <c r="A7" s="1297" t="s">
        <v>484</v>
      </c>
      <c r="B7" s="750" t="s">
        <v>485</v>
      </c>
      <c r="C7" s="750"/>
      <c r="D7" s="750"/>
      <c r="E7" s="751"/>
      <c r="F7" s="752">
        <f>SUM(F8,F9,F10)</f>
        <v>380876</v>
      </c>
      <c r="G7" s="752">
        <f>SUM(G8,G9,G10)</f>
        <v>328242</v>
      </c>
      <c r="H7" s="752">
        <f aca="true" t="shared" si="0" ref="H7:H50">G7-F7</f>
        <v>-52634</v>
      </c>
      <c r="I7" s="753">
        <f aca="true" t="shared" si="1" ref="I7:I12">H7/F7*100</f>
        <v>-13.819195748747623</v>
      </c>
    </row>
    <row r="8" spans="1:9" ht="12.75">
      <c r="A8" s="1297"/>
      <c r="B8" s="754" t="s">
        <v>486</v>
      </c>
      <c r="C8" s="755"/>
      <c r="D8" s="755"/>
      <c r="E8" s="756"/>
      <c r="F8" s="734">
        <v>182881</v>
      </c>
      <c r="G8" s="734">
        <v>168242</v>
      </c>
      <c r="H8" s="734">
        <f t="shared" si="0"/>
        <v>-14639</v>
      </c>
      <c r="I8" s="757">
        <f t="shared" si="1"/>
        <v>-8.00465876717647</v>
      </c>
    </row>
    <row r="9" spans="1:9" ht="12.75">
      <c r="A9" s="1297"/>
      <c r="B9" s="758" t="s">
        <v>487</v>
      </c>
      <c r="C9" s="759"/>
      <c r="D9" s="760"/>
      <c r="E9" s="761"/>
      <c r="F9" s="738">
        <v>3200</v>
      </c>
      <c r="G9" s="738">
        <v>0</v>
      </c>
      <c r="H9" s="738">
        <f t="shared" si="0"/>
        <v>-3200</v>
      </c>
      <c r="I9" s="762">
        <f t="shared" si="1"/>
        <v>-100</v>
      </c>
    </row>
    <row r="10" spans="1:9" ht="12.75">
      <c r="A10" s="1297"/>
      <c r="B10" s="763" t="s">
        <v>488</v>
      </c>
      <c r="C10" s="764"/>
      <c r="D10" s="764"/>
      <c r="E10" s="765"/>
      <c r="F10" s="766">
        <v>194795</v>
      </c>
      <c r="G10" s="766">
        <v>160000</v>
      </c>
      <c r="H10" s="766">
        <f t="shared" si="0"/>
        <v>-34795</v>
      </c>
      <c r="I10" s="767">
        <f t="shared" si="1"/>
        <v>-17.862368130598835</v>
      </c>
    </row>
    <row r="11" spans="1:9" s="559" customFormat="1" ht="12.75">
      <c r="A11" s="1297" t="s">
        <v>489</v>
      </c>
      <c r="B11" s="750" t="s">
        <v>490</v>
      </c>
      <c r="C11" s="750"/>
      <c r="D11" s="750"/>
      <c r="E11" s="751"/>
      <c r="F11" s="752">
        <f>SUM(F12,F13,F14)</f>
        <v>520</v>
      </c>
      <c r="G11" s="752">
        <f>SUM(G12,G13,G14)</f>
        <v>520</v>
      </c>
      <c r="H11" s="752">
        <f t="shared" si="0"/>
        <v>0</v>
      </c>
      <c r="I11" s="753">
        <f t="shared" si="1"/>
        <v>0</v>
      </c>
    </row>
    <row r="12" spans="1:9" ht="12.75">
      <c r="A12" s="1297"/>
      <c r="B12" s="754" t="s">
        <v>486</v>
      </c>
      <c r="C12" s="755"/>
      <c r="D12" s="755"/>
      <c r="E12" s="756"/>
      <c r="F12" s="734">
        <v>520</v>
      </c>
      <c r="G12" s="734">
        <v>520</v>
      </c>
      <c r="H12" s="734">
        <f t="shared" si="0"/>
        <v>0</v>
      </c>
      <c r="I12" s="757">
        <f t="shared" si="1"/>
        <v>0</v>
      </c>
    </row>
    <row r="13" spans="1:9" ht="12.75">
      <c r="A13" s="1297"/>
      <c r="B13" s="758" t="s">
        <v>487</v>
      </c>
      <c r="C13" s="759"/>
      <c r="D13" s="760"/>
      <c r="E13" s="761"/>
      <c r="F13" s="738">
        <v>0</v>
      </c>
      <c r="G13" s="738">
        <v>0</v>
      </c>
      <c r="H13" s="738">
        <f t="shared" si="0"/>
        <v>0</v>
      </c>
      <c r="I13" s="762">
        <v>0</v>
      </c>
    </row>
    <row r="14" spans="1:9" ht="12.75">
      <c r="A14" s="1297"/>
      <c r="B14" s="763" t="s">
        <v>488</v>
      </c>
      <c r="C14" s="764"/>
      <c r="D14" s="764"/>
      <c r="E14" s="765"/>
      <c r="F14" s="766">
        <v>0</v>
      </c>
      <c r="G14" s="766">
        <v>0</v>
      </c>
      <c r="H14" s="766">
        <f t="shared" si="0"/>
        <v>0</v>
      </c>
      <c r="I14" s="767">
        <v>0</v>
      </c>
    </row>
    <row r="15" spans="1:9" s="559" customFormat="1" ht="12.75">
      <c r="A15" s="1297" t="s">
        <v>491</v>
      </c>
      <c r="B15" s="750" t="s">
        <v>492</v>
      </c>
      <c r="C15" s="750"/>
      <c r="D15" s="750"/>
      <c r="E15" s="751"/>
      <c r="F15" s="752">
        <f>SUM(F16,F17,F18)</f>
        <v>65339</v>
      </c>
      <c r="G15" s="752">
        <f>SUM(G16,G17,G18)</f>
        <v>55526</v>
      </c>
      <c r="H15" s="752">
        <f t="shared" si="0"/>
        <v>-9813</v>
      </c>
      <c r="I15" s="753">
        <f>H15/F15*100</f>
        <v>-15.01859532591561</v>
      </c>
    </row>
    <row r="16" spans="1:9" ht="12.75">
      <c r="A16" s="1297"/>
      <c r="B16" s="754" t="s">
        <v>486</v>
      </c>
      <c r="C16" s="755"/>
      <c r="D16" s="755"/>
      <c r="E16" s="756"/>
      <c r="F16" s="734">
        <v>58379</v>
      </c>
      <c r="G16" s="734">
        <v>55526</v>
      </c>
      <c r="H16" s="734">
        <f t="shared" si="0"/>
        <v>-2853</v>
      </c>
      <c r="I16" s="757">
        <f>H16/F16*100</f>
        <v>-4.887031295500095</v>
      </c>
    </row>
    <row r="17" spans="1:9" ht="12.75">
      <c r="A17" s="1297"/>
      <c r="B17" s="758" t="s">
        <v>487</v>
      </c>
      <c r="C17" s="759"/>
      <c r="D17" s="760"/>
      <c r="E17" s="761"/>
      <c r="F17" s="738">
        <v>6960</v>
      </c>
      <c r="G17" s="738">
        <v>0</v>
      </c>
      <c r="H17" s="738">
        <f t="shared" si="0"/>
        <v>-6960</v>
      </c>
      <c r="I17" s="762">
        <f>H17/F17*100</f>
        <v>-100</v>
      </c>
    </row>
    <row r="18" spans="1:9" ht="12.75">
      <c r="A18" s="1297"/>
      <c r="B18" s="763" t="s">
        <v>488</v>
      </c>
      <c r="C18" s="764"/>
      <c r="D18" s="764"/>
      <c r="E18" s="765"/>
      <c r="F18" s="766">
        <v>0</v>
      </c>
      <c r="G18" s="766">
        <v>0</v>
      </c>
      <c r="H18" s="766">
        <f t="shared" si="0"/>
        <v>0</v>
      </c>
      <c r="I18" s="767">
        <v>0</v>
      </c>
    </row>
    <row r="19" spans="1:9" s="559" customFormat="1" ht="12.75">
      <c r="A19" s="1297" t="s">
        <v>493</v>
      </c>
      <c r="B19" s="750" t="s">
        <v>494</v>
      </c>
      <c r="C19" s="750"/>
      <c r="D19" s="750"/>
      <c r="E19" s="751"/>
      <c r="F19" s="752">
        <f>SUM(F20,F21,F22)</f>
        <v>105169</v>
      </c>
      <c r="G19" s="752">
        <f>SUM(G20,G21,G22)</f>
        <v>107770</v>
      </c>
      <c r="H19" s="752">
        <f t="shared" si="0"/>
        <v>2601</v>
      </c>
      <c r="I19" s="753">
        <f>H19/F19*100</f>
        <v>2.4731622436269243</v>
      </c>
    </row>
    <row r="20" spans="1:9" ht="12.75">
      <c r="A20" s="1297"/>
      <c r="B20" s="754" t="s">
        <v>486</v>
      </c>
      <c r="C20" s="755"/>
      <c r="D20" s="755"/>
      <c r="E20" s="756"/>
      <c r="F20" s="734">
        <v>105169</v>
      </c>
      <c r="G20" s="734">
        <v>107770</v>
      </c>
      <c r="H20" s="734">
        <f t="shared" si="0"/>
        <v>2601</v>
      </c>
      <c r="I20" s="757">
        <f>H20/F20*100</f>
        <v>2.4731622436269243</v>
      </c>
    </row>
    <row r="21" spans="1:9" ht="12.75">
      <c r="A21" s="1297"/>
      <c r="B21" s="758" t="s">
        <v>487</v>
      </c>
      <c r="C21" s="759"/>
      <c r="D21" s="760"/>
      <c r="E21" s="761"/>
      <c r="F21" s="738">
        <v>0</v>
      </c>
      <c r="G21" s="738">
        <v>0</v>
      </c>
      <c r="H21" s="738">
        <f t="shared" si="0"/>
        <v>0</v>
      </c>
      <c r="I21" s="762">
        <v>0</v>
      </c>
    </row>
    <row r="22" spans="1:9" ht="12.75">
      <c r="A22" s="1297"/>
      <c r="B22" s="763" t="s">
        <v>488</v>
      </c>
      <c r="C22" s="764"/>
      <c r="D22" s="764"/>
      <c r="E22" s="765"/>
      <c r="F22" s="766">
        <v>0</v>
      </c>
      <c r="G22" s="766">
        <v>0</v>
      </c>
      <c r="H22" s="766">
        <f t="shared" si="0"/>
        <v>0</v>
      </c>
      <c r="I22" s="767">
        <v>0</v>
      </c>
    </row>
    <row r="23" spans="1:9" s="559" customFormat="1" ht="12.75">
      <c r="A23" s="1297" t="s">
        <v>495</v>
      </c>
      <c r="B23" s="750" t="s">
        <v>496</v>
      </c>
      <c r="C23" s="750"/>
      <c r="D23" s="750"/>
      <c r="E23" s="751"/>
      <c r="F23" s="752">
        <f>SUM(F24,F25,F26)</f>
        <v>97066</v>
      </c>
      <c r="G23" s="752">
        <f>SUM(G24,G25,G26)</f>
        <v>597000</v>
      </c>
      <c r="H23" s="752">
        <f t="shared" si="0"/>
        <v>499934</v>
      </c>
      <c r="I23" s="753">
        <f>H23/F23*100</f>
        <v>515.0454330043476</v>
      </c>
    </row>
    <row r="24" spans="1:9" ht="12.75">
      <c r="A24" s="1297"/>
      <c r="B24" s="754" t="s">
        <v>486</v>
      </c>
      <c r="C24" s="755"/>
      <c r="D24" s="755"/>
      <c r="E24" s="756"/>
      <c r="F24" s="734">
        <v>97066</v>
      </c>
      <c r="G24" s="734">
        <v>97000</v>
      </c>
      <c r="H24" s="734">
        <f t="shared" si="0"/>
        <v>-66</v>
      </c>
      <c r="I24" s="757">
        <f>H24/F24*100</f>
        <v>-0.06799497249294294</v>
      </c>
    </row>
    <row r="25" spans="1:9" ht="12.75">
      <c r="A25" s="1297"/>
      <c r="B25" s="758" t="s">
        <v>487</v>
      </c>
      <c r="C25" s="759"/>
      <c r="D25" s="760"/>
      <c r="E25" s="761"/>
      <c r="F25" s="738">
        <v>0</v>
      </c>
      <c r="G25" s="738">
        <v>500000</v>
      </c>
      <c r="H25" s="738">
        <f t="shared" si="0"/>
        <v>500000</v>
      </c>
      <c r="I25" s="762">
        <v>0</v>
      </c>
    </row>
    <row r="26" spans="1:9" ht="12.75">
      <c r="A26" s="1297"/>
      <c r="B26" s="763" t="s">
        <v>488</v>
      </c>
      <c r="C26" s="764"/>
      <c r="D26" s="764"/>
      <c r="E26" s="765"/>
      <c r="F26" s="766">
        <v>0</v>
      </c>
      <c r="G26" s="766">
        <v>0</v>
      </c>
      <c r="H26" s="766">
        <f t="shared" si="0"/>
        <v>0</v>
      </c>
      <c r="I26" s="767">
        <v>0</v>
      </c>
    </row>
    <row r="27" spans="1:9" s="559" customFormat="1" ht="12.75">
      <c r="A27" s="1297" t="s">
        <v>497</v>
      </c>
      <c r="B27" s="750" t="s">
        <v>498</v>
      </c>
      <c r="C27" s="750"/>
      <c r="D27" s="750"/>
      <c r="E27" s="751"/>
      <c r="F27" s="752">
        <f>SUM(F28,F29,F30)</f>
        <v>185361</v>
      </c>
      <c r="G27" s="752">
        <f>SUM(G28,G29,G30)</f>
        <v>81650</v>
      </c>
      <c r="H27" s="752">
        <f t="shared" si="0"/>
        <v>-103711</v>
      </c>
      <c r="I27" s="753">
        <f>H27/F27*100</f>
        <v>-55.95082029121552</v>
      </c>
    </row>
    <row r="28" spans="1:9" ht="12.75">
      <c r="A28" s="1297"/>
      <c r="B28" s="754" t="s">
        <v>486</v>
      </c>
      <c r="C28" s="755"/>
      <c r="D28" s="755"/>
      <c r="E28" s="756"/>
      <c r="F28" s="734">
        <v>37907</v>
      </c>
      <c r="G28" s="734">
        <v>16650</v>
      </c>
      <c r="H28" s="734">
        <f t="shared" si="0"/>
        <v>-21257</v>
      </c>
      <c r="I28" s="757">
        <f>H28/F28*100</f>
        <v>-56.07671406336561</v>
      </c>
    </row>
    <row r="29" spans="1:9" ht="12.75">
      <c r="A29" s="1297"/>
      <c r="B29" s="758" t="s">
        <v>487</v>
      </c>
      <c r="C29" s="759"/>
      <c r="D29" s="760"/>
      <c r="E29" s="761"/>
      <c r="F29" s="738">
        <v>147454</v>
      </c>
      <c r="G29" s="738">
        <v>65000</v>
      </c>
      <c r="H29" s="738">
        <f t="shared" si="0"/>
        <v>-82454</v>
      </c>
      <c r="I29" s="762">
        <f>H29/F29*100</f>
        <v>-55.918455925237694</v>
      </c>
    </row>
    <row r="30" spans="1:9" ht="12.75">
      <c r="A30" s="1297"/>
      <c r="B30" s="763" t="s">
        <v>488</v>
      </c>
      <c r="C30" s="764"/>
      <c r="D30" s="764"/>
      <c r="E30" s="765"/>
      <c r="F30" s="766">
        <v>0</v>
      </c>
      <c r="G30" s="766">
        <v>0</v>
      </c>
      <c r="H30" s="766">
        <f t="shared" si="0"/>
        <v>0</v>
      </c>
      <c r="I30" s="767">
        <v>0</v>
      </c>
    </row>
    <row r="31" spans="1:9" s="559" customFormat="1" ht="12.75">
      <c r="A31" s="1297" t="s">
        <v>499</v>
      </c>
      <c r="B31" s="750" t="s">
        <v>500</v>
      </c>
      <c r="C31" s="750"/>
      <c r="D31" s="750"/>
      <c r="E31" s="751"/>
      <c r="F31" s="752">
        <f>SUM(F32,F33,F34)</f>
        <v>18500</v>
      </c>
      <c r="G31" s="752">
        <f>SUM(G32,G33,G34)</f>
        <v>15500</v>
      </c>
      <c r="H31" s="752">
        <f t="shared" si="0"/>
        <v>-3000</v>
      </c>
      <c r="I31" s="753">
        <f>H31/F31*100</f>
        <v>-16.216216216216218</v>
      </c>
    </row>
    <row r="32" spans="1:9" ht="12.75">
      <c r="A32" s="1297"/>
      <c r="B32" s="754" t="s">
        <v>486</v>
      </c>
      <c r="C32" s="755"/>
      <c r="D32" s="755"/>
      <c r="E32" s="756"/>
      <c r="F32" s="734">
        <v>18500</v>
      </c>
      <c r="G32" s="734">
        <v>15500</v>
      </c>
      <c r="H32" s="734">
        <f t="shared" si="0"/>
        <v>-3000</v>
      </c>
      <c r="I32" s="757">
        <f>H32/F32*100</f>
        <v>-16.216216216216218</v>
      </c>
    </row>
    <row r="33" spans="1:9" ht="12.75">
      <c r="A33" s="1297"/>
      <c r="B33" s="758" t="s">
        <v>487</v>
      </c>
      <c r="C33" s="759"/>
      <c r="D33" s="760"/>
      <c r="E33" s="761"/>
      <c r="F33" s="738">
        <v>0</v>
      </c>
      <c r="G33" s="738">
        <v>0</v>
      </c>
      <c r="H33" s="738">
        <f t="shared" si="0"/>
        <v>0</v>
      </c>
      <c r="I33" s="762">
        <v>0</v>
      </c>
    </row>
    <row r="34" spans="1:9" ht="12.75">
      <c r="A34" s="1297"/>
      <c r="B34" s="763" t="s">
        <v>488</v>
      </c>
      <c r="C34" s="764"/>
      <c r="D34" s="764"/>
      <c r="E34" s="765"/>
      <c r="F34" s="766">
        <v>0</v>
      </c>
      <c r="G34" s="766">
        <v>0</v>
      </c>
      <c r="H34" s="766">
        <f t="shared" si="0"/>
        <v>0</v>
      </c>
      <c r="I34" s="767">
        <v>0</v>
      </c>
    </row>
    <row r="35" spans="1:9" s="559" customFormat="1" ht="12.75">
      <c r="A35" s="1297" t="s">
        <v>501</v>
      </c>
      <c r="B35" s="750" t="s">
        <v>502</v>
      </c>
      <c r="C35" s="750"/>
      <c r="D35" s="750"/>
      <c r="E35" s="751"/>
      <c r="F35" s="752">
        <f>SUM(F36,F37,F38)</f>
        <v>58600</v>
      </c>
      <c r="G35" s="752">
        <f>SUM(G36,G37,G38)</f>
        <v>59000</v>
      </c>
      <c r="H35" s="752">
        <f t="shared" si="0"/>
        <v>400</v>
      </c>
      <c r="I35" s="753">
        <f>H35/F35*100</f>
        <v>0.6825938566552902</v>
      </c>
    </row>
    <row r="36" spans="1:9" ht="12.75">
      <c r="A36" s="1297"/>
      <c r="B36" s="754" t="s">
        <v>486</v>
      </c>
      <c r="C36" s="755"/>
      <c r="D36" s="755"/>
      <c r="E36" s="756"/>
      <c r="F36" s="734">
        <v>58600</v>
      </c>
      <c r="G36" s="734">
        <v>59000</v>
      </c>
      <c r="H36" s="734">
        <f t="shared" si="0"/>
        <v>400</v>
      </c>
      <c r="I36" s="757">
        <f>H36/F36*100</f>
        <v>0.6825938566552902</v>
      </c>
    </row>
    <row r="37" spans="1:9" ht="12.75">
      <c r="A37" s="1297"/>
      <c r="B37" s="758" t="s">
        <v>487</v>
      </c>
      <c r="C37" s="759"/>
      <c r="D37" s="760"/>
      <c r="E37" s="761"/>
      <c r="F37" s="738">
        <v>0</v>
      </c>
      <c r="G37" s="738">
        <v>0</v>
      </c>
      <c r="H37" s="738">
        <f t="shared" si="0"/>
        <v>0</v>
      </c>
      <c r="I37" s="762">
        <v>0</v>
      </c>
    </row>
    <row r="38" spans="1:9" ht="12.75">
      <c r="A38" s="1297"/>
      <c r="B38" s="763" t="s">
        <v>488</v>
      </c>
      <c r="C38" s="764"/>
      <c r="D38" s="764"/>
      <c r="E38" s="765"/>
      <c r="F38" s="766">
        <v>0</v>
      </c>
      <c r="G38" s="766">
        <v>0</v>
      </c>
      <c r="H38" s="766">
        <f t="shared" si="0"/>
        <v>0</v>
      </c>
      <c r="I38" s="767">
        <v>0</v>
      </c>
    </row>
    <row r="39" spans="1:9" s="559" customFormat="1" ht="12.75">
      <c r="A39" s="1297" t="s">
        <v>503</v>
      </c>
      <c r="B39" s="750" t="s">
        <v>504</v>
      </c>
      <c r="C39" s="750"/>
      <c r="D39" s="750"/>
      <c r="E39" s="751"/>
      <c r="F39" s="752">
        <f>SUM(F40,F41,F42)</f>
        <v>1105772</v>
      </c>
      <c r="G39" s="752">
        <f>SUM(G40,G41,G42)</f>
        <v>708334</v>
      </c>
      <c r="H39" s="752">
        <f t="shared" si="0"/>
        <v>-397438</v>
      </c>
      <c r="I39" s="753">
        <f>H39/F39*100</f>
        <v>-35.94212911884186</v>
      </c>
    </row>
    <row r="40" spans="1:9" ht="12.75">
      <c r="A40" s="1297"/>
      <c r="B40" s="754" t="s">
        <v>486</v>
      </c>
      <c r="C40" s="755"/>
      <c r="D40" s="755"/>
      <c r="E40" s="756"/>
      <c r="F40" s="734">
        <v>669336</v>
      </c>
      <c r="G40" s="734">
        <v>708334</v>
      </c>
      <c r="H40" s="734">
        <f t="shared" si="0"/>
        <v>38998</v>
      </c>
      <c r="I40" s="757">
        <f>H40/F40*100</f>
        <v>5.826371209676456</v>
      </c>
    </row>
    <row r="41" spans="1:9" ht="12.75">
      <c r="A41" s="1297"/>
      <c r="B41" s="758" t="s">
        <v>487</v>
      </c>
      <c r="C41" s="759"/>
      <c r="D41" s="760"/>
      <c r="E41" s="761"/>
      <c r="F41" s="738">
        <v>436436</v>
      </c>
      <c r="G41" s="738">
        <v>0</v>
      </c>
      <c r="H41" s="738">
        <f t="shared" si="0"/>
        <v>-436436</v>
      </c>
      <c r="I41" s="762">
        <f>H41/F41*100</f>
        <v>-100</v>
      </c>
    </row>
    <row r="42" spans="1:9" ht="12.75">
      <c r="A42" s="1297"/>
      <c r="B42" s="763" t="s">
        <v>488</v>
      </c>
      <c r="C42" s="764"/>
      <c r="D42" s="764"/>
      <c r="E42" s="765"/>
      <c r="F42" s="766">
        <v>0</v>
      </c>
      <c r="G42" s="766">
        <v>0</v>
      </c>
      <c r="H42" s="766">
        <f t="shared" si="0"/>
        <v>0</v>
      </c>
      <c r="I42" s="767">
        <v>0</v>
      </c>
    </row>
    <row r="43" spans="1:9" s="559" customFormat="1" ht="12.75">
      <c r="A43" s="1297" t="s">
        <v>505</v>
      </c>
      <c r="B43" s="750" t="s">
        <v>506</v>
      </c>
      <c r="C43" s="750"/>
      <c r="D43" s="750"/>
      <c r="E43" s="751"/>
      <c r="F43" s="752">
        <f>SUM(F44,F45,F46)</f>
        <v>40650</v>
      </c>
      <c r="G43" s="752">
        <f>SUM(G44,G45,G46)</f>
        <v>37350</v>
      </c>
      <c r="H43" s="752">
        <f t="shared" si="0"/>
        <v>-3300</v>
      </c>
      <c r="I43" s="753">
        <f>H43/F43*100</f>
        <v>-8.118081180811808</v>
      </c>
    </row>
    <row r="44" spans="1:9" ht="12.75">
      <c r="A44" s="1297"/>
      <c r="B44" s="754" t="s">
        <v>486</v>
      </c>
      <c r="C44" s="755"/>
      <c r="D44" s="755"/>
      <c r="E44" s="756"/>
      <c r="F44" s="734">
        <v>40650</v>
      </c>
      <c r="G44" s="734">
        <v>37350</v>
      </c>
      <c r="H44" s="734">
        <f t="shared" si="0"/>
        <v>-3300</v>
      </c>
      <c r="I44" s="757">
        <f>H44/F44*100</f>
        <v>-8.118081180811808</v>
      </c>
    </row>
    <row r="45" spans="1:9" ht="12.75">
      <c r="A45" s="1297"/>
      <c r="B45" s="758" t="s">
        <v>487</v>
      </c>
      <c r="C45" s="759"/>
      <c r="D45" s="760"/>
      <c r="E45" s="761"/>
      <c r="F45" s="738">
        <v>0</v>
      </c>
      <c r="G45" s="738">
        <v>0</v>
      </c>
      <c r="H45" s="738">
        <f t="shared" si="0"/>
        <v>0</v>
      </c>
      <c r="I45" s="762">
        <v>0</v>
      </c>
    </row>
    <row r="46" spans="1:9" ht="12.75">
      <c r="A46" s="1297"/>
      <c r="B46" s="763" t="s">
        <v>488</v>
      </c>
      <c r="C46" s="764"/>
      <c r="D46" s="764"/>
      <c r="E46" s="765"/>
      <c r="F46" s="766">
        <v>0</v>
      </c>
      <c r="G46" s="766">
        <v>0</v>
      </c>
      <c r="H46" s="766">
        <f t="shared" si="0"/>
        <v>0</v>
      </c>
      <c r="I46" s="767">
        <v>0</v>
      </c>
    </row>
    <row r="47" spans="1:9" ht="12.75">
      <c r="A47" s="1298" t="s">
        <v>507</v>
      </c>
      <c r="B47" s="768" t="s">
        <v>486</v>
      </c>
      <c r="C47" s="769"/>
      <c r="D47" s="769"/>
      <c r="E47" s="770"/>
      <c r="F47" s="771">
        <f aca="true" t="shared" si="2" ref="F47:G49">SUM(F8,F12,F16,F20,F24,F28,F32,F36,F40,F44)</f>
        <v>1269008</v>
      </c>
      <c r="G47" s="772">
        <f t="shared" si="2"/>
        <v>1265892</v>
      </c>
      <c r="H47" s="771">
        <f t="shared" si="0"/>
        <v>-3116</v>
      </c>
      <c r="I47" s="773">
        <f>H47/F47*100</f>
        <v>-0.24554612736877943</v>
      </c>
    </row>
    <row r="48" spans="1:9" ht="12.75">
      <c r="A48" s="1298"/>
      <c r="B48" s="774" t="s">
        <v>487</v>
      </c>
      <c r="C48" s="775"/>
      <c r="D48" s="775"/>
      <c r="E48" s="776"/>
      <c r="F48" s="777">
        <f t="shared" si="2"/>
        <v>594050</v>
      </c>
      <c r="G48" s="778">
        <f t="shared" si="2"/>
        <v>565000</v>
      </c>
      <c r="H48" s="777">
        <f t="shared" si="0"/>
        <v>-29050</v>
      </c>
      <c r="I48" s="779">
        <f>H48/F48*100</f>
        <v>-4.890160760878714</v>
      </c>
    </row>
    <row r="49" spans="1:9" ht="12.75">
      <c r="A49" s="1298"/>
      <c r="B49" s="780" t="s">
        <v>488</v>
      </c>
      <c r="C49" s="781"/>
      <c r="D49" s="781"/>
      <c r="E49" s="782"/>
      <c r="F49" s="783">
        <f t="shared" si="2"/>
        <v>194795</v>
      </c>
      <c r="G49" s="784">
        <f t="shared" si="2"/>
        <v>160000</v>
      </c>
      <c r="H49" s="783">
        <f t="shared" si="0"/>
        <v>-34795</v>
      </c>
      <c r="I49" s="785">
        <f>H49/F49*100</f>
        <v>-17.862368130598835</v>
      </c>
    </row>
    <row r="50" spans="1:9" ht="12.75">
      <c r="A50" s="1298"/>
      <c r="B50" s="786" t="s">
        <v>508</v>
      </c>
      <c r="C50" s="787"/>
      <c r="D50" s="787"/>
      <c r="E50" s="788"/>
      <c r="F50" s="789">
        <f>SUM(F47,F48,F49)</f>
        <v>2057853</v>
      </c>
      <c r="G50" s="790">
        <f>SUM(G47,G48,G49)</f>
        <v>1990892</v>
      </c>
      <c r="H50" s="789">
        <f t="shared" si="0"/>
        <v>-66961</v>
      </c>
      <c r="I50" s="791">
        <f>H50/F50*100</f>
        <v>-3.2539253289715053</v>
      </c>
    </row>
  </sheetData>
  <mergeCells count="15">
    <mergeCell ref="A39:A42"/>
    <mergeCell ref="A43:A46"/>
    <mergeCell ref="A47:A50"/>
    <mergeCell ref="A23:A26"/>
    <mergeCell ref="A27:A30"/>
    <mergeCell ref="A31:A34"/>
    <mergeCell ref="A35:A38"/>
    <mergeCell ref="A7:A10"/>
    <mergeCell ref="A11:A14"/>
    <mergeCell ref="A15:A18"/>
    <mergeCell ref="A19:A22"/>
    <mergeCell ref="A2:I2"/>
    <mergeCell ref="F5:F6"/>
    <mergeCell ref="G5:G6"/>
    <mergeCell ref="H5:I5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V452"/>
  <sheetViews>
    <sheetView tabSelected="1" workbookViewId="0" topLeftCell="A424">
      <selection activeCell="G18" sqref="G18"/>
    </sheetView>
  </sheetViews>
  <sheetFormatPr defaultColWidth="9.140625" defaultRowHeight="12.75"/>
  <cols>
    <col min="1" max="1" width="5.28125" style="53" customWidth="1"/>
    <col min="2" max="2" width="4.57421875" style="53" customWidth="1"/>
    <col min="3" max="3" width="39.57421875" style="53" customWidth="1"/>
    <col min="4" max="4" width="10.7109375" style="53" customWidth="1"/>
    <col min="5" max="7" width="10.7109375" style="792" customWidth="1"/>
    <col min="8" max="8" width="10.7109375" style="793" customWidth="1"/>
    <col min="9" max="13" width="10.7109375" style="57" customWidth="1"/>
    <col min="14" max="14" width="19.8515625" style="53" customWidth="1"/>
    <col min="15" max="15" width="9.140625" style="53" customWidth="1"/>
    <col min="16" max="16384" width="9.00390625" style="53" customWidth="1"/>
  </cols>
  <sheetData>
    <row r="1" spans="1:13" ht="15.75">
      <c r="A1" s="1299" t="s">
        <v>509</v>
      </c>
      <c r="B1" s="1299"/>
      <c r="C1" s="1299"/>
      <c r="D1" s="1299"/>
      <c r="E1" s="1299"/>
      <c r="F1" s="1299"/>
      <c r="G1" s="1299"/>
      <c r="H1" s="1299"/>
      <c r="I1" s="794"/>
      <c r="J1" s="794"/>
      <c r="K1" s="794"/>
      <c r="L1" s="794"/>
      <c r="M1" s="794"/>
    </row>
    <row r="3" spans="3:4" ht="12.75">
      <c r="C3" s="795" t="s">
        <v>471</v>
      </c>
      <c r="D3" s="795"/>
    </row>
    <row r="4" spans="6:13" ht="12.75">
      <c r="F4" s="1273" t="s">
        <v>510</v>
      </c>
      <c r="G4" s="1273"/>
      <c r="H4" s="1273"/>
      <c r="I4" s="260"/>
      <c r="J4" s="260"/>
      <c r="K4" s="260"/>
      <c r="L4" s="260"/>
      <c r="M4" s="260"/>
    </row>
    <row r="5" spans="1:7" ht="15.75" hidden="1">
      <c r="A5" s="1266"/>
      <c r="B5" s="1266"/>
      <c r="C5" s="1266"/>
      <c r="D5" s="1266"/>
      <c r="E5" s="1266"/>
      <c r="F5" s="796"/>
      <c r="G5" s="796" t="s">
        <v>482</v>
      </c>
    </row>
    <row r="6" spans="1:14" s="801" customFormat="1" ht="12.75">
      <c r="A6" s="1018" t="s">
        <v>471</v>
      </c>
      <c r="B6" s="1019"/>
      <c r="C6" s="1020"/>
      <c r="D6" s="1021">
        <v>2011</v>
      </c>
      <c r="E6" s="1303">
        <v>2012</v>
      </c>
      <c r="F6" s="1331">
        <v>2013</v>
      </c>
      <c r="G6" s="1317">
        <v>2014</v>
      </c>
      <c r="H6" s="1024">
        <v>2015</v>
      </c>
      <c r="I6" s="797"/>
      <c r="J6" s="75"/>
      <c r="K6" s="797"/>
      <c r="L6" s="798"/>
      <c r="M6" s="799"/>
      <c r="N6" s="800"/>
    </row>
    <row r="7" spans="1:14" s="54" customFormat="1" ht="12.75">
      <c r="A7" s="1025" t="s">
        <v>511</v>
      </c>
      <c r="B7" s="802"/>
      <c r="C7" s="803"/>
      <c r="D7" s="804">
        <f>SUM(D8,D11,D12)</f>
        <v>164503</v>
      </c>
      <c r="E7" s="1304">
        <f>SUM(E8,E11,E12)</f>
        <v>159046.3</v>
      </c>
      <c r="F7" s="1332">
        <f>F8+F11+F12</f>
        <v>143377</v>
      </c>
      <c r="G7" s="1318">
        <f>G8+G11+G12</f>
        <v>145470</v>
      </c>
      <c r="H7" s="1026">
        <f>H8+H11+H12</f>
        <v>144970</v>
      </c>
      <c r="I7" s="246"/>
      <c r="J7" s="246"/>
      <c r="K7" s="246"/>
      <c r="L7" s="805"/>
      <c r="M7" s="805"/>
      <c r="N7" s="806"/>
    </row>
    <row r="8" spans="1:13" s="150" customFormat="1" ht="11.25">
      <c r="A8" s="1029">
        <v>610</v>
      </c>
      <c r="B8" s="807"/>
      <c r="C8" s="808" t="s">
        <v>512</v>
      </c>
      <c r="D8" s="809">
        <v>50662</v>
      </c>
      <c r="E8" s="1305">
        <v>50000</v>
      </c>
      <c r="F8" s="1333">
        <v>50000</v>
      </c>
      <c r="G8" s="1319">
        <v>55000</v>
      </c>
      <c r="H8" s="1030">
        <v>55000</v>
      </c>
      <c r="I8" s="220"/>
      <c r="J8" s="220"/>
      <c r="K8" s="220"/>
      <c r="M8" s="158"/>
    </row>
    <row r="9" spans="1:13" s="150" customFormat="1" ht="11.25">
      <c r="A9" s="1031">
        <v>610</v>
      </c>
      <c r="B9" s="807"/>
      <c r="C9" s="810" t="s">
        <v>513</v>
      </c>
      <c r="D9" s="811">
        <v>2662</v>
      </c>
      <c r="E9" s="1306">
        <v>353.73</v>
      </c>
      <c r="F9" s="1334">
        <v>0</v>
      </c>
      <c r="G9" s="1320">
        <v>0</v>
      </c>
      <c r="H9" s="1032">
        <v>0</v>
      </c>
      <c r="I9" s="220"/>
      <c r="J9" s="812"/>
      <c r="K9" s="220"/>
      <c r="L9" s="800"/>
      <c r="M9" s="158"/>
    </row>
    <row r="10" spans="1:13" s="150" customFormat="1" ht="11.25">
      <c r="A10" s="1033">
        <v>625</v>
      </c>
      <c r="B10" s="813" t="s">
        <v>104</v>
      </c>
      <c r="C10" s="814" t="s">
        <v>514</v>
      </c>
      <c r="D10" s="815">
        <v>24</v>
      </c>
      <c r="E10" s="1307">
        <v>0</v>
      </c>
      <c r="F10" s="1335">
        <v>0</v>
      </c>
      <c r="G10" s="1321">
        <v>0</v>
      </c>
      <c r="H10" s="1034">
        <v>0</v>
      </c>
      <c r="I10" s="220"/>
      <c r="J10" s="220"/>
      <c r="K10" s="220"/>
      <c r="L10" s="800"/>
      <c r="M10" s="158"/>
    </row>
    <row r="11" spans="1:13" ht="12.75">
      <c r="A11" s="1029">
        <v>620</v>
      </c>
      <c r="B11" s="100"/>
      <c r="C11" s="100" t="s">
        <v>226</v>
      </c>
      <c r="D11" s="273">
        <v>17142</v>
      </c>
      <c r="E11" s="1308">
        <v>18000</v>
      </c>
      <c r="F11" s="1336">
        <v>18000</v>
      </c>
      <c r="G11" s="1322">
        <v>20000</v>
      </c>
      <c r="H11" s="1035">
        <v>20000</v>
      </c>
      <c r="I11" s="220"/>
      <c r="J11" s="220"/>
      <c r="K11" s="220"/>
      <c r="L11" s="150"/>
      <c r="M11" s="158"/>
    </row>
    <row r="12" spans="1:15" s="57" customFormat="1" ht="12.75">
      <c r="A12" s="1036">
        <v>630</v>
      </c>
      <c r="B12" s="816"/>
      <c r="C12" s="816" t="s">
        <v>397</v>
      </c>
      <c r="D12" s="817">
        <f>D13+D14+D16+D29+D36+D40+D48+D65</f>
        <v>96699</v>
      </c>
      <c r="E12" s="1309">
        <f>E13+E14+E16+E29+E36+E40+E48+E65</f>
        <v>91046.29999999999</v>
      </c>
      <c r="F12" s="1337">
        <f>F13+F14+F16+F29+F36+F40+F48+F65</f>
        <v>75377</v>
      </c>
      <c r="G12" s="1323">
        <f>G13+G14+G16+G29+G36+G40+G48+G65</f>
        <v>70470</v>
      </c>
      <c r="H12" s="1037">
        <f>H13+H14+H16+H29+H36+H40+H48+H65</f>
        <v>69970</v>
      </c>
      <c r="I12" s="257"/>
      <c r="J12" s="257"/>
      <c r="K12" s="257"/>
      <c r="L12" s="159"/>
      <c r="M12" s="159"/>
      <c r="O12" s="58"/>
    </row>
    <row r="13" spans="1:13" s="57" customFormat="1" ht="12.75">
      <c r="A13" s="1038" t="s">
        <v>515</v>
      </c>
      <c r="B13" s="818"/>
      <c r="C13" s="818" t="s">
        <v>228</v>
      </c>
      <c r="D13" s="819">
        <v>15</v>
      </c>
      <c r="E13" s="1310">
        <v>20</v>
      </c>
      <c r="F13" s="1338">
        <v>20</v>
      </c>
      <c r="G13" s="1324">
        <v>20</v>
      </c>
      <c r="H13" s="1039">
        <v>20</v>
      </c>
      <c r="I13" s="220"/>
      <c r="J13" s="820"/>
      <c r="K13" s="220"/>
      <c r="L13" s="821"/>
      <c r="M13" s="822"/>
    </row>
    <row r="14" spans="1:13" s="57" customFormat="1" ht="12.75">
      <c r="A14" s="1040">
        <v>632</v>
      </c>
      <c r="B14" s="823"/>
      <c r="C14" s="823" t="s">
        <v>516</v>
      </c>
      <c r="D14" s="819">
        <v>15852</v>
      </c>
      <c r="E14" s="1310">
        <v>14000</v>
      </c>
      <c r="F14" s="1338">
        <v>14000</v>
      </c>
      <c r="G14" s="1324">
        <v>15000</v>
      </c>
      <c r="H14" s="1039">
        <v>15000</v>
      </c>
      <c r="I14" s="220"/>
      <c r="J14" s="820"/>
      <c r="K14" s="220"/>
      <c r="L14" s="821"/>
      <c r="M14" s="822"/>
    </row>
    <row r="15" spans="1:13" s="828" customFormat="1" ht="12.75">
      <c r="A15" s="1041">
        <v>632</v>
      </c>
      <c r="B15" s="824" t="s">
        <v>517</v>
      </c>
      <c r="C15" s="825"/>
      <c r="D15" s="815">
        <v>35</v>
      </c>
      <c r="E15" s="1307">
        <v>35</v>
      </c>
      <c r="F15" s="1335">
        <v>0</v>
      </c>
      <c r="G15" s="1321">
        <v>0</v>
      </c>
      <c r="H15" s="1034">
        <v>0</v>
      </c>
      <c r="I15" s="812"/>
      <c r="J15" s="812"/>
      <c r="K15" s="812"/>
      <c r="L15" s="826"/>
      <c r="M15" s="827"/>
    </row>
    <row r="16" spans="1:13" s="57" customFormat="1" ht="12.75">
      <c r="A16" s="1042">
        <v>633</v>
      </c>
      <c r="B16" s="829"/>
      <c r="C16" s="829" t="s">
        <v>518</v>
      </c>
      <c r="D16" s="830">
        <f>SUM(D17,D18,D19,D20,D21,D23,D24,D25,D26,D27,D22)</f>
        <v>12896</v>
      </c>
      <c r="E16" s="1311">
        <f>SUM(E17,E18,E19,E20,E21,E23,E24,E25,E26,E27,E22)</f>
        <v>11600</v>
      </c>
      <c r="F16" s="1339">
        <f>SUM(F17,F18,F19,F20,F21,F23,F24,F25,F26,F27,F22)</f>
        <v>10600</v>
      </c>
      <c r="G16" s="1325">
        <f>SUM(G17,G18,G19,G20,G21,G23,G24,G25,G26,G27,G22)</f>
        <v>11000</v>
      </c>
      <c r="H16" s="1043">
        <f>SUM(H17,H18,H19,H20,H21,H23,H24,H25,H26,H27,H22)</f>
        <v>11000</v>
      </c>
      <c r="I16" s="831"/>
      <c r="J16" s="831"/>
      <c r="K16" s="831"/>
      <c r="L16" s="832"/>
      <c r="M16" s="832"/>
    </row>
    <row r="17" spans="1:13" s="57" customFormat="1" ht="12.75">
      <c r="A17" s="1044">
        <v>633</v>
      </c>
      <c r="B17" s="833" t="s">
        <v>106</v>
      </c>
      <c r="C17" s="833" t="s">
        <v>519</v>
      </c>
      <c r="D17" s="273">
        <v>0</v>
      </c>
      <c r="E17" s="1308">
        <v>0</v>
      </c>
      <c r="F17" s="1336">
        <v>0</v>
      </c>
      <c r="G17" s="1322">
        <v>0</v>
      </c>
      <c r="H17" s="1035">
        <v>0</v>
      </c>
      <c r="I17" s="220"/>
      <c r="J17" s="220"/>
      <c r="K17" s="220"/>
      <c r="L17" s="150"/>
      <c r="M17" s="158"/>
    </row>
    <row r="18" spans="1:13" ht="12.75">
      <c r="A18" s="1029">
        <v>633</v>
      </c>
      <c r="B18" s="834" t="s">
        <v>109</v>
      </c>
      <c r="C18" s="100" t="s">
        <v>520</v>
      </c>
      <c r="D18" s="273">
        <v>225</v>
      </c>
      <c r="E18" s="1308">
        <v>200</v>
      </c>
      <c r="F18" s="1336">
        <v>200</v>
      </c>
      <c r="G18" s="1322">
        <v>200</v>
      </c>
      <c r="H18" s="1035">
        <v>200</v>
      </c>
      <c r="I18" s="220"/>
      <c r="J18" s="220"/>
      <c r="K18" s="220"/>
      <c r="L18" s="150"/>
      <c r="M18" s="158"/>
    </row>
    <row r="19" spans="1:13" ht="12.75">
      <c r="A19" s="1029">
        <v>633</v>
      </c>
      <c r="B19" s="834" t="s">
        <v>137</v>
      </c>
      <c r="C19" s="100" t="s">
        <v>521</v>
      </c>
      <c r="D19" s="273">
        <v>569</v>
      </c>
      <c r="E19" s="1308">
        <v>0</v>
      </c>
      <c r="F19" s="1336">
        <v>0</v>
      </c>
      <c r="G19" s="1322">
        <v>0</v>
      </c>
      <c r="H19" s="1035">
        <v>0</v>
      </c>
      <c r="I19" s="220"/>
      <c r="J19" s="220"/>
      <c r="K19" s="220"/>
      <c r="L19" s="150"/>
      <c r="M19" s="158"/>
    </row>
    <row r="20" spans="1:13" ht="12.75">
      <c r="A20" s="1029">
        <v>633</v>
      </c>
      <c r="B20" s="834" t="s">
        <v>142</v>
      </c>
      <c r="C20" s="100" t="s">
        <v>522</v>
      </c>
      <c r="D20" s="273">
        <v>0</v>
      </c>
      <c r="E20" s="1308">
        <v>0</v>
      </c>
      <c r="F20" s="1336">
        <v>0</v>
      </c>
      <c r="G20" s="1322">
        <v>0</v>
      </c>
      <c r="H20" s="1035">
        <v>0</v>
      </c>
      <c r="I20" s="220"/>
      <c r="J20" s="220"/>
      <c r="K20" s="220"/>
      <c r="L20" s="150"/>
      <c r="M20" s="158"/>
    </row>
    <row r="21" spans="1:13" ht="12.75">
      <c r="A21" s="1029">
        <v>633</v>
      </c>
      <c r="B21" s="100" t="s">
        <v>142</v>
      </c>
      <c r="C21" s="100" t="s">
        <v>523</v>
      </c>
      <c r="D21" s="273">
        <v>5779</v>
      </c>
      <c r="E21" s="1308">
        <v>6425.1</v>
      </c>
      <c r="F21" s="1336">
        <v>6000</v>
      </c>
      <c r="G21" s="1322">
        <v>6000</v>
      </c>
      <c r="H21" s="1035">
        <v>6000</v>
      </c>
      <c r="I21" s="220"/>
      <c r="J21" s="220"/>
      <c r="K21" s="220"/>
      <c r="L21" s="150"/>
      <c r="M21" s="158"/>
    </row>
    <row r="22" spans="1:15" ht="12.75">
      <c r="A22" s="1031">
        <v>633</v>
      </c>
      <c r="B22" s="835" t="s">
        <v>142</v>
      </c>
      <c r="C22" s="835" t="s">
        <v>524</v>
      </c>
      <c r="D22" s="815">
        <v>95</v>
      </c>
      <c r="E22" s="1307">
        <v>178.9</v>
      </c>
      <c r="F22" s="1335">
        <v>0</v>
      </c>
      <c r="G22" s="1321">
        <v>0</v>
      </c>
      <c r="H22" s="1034">
        <v>0</v>
      </c>
      <c r="I22" s="220"/>
      <c r="J22" s="812"/>
      <c r="K22" s="220"/>
      <c r="L22" s="800"/>
      <c r="M22" s="158"/>
      <c r="O22" s="836"/>
    </row>
    <row r="23" spans="1:14" ht="12.75">
      <c r="A23" s="1029">
        <v>633</v>
      </c>
      <c r="B23" s="100" t="s">
        <v>525</v>
      </c>
      <c r="C23" s="100" t="s">
        <v>526</v>
      </c>
      <c r="D23" s="273">
        <v>3020</v>
      </c>
      <c r="E23" s="1308">
        <v>2300</v>
      </c>
      <c r="F23" s="1336">
        <v>2000</v>
      </c>
      <c r="G23" s="1322">
        <v>2000</v>
      </c>
      <c r="H23" s="1035">
        <v>2000</v>
      </c>
      <c r="I23" s="220"/>
      <c r="J23" s="220"/>
      <c r="K23" s="220"/>
      <c r="L23" s="150"/>
      <c r="M23" s="158"/>
      <c r="N23" s="837"/>
    </row>
    <row r="24" spans="1:13" ht="12.75">
      <c r="A24" s="1029">
        <v>633</v>
      </c>
      <c r="B24" s="100" t="s">
        <v>527</v>
      </c>
      <c r="C24" s="100" t="s">
        <v>528</v>
      </c>
      <c r="D24" s="273">
        <v>313</v>
      </c>
      <c r="E24" s="1308">
        <v>0</v>
      </c>
      <c r="F24" s="1336">
        <v>0</v>
      </c>
      <c r="G24" s="1322">
        <v>0</v>
      </c>
      <c r="H24" s="1035">
        <v>0</v>
      </c>
      <c r="I24" s="220"/>
      <c r="J24" s="220"/>
      <c r="K24" s="220"/>
      <c r="L24" s="150"/>
      <c r="M24" s="158"/>
    </row>
    <row r="25" spans="1:13" ht="12.75">
      <c r="A25" s="1029">
        <v>633</v>
      </c>
      <c r="B25" s="100" t="s">
        <v>529</v>
      </c>
      <c r="C25" s="100" t="s">
        <v>530</v>
      </c>
      <c r="D25" s="273">
        <v>19</v>
      </c>
      <c r="E25" s="1308">
        <v>100</v>
      </c>
      <c r="F25" s="1336">
        <v>100</v>
      </c>
      <c r="G25" s="1322">
        <v>300</v>
      </c>
      <c r="H25" s="1035">
        <v>300</v>
      </c>
      <c r="I25" s="220"/>
      <c r="J25" s="220"/>
      <c r="K25" s="220"/>
      <c r="L25" s="150"/>
      <c r="M25" s="158"/>
    </row>
    <row r="26" spans="1:13" ht="12.75">
      <c r="A26" s="1029">
        <v>633</v>
      </c>
      <c r="B26" s="100" t="s">
        <v>116</v>
      </c>
      <c r="C26" s="100" t="s">
        <v>531</v>
      </c>
      <c r="D26" s="273">
        <v>1481</v>
      </c>
      <c r="E26" s="1308">
        <v>1500</v>
      </c>
      <c r="F26" s="1336">
        <v>1500</v>
      </c>
      <c r="G26" s="1322">
        <v>1500</v>
      </c>
      <c r="H26" s="1035">
        <v>1500</v>
      </c>
      <c r="I26" s="220"/>
      <c r="J26" s="220"/>
      <c r="K26" s="220"/>
      <c r="L26" s="150"/>
      <c r="M26" s="158"/>
    </row>
    <row r="27" spans="1:13" ht="12.75">
      <c r="A27" s="1045">
        <v>633</v>
      </c>
      <c r="B27" s="178" t="s">
        <v>532</v>
      </c>
      <c r="C27" s="178" t="s">
        <v>533</v>
      </c>
      <c r="D27" s="273">
        <v>1395</v>
      </c>
      <c r="E27" s="1308">
        <v>896</v>
      </c>
      <c r="F27" s="1336">
        <v>800</v>
      </c>
      <c r="G27" s="1322">
        <v>1000</v>
      </c>
      <c r="H27" s="1035">
        <v>1000</v>
      </c>
      <c r="I27" s="220"/>
      <c r="J27" s="220"/>
      <c r="K27" s="220"/>
      <c r="L27" s="150"/>
      <c r="M27" s="158"/>
    </row>
    <row r="28" spans="1:13" s="836" customFormat="1" ht="12.75">
      <c r="A28" s="1031">
        <v>633</v>
      </c>
      <c r="B28" s="835" t="s">
        <v>532</v>
      </c>
      <c r="C28" s="835" t="s">
        <v>534</v>
      </c>
      <c r="D28" s="815">
        <v>0</v>
      </c>
      <c r="E28" s="1307">
        <v>0</v>
      </c>
      <c r="F28" s="1335">
        <v>0</v>
      </c>
      <c r="G28" s="1321">
        <v>0</v>
      </c>
      <c r="H28" s="1034">
        <v>0</v>
      </c>
      <c r="I28" s="812"/>
      <c r="J28" s="812"/>
      <c r="K28" s="812"/>
      <c r="L28" s="838"/>
      <c r="M28" s="839"/>
    </row>
    <row r="29" spans="1:13" s="57" customFormat="1" ht="12.75">
      <c r="A29" s="1042">
        <v>634</v>
      </c>
      <c r="B29" s="829"/>
      <c r="C29" s="829" t="s">
        <v>535</v>
      </c>
      <c r="D29" s="840">
        <f>D30+D31+D32+D33+D34+D35</f>
        <v>8769</v>
      </c>
      <c r="E29" s="1312">
        <f>SUM(E30,E32,E33,E34,E35,E31)</f>
        <v>6983</v>
      </c>
      <c r="F29" s="1340">
        <f>SUM(F30,F32,F33,F34,F35,F31)</f>
        <v>6470</v>
      </c>
      <c r="G29" s="1326">
        <f>SUM(G30,G32,G33,G34,G35,G31)</f>
        <v>6600</v>
      </c>
      <c r="H29" s="1046">
        <f>SUM(H30,H32,H33,H34,H35,H31)</f>
        <v>6600</v>
      </c>
      <c r="I29" s="841"/>
      <c r="J29" s="841"/>
      <c r="K29" s="841"/>
      <c r="L29" s="842"/>
      <c r="M29" s="842"/>
    </row>
    <row r="30" spans="1:13" ht="12.75">
      <c r="A30" s="1047">
        <v>634</v>
      </c>
      <c r="B30" s="843" t="s">
        <v>106</v>
      </c>
      <c r="C30" s="843" t="s">
        <v>536</v>
      </c>
      <c r="D30" s="273">
        <v>6177</v>
      </c>
      <c r="E30" s="1308">
        <v>4470</v>
      </c>
      <c r="F30" s="1336">
        <v>4000</v>
      </c>
      <c r="G30" s="1322">
        <v>4130</v>
      </c>
      <c r="H30" s="1035">
        <v>4130</v>
      </c>
      <c r="I30" s="220"/>
      <c r="J30" s="220"/>
      <c r="K30" s="220"/>
      <c r="L30" s="150"/>
      <c r="M30" s="158"/>
    </row>
    <row r="31" spans="1:13" s="836" customFormat="1" ht="12.75">
      <c r="A31" s="1048">
        <v>634</v>
      </c>
      <c r="B31" s="844" t="s">
        <v>106</v>
      </c>
      <c r="C31" s="844" t="s">
        <v>537</v>
      </c>
      <c r="D31" s="815">
        <v>0</v>
      </c>
      <c r="E31" s="1307">
        <v>43</v>
      </c>
      <c r="F31" s="1335">
        <v>0</v>
      </c>
      <c r="G31" s="1321">
        <v>0</v>
      </c>
      <c r="H31" s="1034">
        <v>0</v>
      </c>
      <c r="I31" s="812"/>
      <c r="J31" s="812"/>
      <c r="K31" s="812"/>
      <c r="L31" s="838"/>
      <c r="M31" s="839"/>
    </row>
    <row r="32" spans="1:13" ht="12.75">
      <c r="A32" s="1029">
        <v>634</v>
      </c>
      <c r="B32" s="100" t="s">
        <v>109</v>
      </c>
      <c r="C32" s="100" t="s">
        <v>538</v>
      </c>
      <c r="D32" s="273">
        <v>1623</v>
      </c>
      <c r="E32" s="1308">
        <v>1500</v>
      </c>
      <c r="F32" s="1336">
        <v>1500</v>
      </c>
      <c r="G32" s="1322">
        <v>1500</v>
      </c>
      <c r="H32" s="1035">
        <v>1500</v>
      </c>
      <c r="I32" s="220"/>
      <c r="J32" s="220"/>
      <c r="K32" s="220"/>
      <c r="L32" s="150"/>
      <c r="M32" s="158"/>
    </row>
    <row r="33" spans="1:13" ht="12.75">
      <c r="A33" s="1029">
        <v>634</v>
      </c>
      <c r="B33" s="100" t="s">
        <v>104</v>
      </c>
      <c r="C33" s="100" t="s">
        <v>539</v>
      </c>
      <c r="D33" s="273">
        <v>296</v>
      </c>
      <c r="E33" s="1308">
        <v>300</v>
      </c>
      <c r="F33" s="1336">
        <v>300</v>
      </c>
      <c r="G33" s="1322">
        <v>300</v>
      </c>
      <c r="H33" s="1035">
        <v>300</v>
      </c>
      <c r="I33" s="220"/>
      <c r="J33" s="220"/>
      <c r="K33" s="220"/>
      <c r="L33" s="150"/>
      <c r="M33" s="158"/>
    </row>
    <row r="34" spans="1:13" ht="12.75">
      <c r="A34" s="1029">
        <v>634</v>
      </c>
      <c r="B34" s="100" t="s">
        <v>125</v>
      </c>
      <c r="C34" s="100" t="s">
        <v>540</v>
      </c>
      <c r="D34" s="273">
        <v>514</v>
      </c>
      <c r="E34" s="1308">
        <v>500</v>
      </c>
      <c r="F34" s="1336">
        <v>500</v>
      </c>
      <c r="G34" s="1322">
        <v>500</v>
      </c>
      <c r="H34" s="1035">
        <v>500</v>
      </c>
      <c r="I34" s="220"/>
      <c r="J34" s="220"/>
      <c r="K34" s="220"/>
      <c r="L34" s="150"/>
      <c r="M34" s="158"/>
    </row>
    <row r="35" spans="1:13" ht="12.75">
      <c r="A35" s="1045">
        <v>634</v>
      </c>
      <c r="B35" s="178" t="s">
        <v>137</v>
      </c>
      <c r="C35" s="178" t="s">
        <v>541</v>
      </c>
      <c r="D35" s="273">
        <v>159</v>
      </c>
      <c r="E35" s="1308">
        <v>170</v>
      </c>
      <c r="F35" s="1336">
        <v>170</v>
      </c>
      <c r="G35" s="1322">
        <v>170</v>
      </c>
      <c r="H35" s="1035">
        <v>170</v>
      </c>
      <c r="I35" s="220"/>
      <c r="J35" s="220"/>
      <c r="K35" s="220"/>
      <c r="L35" s="150"/>
      <c r="M35" s="158"/>
    </row>
    <row r="36" spans="1:13" s="57" customFormat="1" ht="12.75">
      <c r="A36" s="1049">
        <v>635</v>
      </c>
      <c r="B36" s="845"/>
      <c r="C36" s="845" t="s">
        <v>542</v>
      </c>
      <c r="D36" s="840">
        <f>SUM(D37,D38,D39)</f>
        <v>2101</v>
      </c>
      <c r="E36" s="1312">
        <f>SUM(E37,E38,E39)</f>
        <v>1637</v>
      </c>
      <c r="F36" s="1340">
        <f>SUM(F37,F38,F39)</f>
        <v>1637</v>
      </c>
      <c r="G36" s="1326">
        <f>SUM(G37,G38,G39)</f>
        <v>1700</v>
      </c>
      <c r="H36" s="1046">
        <f>SUM(H37,H38,H39)</f>
        <v>1700</v>
      </c>
      <c r="I36" s="841"/>
      <c r="J36" s="841"/>
      <c r="K36" s="841"/>
      <c r="L36" s="842"/>
      <c r="M36" s="842"/>
    </row>
    <row r="37" spans="1:13" ht="12.75">
      <c r="A37" s="1047">
        <v>635</v>
      </c>
      <c r="B37" s="843" t="s">
        <v>109</v>
      </c>
      <c r="C37" s="843" t="s">
        <v>543</v>
      </c>
      <c r="D37" s="273">
        <v>0</v>
      </c>
      <c r="E37" s="1308">
        <v>100</v>
      </c>
      <c r="F37" s="1336">
        <v>100</v>
      </c>
      <c r="G37" s="1322">
        <v>100</v>
      </c>
      <c r="H37" s="1035">
        <v>100</v>
      </c>
      <c r="I37" s="220"/>
      <c r="J37" s="220"/>
      <c r="K37" s="220"/>
      <c r="L37" s="150"/>
      <c r="M37" s="158"/>
    </row>
    <row r="38" spans="1:13" ht="12.75">
      <c r="A38" s="1029">
        <v>635</v>
      </c>
      <c r="B38" s="100" t="s">
        <v>125</v>
      </c>
      <c r="C38" s="100" t="s">
        <v>544</v>
      </c>
      <c r="D38" s="273">
        <v>771</v>
      </c>
      <c r="E38" s="1308">
        <v>550</v>
      </c>
      <c r="F38" s="1336">
        <v>550</v>
      </c>
      <c r="G38" s="1322">
        <v>550</v>
      </c>
      <c r="H38" s="1035">
        <v>550</v>
      </c>
      <c r="I38" s="220"/>
      <c r="J38" s="220"/>
      <c r="K38" s="220"/>
      <c r="L38" s="150"/>
      <c r="M38" s="158"/>
    </row>
    <row r="39" spans="1:13" ht="12.75">
      <c r="A39" s="1045">
        <v>635</v>
      </c>
      <c r="B39" s="178" t="s">
        <v>142</v>
      </c>
      <c r="C39" s="178" t="s">
        <v>545</v>
      </c>
      <c r="D39" s="273">
        <v>1330</v>
      </c>
      <c r="E39" s="1308">
        <v>987</v>
      </c>
      <c r="F39" s="1336">
        <v>987</v>
      </c>
      <c r="G39" s="1322">
        <v>1050</v>
      </c>
      <c r="H39" s="1035">
        <v>1050</v>
      </c>
      <c r="I39" s="220"/>
      <c r="J39" s="220"/>
      <c r="K39" s="220"/>
      <c r="L39" s="150"/>
      <c r="M39" s="158"/>
    </row>
    <row r="40" spans="1:13" s="57" customFormat="1" ht="12.75">
      <c r="A40" s="1049">
        <v>636</v>
      </c>
      <c r="B40" s="845"/>
      <c r="C40" s="845" t="s">
        <v>546</v>
      </c>
      <c r="D40" s="840">
        <f>SUM(D41,D42,D43)</f>
        <v>1006</v>
      </c>
      <c r="E40" s="1312">
        <f>SUM(E41,E42,E43)</f>
        <v>1200</v>
      </c>
      <c r="F40" s="1340">
        <f>SUM(F41,F42,F43)</f>
        <v>1200</v>
      </c>
      <c r="G40" s="1326">
        <f>SUM(G41,G42,G43)</f>
        <v>1200</v>
      </c>
      <c r="H40" s="1046">
        <f>SUM(H41,H42,H43)</f>
        <v>1200</v>
      </c>
      <c r="I40" s="841"/>
      <c r="J40" s="841"/>
      <c r="K40" s="841"/>
      <c r="L40" s="842"/>
      <c r="M40" s="842"/>
    </row>
    <row r="41" spans="1:13" ht="12.75">
      <c r="A41" s="1047">
        <v>636</v>
      </c>
      <c r="B41" s="843" t="s">
        <v>106</v>
      </c>
      <c r="C41" s="843" t="s">
        <v>545</v>
      </c>
      <c r="D41" s="273">
        <v>1006</v>
      </c>
      <c r="E41" s="1308">
        <v>1200</v>
      </c>
      <c r="F41" s="1336">
        <v>1200</v>
      </c>
      <c r="G41" s="1322">
        <v>1200</v>
      </c>
      <c r="H41" s="1035">
        <v>1200</v>
      </c>
      <c r="I41" s="220"/>
      <c r="J41" s="220"/>
      <c r="K41" s="220"/>
      <c r="L41" s="150"/>
      <c r="M41" s="158"/>
    </row>
    <row r="42" spans="1:13" ht="12.75">
      <c r="A42" s="1050">
        <v>636</v>
      </c>
      <c r="B42" s="121" t="s">
        <v>109</v>
      </c>
      <c r="C42" s="121" t="s">
        <v>544</v>
      </c>
      <c r="D42" s="273">
        <v>0</v>
      </c>
      <c r="E42" s="1308">
        <v>0</v>
      </c>
      <c r="F42" s="1336">
        <v>0</v>
      </c>
      <c r="G42" s="1322">
        <v>0</v>
      </c>
      <c r="H42" s="1035">
        <v>0</v>
      </c>
      <c r="I42" s="220"/>
      <c r="J42" s="220"/>
      <c r="K42" s="220"/>
      <c r="L42" s="150"/>
      <c r="M42" s="158"/>
    </row>
    <row r="43" spans="1:13" ht="12.75">
      <c r="A43" s="1029">
        <v>636</v>
      </c>
      <c r="B43" s="100" t="s">
        <v>125</v>
      </c>
      <c r="C43" s="100" t="s">
        <v>547</v>
      </c>
      <c r="D43" s="273">
        <v>0</v>
      </c>
      <c r="E43" s="1308">
        <v>0</v>
      </c>
      <c r="F43" s="1336">
        <v>0</v>
      </c>
      <c r="G43" s="1322">
        <v>0</v>
      </c>
      <c r="H43" s="1035">
        <v>0</v>
      </c>
      <c r="I43" s="220"/>
      <c r="J43" s="220"/>
      <c r="K43" s="220"/>
      <c r="L43" s="150"/>
      <c r="M43" s="158"/>
    </row>
    <row r="44" spans="1:13" ht="12.75" hidden="1">
      <c r="A44" s="1050"/>
      <c r="B44" s="121"/>
      <c r="C44" s="121"/>
      <c r="D44" s="273"/>
      <c r="E44" s="1308"/>
      <c r="F44" s="1336"/>
      <c r="G44" s="1322"/>
      <c r="H44" s="1035"/>
      <c r="I44" s="220"/>
      <c r="J44" s="150"/>
      <c r="K44" s="220"/>
      <c r="L44" s="150"/>
      <c r="M44" s="150"/>
    </row>
    <row r="45" spans="1:13" ht="12.75" hidden="1">
      <c r="A45" s="1050"/>
      <c r="B45" s="121"/>
      <c r="C45" s="121"/>
      <c r="D45" s="273"/>
      <c r="E45" s="1308"/>
      <c r="F45" s="1336"/>
      <c r="G45" s="1322"/>
      <c r="H45" s="1035"/>
      <c r="I45" s="220"/>
      <c r="J45" s="150"/>
      <c r="K45" s="220"/>
      <c r="L45" s="150"/>
      <c r="M45" s="150"/>
    </row>
    <row r="46" spans="1:11" ht="12.75" hidden="1">
      <c r="A46" s="1050"/>
      <c r="B46" s="121"/>
      <c r="C46" s="121"/>
      <c r="D46" s="847"/>
      <c r="E46" s="1313"/>
      <c r="F46" s="1341"/>
      <c r="G46" s="1327"/>
      <c r="H46" s="1051"/>
      <c r="I46" s="58"/>
      <c r="K46" s="58"/>
    </row>
    <row r="47" spans="1:11" ht="12.75" hidden="1">
      <c r="A47" s="1050"/>
      <c r="B47" s="121"/>
      <c r="C47" s="121"/>
      <c r="D47" s="847"/>
      <c r="E47" s="1313"/>
      <c r="F47" s="1341"/>
      <c r="G47" s="1327"/>
      <c r="H47" s="1051"/>
      <c r="I47" s="58"/>
      <c r="K47" s="58"/>
    </row>
    <row r="48" spans="1:13" s="57" customFormat="1" ht="12.75">
      <c r="A48" s="1049">
        <v>637</v>
      </c>
      <c r="B48" s="845"/>
      <c r="C48" s="845" t="s">
        <v>548</v>
      </c>
      <c r="D48" s="840">
        <f>D49+D50+D51+D52+D56+D57+D58+D59+D60+D61+D62+D63+D64</f>
        <v>46794</v>
      </c>
      <c r="E48" s="1312">
        <f>E49+E50+E51+E52+E56+E57+E58+E59+E60+E61+E62+E63+E64</f>
        <v>38986.299999999996</v>
      </c>
      <c r="F48" s="1340">
        <f>F49+F50+F51+F52+F56+F57+F58+F59+F60+F61+F62+F63+F64</f>
        <v>33050</v>
      </c>
      <c r="G48" s="1326">
        <f>G49+G50+G51+G52+G56+G57+G58+G59+G60+G61+G62+G63+G64</f>
        <v>33050</v>
      </c>
      <c r="H48" s="1046">
        <f>H49+H50+H51+H52+H56+H57+H58+H59+H60+H61+H62+H63+H64</f>
        <v>33050</v>
      </c>
      <c r="I48" s="841"/>
      <c r="J48" s="841"/>
      <c r="K48" s="841"/>
      <c r="L48" s="842"/>
      <c r="M48" s="842"/>
    </row>
    <row r="49" spans="1:13" ht="12.75">
      <c r="A49" s="1047">
        <v>637</v>
      </c>
      <c r="B49" s="843" t="s">
        <v>106</v>
      </c>
      <c r="C49" s="843" t="s">
        <v>549</v>
      </c>
      <c r="D49" s="273">
        <v>177</v>
      </c>
      <c r="E49" s="1308">
        <v>50</v>
      </c>
      <c r="F49" s="1336">
        <v>50</v>
      </c>
      <c r="G49" s="1322">
        <v>50</v>
      </c>
      <c r="H49" s="1035">
        <v>50</v>
      </c>
      <c r="I49" s="220"/>
      <c r="J49" s="220"/>
      <c r="K49" s="220"/>
      <c r="L49" s="150"/>
      <c r="M49" s="150"/>
    </row>
    <row r="50" spans="1:13" ht="12.75">
      <c r="A50" s="1029">
        <v>637</v>
      </c>
      <c r="B50" s="100" t="s">
        <v>550</v>
      </c>
      <c r="C50" s="100" t="s">
        <v>551</v>
      </c>
      <c r="D50" s="273">
        <v>11954</v>
      </c>
      <c r="E50" s="1308">
        <v>500</v>
      </c>
      <c r="F50" s="1336">
        <v>500</v>
      </c>
      <c r="G50" s="1322">
        <v>500</v>
      </c>
      <c r="H50" s="1035">
        <v>500</v>
      </c>
      <c r="I50" s="220"/>
      <c r="J50" s="220"/>
      <c r="K50" s="220"/>
      <c r="L50" s="150"/>
      <c r="M50" s="150"/>
    </row>
    <row r="51" spans="1:13" ht="12.75">
      <c r="A51" s="1029">
        <v>637</v>
      </c>
      <c r="B51" s="100" t="s">
        <v>104</v>
      </c>
      <c r="C51" s="100" t="s">
        <v>552</v>
      </c>
      <c r="D51" s="273">
        <v>80</v>
      </c>
      <c r="E51" s="1308">
        <v>550</v>
      </c>
      <c r="F51" s="1336">
        <v>550</v>
      </c>
      <c r="G51" s="1322">
        <v>550</v>
      </c>
      <c r="H51" s="1035">
        <v>550</v>
      </c>
      <c r="I51" s="220"/>
      <c r="J51" s="220"/>
      <c r="K51" s="220"/>
      <c r="L51" s="150"/>
      <c r="M51" s="150"/>
    </row>
    <row r="52" spans="1:13" ht="12.75">
      <c r="A52" s="1029">
        <v>637</v>
      </c>
      <c r="B52" s="100" t="s">
        <v>125</v>
      </c>
      <c r="C52" s="100" t="s">
        <v>553</v>
      </c>
      <c r="D52" s="273">
        <v>10921</v>
      </c>
      <c r="E52" s="1308">
        <v>10000</v>
      </c>
      <c r="F52" s="1336">
        <v>10000</v>
      </c>
      <c r="G52" s="1322">
        <v>10000</v>
      </c>
      <c r="H52" s="1035">
        <v>10000</v>
      </c>
      <c r="I52" s="220"/>
      <c r="J52" s="220"/>
      <c r="K52" s="220"/>
      <c r="L52" s="150"/>
      <c r="M52" s="150"/>
    </row>
    <row r="53" spans="1:13" ht="12.75">
      <c r="A53" s="1029">
        <v>637</v>
      </c>
      <c r="B53" s="100" t="s">
        <v>125</v>
      </c>
      <c r="C53" s="100" t="s">
        <v>554</v>
      </c>
      <c r="D53" s="205">
        <v>1902</v>
      </c>
      <c r="E53" s="1308">
        <v>0</v>
      </c>
      <c r="F53" s="1336">
        <v>0</v>
      </c>
      <c r="G53" s="1322">
        <v>0</v>
      </c>
      <c r="H53" s="1035">
        <v>0</v>
      </c>
      <c r="I53" s="220"/>
      <c r="J53" s="112"/>
      <c r="K53" s="220"/>
      <c r="L53" s="848"/>
      <c r="M53" s="150"/>
    </row>
    <row r="54" spans="1:13" ht="12.75">
      <c r="A54" s="1029">
        <v>637</v>
      </c>
      <c r="B54" s="100" t="s">
        <v>137</v>
      </c>
      <c r="C54" s="100" t="s">
        <v>555</v>
      </c>
      <c r="D54" s="273">
        <v>0</v>
      </c>
      <c r="E54" s="1308">
        <v>0</v>
      </c>
      <c r="F54" s="1336">
        <v>0</v>
      </c>
      <c r="G54" s="1322">
        <v>0</v>
      </c>
      <c r="H54" s="1035">
        <v>0</v>
      </c>
      <c r="I54" s="220"/>
      <c r="J54" s="220"/>
      <c r="K54" s="220"/>
      <c r="L54" s="150"/>
      <c r="M54" s="150"/>
    </row>
    <row r="55" spans="1:13" ht="12.75">
      <c r="A55" s="1029">
        <v>637</v>
      </c>
      <c r="B55" s="100" t="s">
        <v>529</v>
      </c>
      <c r="C55" s="100" t="s">
        <v>556</v>
      </c>
      <c r="D55" s="273">
        <v>0</v>
      </c>
      <c r="E55" s="1308">
        <v>0</v>
      </c>
      <c r="F55" s="1336">
        <v>0</v>
      </c>
      <c r="G55" s="1322">
        <v>0</v>
      </c>
      <c r="H55" s="1035">
        <v>0</v>
      </c>
      <c r="I55" s="220"/>
      <c r="J55" s="220"/>
      <c r="K55" s="220"/>
      <c r="L55" s="150"/>
      <c r="M55" s="150"/>
    </row>
    <row r="56" spans="1:13" ht="12.75">
      <c r="A56" s="1029">
        <v>637</v>
      </c>
      <c r="B56" s="100" t="s">
        <v>115</v>
      </c>
      <c r="C56" s="100" t="s">
        <v>557</v>
      </c>
      <c r="D56" s="273">
        <v>3445</v>
      </c>
      <c r="E56" s="1308">
        <v>4000</v>
      </c>
      <c r="F56" s="1336">
        <v>4000</v>
      </c>
      <c r="G56" s="1322">
        <v>4000</v>
      </c>
      <c r="H56" s="1035">
        <v>4000</v>
      </c>
      <c r="I56" s="220"/>
      <c r="J56" s="220"/>
      <c r="K56" s="220"/>
      <c r="L56" s="150"/>
      <c r="M56" s="150"/>
    </row>
    <row r="57" spans="1:13" ht="12.75">
      <c r="A57" s="1047">
        <v>637</v>
      </c>
      <c r="B57" s="843" t="s">
        <v>119</v>
      </c>
      <c r="C57" s="843" t="s">
        <v>558</v>
      </c>
      <c r="D57" s="273">
        <v>17478</v>
      </c>
      <c r="E57" s="1308">
        <v>15450</v>
      </c>
      <c r="F57" s="1336">
        <v>15450</v>
      </c>
      <c r="G57" s="1322">
        <v>15450</v>
      </c>
      <c r="H57" s="1035">
        <v>15450</v>
      </c>
      <c r="I57" s="187"/>
      <c r="K57" s="158"/>
      <c r="L57" s="150"/>
      <c r="M57" s="150"/>
    </row>
    <row r="58" spans="1:13" s="836" customFormat="1" ht="12.75">
      <c r="A58" s="1031">
        <v>637</v>
      </c>
      <c r="B58" s="835" t="s">
        <v>119</v>
      </c>
      <c r="C58" s="835" t="s">
        <v>559</v>
      </c>
      <c r="D58" s="849">
        <v>0</v>
      </c>
      <c r="E58" s="1314">
        <v>457.6</v>
      </c>
      <c r="F58" s="1137">
        <v>0</v>
      </c>
      <c r="G58" s="896">
        <v>0</v>
      </c>
      <c r="H58" s="1052">
        <v>0</v>
      </c>
      <c r="I58" s="850"/>
      <c r="J58" s="828"/>
      <c r="K58" s="839"/>
      <c r="L58" s="838"/>
      <c r="M58" s="838"/>
    </row>
    <row r="59" spans="1:13" ht="12.75">
      <c r="A59" s="1029">
        <v>637</v>
      </c>
      <c r="B59" s="100" t="s">
        <v>560</v>
      </c>
      <c r="C59" s="100" t="s">
        <v>561</v>
      </c>
      <c r="D59" s="273">
        <v>1101</v>
      </c>
      <c r="E59" s="1308">
        <v>1250</v>
      </c>
      <c r="F59" s="1336">
        <v>1250</v>
      </c>
      <c r="G59" s="1322">
        <v>1250</v>
      </c>
      <c r="H59" s="1035">
        <v>1250</v>
      </c>
      <c r="I59" s="187"/>
      <c r="K59" s="158"/>
      <c r="L59" s="150"/>
      <c r="M59" s="150"/>
    </row>
    <row r="60" spans="1:13" ht="12.75">
      <c r="A60" s="1029">
        <v>637</v>
      </c>
      <c r="B60" s="100" t="s">
        <v>532</v>
      </c>
      <c r="C60" s="100" t="s">
        <v>562</v>
      </c>
      <c r="D60" s="273">
        <v>953</v>
      </c>
      <c r="E60" s="1308">
        <v>1000</v>
      </c>
      <c r="F60" s="1336">
        <v>1000</v>
      </c>
      <c r="G60" s="1322">
        <v>1000</v>
      </c>
      <c r="H60" s="1035">
        <v>1000</v>
      </c>
      <c r="I60" s="851"/>
      <c r="K60" s="158"/>
      <c r="L60" s="150"/>
      <c r="M60" s="150"/>
    </row>
    <row r="61" spans="1:13" ht="12.75">
      <c r="A61" s="1029">
        <v>637</v>
      </c>
      <c r="B61" s="100" t="s">
        <v>563</v>
      </c>
      <c r="C61" s="100" t="s">
        <v>564</v>
      </c>
      <c r="D61" s="273">
        <v>0</v>
      </c>
      <c r="E61" s="1308">
        <v>3689.39</v>
      </c>
      <c r="F61" s="1336">
        <v>0</v>
      </c>
      <c r="G61" s="1322">
        <v>0</v>
      </c>
      <c r="H61" s="1035">
        <v>0</v>
      </c>
      <c r="I61" s="851"/>
      <c r="K61" s="158"/>
      <c r="L61" s="150"/>
      <c r="M61" s="150"/>
    </row>
    <row r="62" spans="1:13" ht="12.75">
      <c r="A62" s="1029">
        <v>637</v>
      </c>
      <c r="B62" s="100" t="s">
        <v>565</v>
      </c>
      <c r="C62" s="100" t="s">
        <v>566</v>
      </c>
      <c r="D62" s="273">
        <v>384</v>
      </c>
      <c r="E62" s="1308">
        <v>250</v>
      </c>
      <c r="F62" s="1336">
        <v>250</v>
      </c>
      <c r="G62" s="1322">
        <v>250</v>
      </c>
      <c r="H62" s="1035">
        <v>250</v>
      </c>
      <c r="I62" s="187"/>
      <c r="K62" s="150"/>
      <c r="L62" s="150"/>
      <c r="M62" s="150"/>
    </row>
    <row r="63" spans="1:256" ht="12.75" hidden="1">
      <c r="A63" s="1053"/>
      <c r="B63" s="296"/>
      <c r="C63" s="296"/>
      <c r="D63" s="296"/>
      <c r="E63" s="296"/>
      <c r="F63" s="1342"/>
      <c r="G63" s="296"/>
      <c r="H63" s="1054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13" s="836" customFormat="1" ht="12.75">
      <c r="A64" s="1055">
        <v>637</v>
      </c>
      <c r="B64" s="852" t="s">
        <v>567</v>
      </c>
      <c r="C64" s="852" t="s">
        <v>568</v>
      </c>
      <c r="D64" s="815">
        <v>301</v>
      </c>
      <c r="E64" s="1307">
        <v>1789.31</v>
      </c>
      <c r="F64" s="1335">
        <v>0</v>
      </c>
      <c r="G64" s="1321">
        <v>0</v>
      </c>
      <c r="H64" s="1034">
        <v>0</v>
      </c>
      <c r="I64" s="850"/>
      <c r="J64" s="828"/>
      <c r="K64" s="838"/>
      <c r="L64" s="800"/>
      <c r="M64" s="838"/>
    </row>
    <row r="65" spans="1:13" s="853" customFormat="1" ht="12.75">
      <c r="A65" s="1056">
        <v>640</v>
      </c>
      <c r="B65" s="845"/>
      <c r="C65" s="845" t="s">
        <v>569</v>
      </c>
      <c r="D65" s="830">
        <f>D66+D67+D68+D69</f>
        <v>9266</v>
      </c>
      <c r="E65" s="1311">
        <f>E66+E67+E68+E69</f>
        <v>16620</v>
      </c>
      <c r="F65" s="1339">
        <f>F66+F67+F68+F69</f>
        <v>8400</v>
      </c>
      <c r="G65" s="1325">
        <f>G66+G67+G68+G69</f>
        <v>1900</v>
      </c>
      <c r="H65" s="1043">
        <f>H66+H67+H68+H69</f>
        <v>1400</v>
      </c>
      <c r="I65" s="832"/>
      <c r="J65" s="832"/>
      <c r="K65" s="832"/>
      <c r="L65" s="832"/>
      <c r="M65" s="832"/>
    </row>
    <row r="66" spans="1:13" s="57" customFormat="1" ht="12.75">
      <c r="A66" s="1057">
        <v>642</v>
      </c>
      <c r="B66" s="833" t="s">
        <v>109</v>
      </c>
      <c r="C66" s="833" t="s">
        <v>570</v>
      </c>
      <c r="D66" s="273">
        <v>0</v>
      </c>
      <c r="E66" s="1308">
        <v>0</v>
      </c>
      <c r="F66" s="1336">
        <v>0</v>
      </c>
      <c r="G66" s="1322">
        <v>0</v>
      </c>
      <c r="H66" s="1035">
        <v>0</v>
      </c>
      <c r="I66" s="854"/>
      <c r="K66" s="150"/>
      <c r="L66" s="150"/>
      <c r="M66" s="150"/>
    </row>
    <row r="67" spans="1:13" ht="12.75">
      <c r="A67" s="1045">
        <v>642</v>
      </c>
      <c r="B67" s="141" t="s">
        <v>142</v>
      </c>
      <c r="C67" s="141" t="s">
        <v>571</v>
      </c>
      <c r="D67" s="273">
        <v>320</v>
      </c>
      <c r="E67" s="1308">
        <v>1400</v>
      </c>
      <c r="F67" s="1336">
        <v>1400</v>
      </c>
      <c r="G67" s="1322">
        <v>1400</v>
      </c>
      <c r="H67" s="1035">
        <v>1400</v>
      </c>
      <c r="I67" s="854"/>
      <c r="K67" s="150"/>
      <c r="L67" s="150"/>
      <c r="M67" s="150"/>
    </row>
    <row r="68" spans="1:13" ht="12.75">
      <c r="A68" s="1029">
        <v>651</v>
      </c>
      <c r="B68" s="88" t="s">
        <v>109</v>
      </c>
      <c r="C68" s="88" t="s">
        <v>572</v>
      </c>
      <c r="D68" s="273">
        <v>8684</v>
      </c>
      <c r="E68" s="1308">
        <v>14500</v>
      </c>
      <c r="F68" s="1336">
        <v>7000</v>
      </c>
      <c r="G68" s="1322">
        <v>500</v>
      </c>
      <c r="H68" s="1035">
        <v>0</v>
      </c>
      <c r="I68" s="854"/>
      <c r="K68" s="158"/>
      <c r="L68" s="150"/>
      <c r="M68" s="150"/>
    </row>
    <row r="69" spans="1:13" ht="12.75">
      <c r="A69" s="1058">
        <v>653</v>
      </c>
      <c r="B69" s="88" t="s">
        <v>109</v>
      </c>
      <c r="C69" s="88" t="s">
        <v>573</v>
      </c>
      <c r="D69" s="273">
        <v>262</v>
      </c>
      <c r="E69" s="1308">
        <v>720</v>
      </c>
      <c r="F69" s="1336">
        <v>0</v>
      </c>
      <c r="G69" s="1322">
        <v>0</v>
      </c>
      <c r="H69" s="1035">
        <v>0</v>
      </c>
      <c r="I69" s="854"/>
      <c r="K69" s="150"/>
      <c r="L69" s="150"/>
      <c r="M69" s="150"/>
    </row>
    <row r="70" spans="1:13" s="54" customFormat="1" ht="12.75">
      <c r="A70" s="1059" t="s">
        <v>574</v>
      </c>
      <c r="B70" s="855"/>
      <c r="C70" s="855"/>
      <c r="D70" s="856">
        <f>SUM(D71,D72,D73,D74)</f>
        <v>10192</v>
      </c>
      <c r="E70" s="1315">
        <f>SUM(E71,E72,E73,E74)</f>
        <v>11020</v>
      </c>
      <c r="F70" s="1343">
        <f>F71+F72+F73+F74+F75</f>
        <v>12050</v>
      </c>
      <c r="G70" s="169">
        <f>G71+G72+G73+G74+G75</f>
        <v>12350</v>
      </c>
      <c r="H70" s="1060">
        <f>H71+H72+H73+H74+H75</f>
        <v>12350</v>
      </c>
      <c r="I70" s="805"/>
      <c r="J70" s="857"/>
      <c r="K70" s="805"/>
      <c r="L70" s="805"/>
      <c r="M70" s="805"/>
    </row>
    <row r="71" spans="1:13" ht="12.75">
      <c r="A71" s="1047">
        <v>610</v>
      </c>
      <c r="B71" s="843"/>
      <c r="C71" s="858" t="s">
        <v>512</v>
      </c>
      <c r="D71" s="219">
        <v>4890</v>
      </c>
      <c r="E71" s="248">
        <v>5820</v>
      </c>
      <c r="F71" s="1138">
        <v>6000</v>
      </c>
      <c r="G71" s="899">
        <v>6200</v>
      </c>
      <c r="H71" s="1061">
        <v>6200</v>
      </c>
      <c r="I71" s="158"/>
      <c r="K71" s="158"/>
      <c r="L71" s="150"/>
      <c r="M71" s="150"/>
    </row>
    <row r="72" spans="1:13" ht="12.75">
      <c r="A72" s="1029">
        <v>620</v>
      </c>
      <c r="B72" s="100"/>
      <c r="C72" s="88" t="s">
        <v>226</v>
      </c>
      <c r="D72" s="219">
        <v>1708</v>
      </c>
      <c r="E72" s="248">
        <v>2070</v>
      </c>
      <c r="F72" s="1138">
        <v>2100</v>
      </c>
      <c r="G72" s="899">
        <v>2200</v>
      </c>
      <c r="H72" s="1061">
        <v>2200</v>
      </c>
      <c r="I72" s="158"/>
      <c r="K72" s="158"/>
      <c r="L72" s="150"/>
      <c r="M72" s="150"/>
    </row>
    <row r="73" spans="1:13" ht="12.75">
      <c r="A73" s="1029">
        <v>637</v>
      </c>
      <c r="B73" s="100"/>
      <c r="C73" s="88" t="s">
        <v>240</v>
      </c>
      <c r="D73" s="218">
        <v>385</v>
      </c>
      <c r="E73" s="243">
        <v>130</v>
      </c>
      <c r="F73" s="1344">
        <v>150</v>
      </c>
      <c r="G73" s="1328">
        <v>150</v>
      </c>
      <c r="H73" s="1062">
        <v>150</v>
      </c>
      <c r="I73" s="158"/>
      <c r="K73" s="150"/>
      <c r="L73" s="150"/>
      <c r="M73" s="150"/>
    </row>
    <row r="74" spans="1:13" ht="12.75">
      <c r="A74" s="1029">
        <v>637</v>
      </c>
      <c r="B74" s="100" t="s">
        <v>575</v>
      </c>
      <c r="C74" s="100" t="s">
        <v>576</v>
      </c>
      <c r="D74" s="273">
        <v>3209</v>
      </c>
      <c r="E74" s="1308">
        <v>3000</v>
      </c>
      <c r="F74" s="1336">
        <v>3000</v>
      </c>
      <c r="G74" s="1322">
        <v>3000</v>
      </c>
      <c r="H74" s="1035">
        <v>3000</v>
      </c>
      <c r="I74" s="158"/>
      <c r="K74" s="150"/>
      <c r="L74" s="150"/>
      <c r="M74" s="150"/>
    </row>
    <row r="75" spans="1:13" ht="12.75">
      <c r="A75" s="1063">
        <v>637</v>
      </c>
      <c r="B75" s="1064"/>
      <c r="C75" s="1065" t="s">
        <v>577</v>
      </c>
      <c r="D75" s="1066"/>
      <c r="E75" s="1316"/>
      <c r="F75" s="1345">
        <v>800</v>
      </c>
      <c r="G75" s="1329">
        <v>800</v>
      </c>
      <c r="H75" s="1067">
        <v>800</v>
      </c>
      <c r="I75" s="158"/>
      <c r="K75" s="150"/>
      <c r="L75" s="150"/>
      <c r="M75" s="150"/>
    </row>
    <row r="76" spans="1:9" ht="12.75">
      <c r="A76" s="1018" t="s">
        <v>471</v>
      </c>
      <c r="B76" s="1019"/>
      <c r="C76" s="1020"/>
      <c r="D76" s="1020">
        <v>2011</v>
      </c>
      <c r="E76" s="1022">
        <v>2012</v>
      </c>
      <c r="F76" s="1330">
        <v>2013</v>
      </c>
      <c r="G76" s="1023">
        <v>2014</v>
      </c>
      <c r="H76" s="1024">
        <v>2015</v>
      </c>
      <c r="I76" s="797"/>
    </row>
    <row r="77" spans="1:14" s="54" customFormat="1" ht="12.75">
      <c r="A77" s="1068" t="s">
        <v>578</v>
      </c>
      <c r="B77" s="859"/>
      <c r="C77" s="855"/>
      <c r="D77" s="856">
        <f>SUM(D78,D80,D82,D83,D86,D87,D88)</f>
        <v>12544</v>
      </c>
      <c r="E77" s="856">
        <f>SUM(E78,E80,E82,E83,E86,E87,E88)</f>
        <v>12815</v>
      </c>
      <c r="F77" s="131">
        <f>F78+F80+F82+F83+F86+F87+F88</f>
        <v>12815</v>
      </c>
      <c r="G77" s="131">
        <f>G78+G80+G82+G83+G86+G87+G88</f>
        <v>12815</v>
      </c>
      <c r="H77" s="1060">
        <f>H78+H80+H82+H83+H86+H87+H88</f>
        <v>12815</v>
      </c>
      <c r="I77" s="805"/>
      <c r="J77" s="857"/>
      <c r="K77" s="805"/>
      <c r="L77" s="805"/>
      <c r="M77" s="805"/>
      <c r="N77" s="800"/>
    </row>
    <row r="78" spans="1:13" s="57" customFormat="1" ht="12.75">
      <c r="A78" s="1029">
        <v>610</v>
      </c>
      <c r="B78" s="100"/>
      <c r="C78" s="860" t="s">
        <v>512</v>
      </c>
      <c r="D78" s="219">
        <v>9006</v>
      </c>
      <c r="E78" s="219">
        <v>9000</v>
      </c>
      <c r="F78" s="219">
        <v>9000</v>
      </c>
      <c r="G78" s="219">
        <v>9000</v>
      </c>
      <c r="H78" s="1069">
        <v>9000</v>
      </c>
      <c r="I78" s="851"/>
      <c r="K78" s="158"/>
      <c r="L78" s="150"/>
      <c r="M78" s="150"/>
    </row>
    <row r="79" spans="1:13" ht="12.75">
      <c r="A79" s="1031">
        <v>610</v>
      </c>
      <c r="B79" s="835"/>
      <c r="C79" s="814" t="s">
        <v>579</v>
      </c>
      <c r="D79" s="849">
        <v>3282</v>
      </c>
      <c r="E79" s="849">
        <v>4547.06</v>
      </c>
      <c r="F79" s="849">
        <v>4500</v>
      </c>
      <c r="G79" s="849">
        <v>4500</v>
      </c>
      <c r="H79" s="1052">
        <v>4500</v>
      </c>
      <c r="I79" s="850"/>
      <c r="K79" s="839"/>
      <c r="L79" s="800"/>
      <c r="M79" s="838"/>
    </row>
    <row r="80" spans="1:13" ht="12.75">
      <c r="A80" s="1029">
        <v>620</v>
      </c>
      <c r="B80" s="100"/>
      <c r="C80" s="88" t="s">
        <v>226</v>
      </c>
      <c r="D80" s="219">
        <v>3096</v>
      </c>
      <c r="E80" s="219">
        <v>3200</v>
      </c>
      <c r="F80" s="219">
        <v>3200</v>
      </c>
      <c r="G80" s="219">
        <v>3200</v>
      </c>
      <c r="H80" s="1069">
        <v>3200</v>
      </c>
      <c r="I80" s="187"/>
      <c r="K80" s="158"/>
      <c r="L80" s="150"/>
      <c r="M80" s="150"/>
    </row>
    <row r="81" spans="1:14" ht="12.75">
      <c r="A81" s="1031">
        <v>620</v>
      </c>
      <c r="B81" s="835"/>
      <c r="C81" s="824" t="s">
        <v>580</v>
      </c>
      <c r="D81" s="849">
        <v>1380</v>
      </c>
      <c r="E81" s="849">
        <v>125.31</v>
      </c>
      <c r="F81" s="849">
        <v>130</v>
      </c>
      <c r="G81" s="849">
        <v>130</v>
      </c>
      <c r="H81" s="1052">
        <v>130</v>
      </c>
      <c r="I81" s="850"/>
      <c r="K81" s="839"/>
      <c r="L81" s="800"/>
      <c r="M81" s="838"/>
      <c r="N81" s="838"/>
    </row>
    <row r="82" spans="1:13" ht="12.75">
      <c r="A82" s="1058">
        <v>632</v>
      </c>
      <c r="B82" s="100"/>
      <c r="C82" s="88" t="s">
        <v>230</v>
      </c>
      <c r="D82" s="219">
        <v>16</v>
      </c>
      <c r="E82" s="219">
        <v>15</v>
      </c>
      <c r="F82" s="219">
        <v>15</v>
      </c>
      <c r="G82" s="219">
        <v>15</v>
      </c>
      <c r="H82" s="1069">
        <v>15</v>
      </c>
      <c r="I82" s="187"/>
      <c r="K82" s="150"/>
      <c r="L82" s="150"/>
      <c r="M82" s="150"/>
    </row>
    <row r="83" spans="1:13" ht="12.75">
      <c r="A83" s="1058">
        <v>633</v>
      </c>
      <c r="B83" s="100"/>
      <c r="C83" s="88" t="s">
        <v>232</v>
      </c>
      <c r="D83" s="219">
        <v>170</v>
      </c>
      <c r="E83" s="219">
        <v>400</v>
      </c>
      <c r="F83" s="219">
        <v>400</v>
      </c>
      <c r="G83" s="219">
        <v>400</v>
      </c>
      <c r="H83" s="1069">
        <v>400</v>
      </c>
      <c r="I83" s="187"/>
      <c r="J83" s="150"/>
      <c r="K83" s="150"/>
      <c r="L83" s="150"/>
      <c r="M83" s="150"/>
    </row>
    <row r="84" spans="1:13" ht="12.75">
      <c r="A84" s="1058">
        <v>633</v>
      </c>
      <c r="B84" s="100" t="s">
        <v>142</v>
      </c>
      <c r="C84" s="88" t="s">
        <v>390</v>
      </c>
      <c r="D84" s="118">
        <v>170</v>
      </c>
      <c r="E84" s="118">
        <v>300.42</v>
      </c>
      <c r="F84" s="118">
        <v>300</v>
      </c>
      <c r="G84" s="118">
        <v>300</v>
      </c>
      <c r="H84" s="1070">
        <v>300</v>
      </c>
      <c r="I84" s="854"/>
      <c r="K84" s="150"/>
      <c r="L84" s="150"/>
      <c r="M84" s="150"/>
    </row>
    <row r="85" spans="1:13" ht="12.75">
      <c r="A85" s="1041">
        <v>633</v>
      </c>
      <c r="B85" s="835"/>
      <c r="C85" s="824" t="s">
        <v>581</v>
      </c>
      <c r="D85" s="849">
        <v>113</v>
      </c>
      <c r="E85" s="849">
        <v>99.58</v>
      </c>
      <c r="F85" s="849">
        <v>100</v>
      </c>
      <c r="G85" s="849">
        <v>100</v>
      </c>
      <c r="H85" s="1052">
        <v>100</v>
      </c>
      <c r="I85" s="861"/>
      <c r="K85" s="150"/>
      <c r="L85" s="800"/>
      <c r="M85" s="150"/>
    </row>
    <row r="86" spans="1:13" ht="12.75">
      <c r="A86" s="1058">
        <v>635</v>
      </c>
      <c r="B86" s="100"/>
      <c r="C86" s="88" t="s">
        <v>332</v>
      </c>
      <c r="D86" s="219">
        <v>0</v>
      </c>
      <c r="E86" s="219">
        <v>0</v>
      </c>
      <c r="F86" s="219">
        <v>0</v>
      </c>
      <c r="G86" s="219">
        <v>0</v>
      </c>
      <c r="H86" s="1069">
        <v>0</v>
      </c>
      <c r="I86" s="187"/>
      <c r="K86" s="150"/>
      <c r="L86" s="150"/>
      <c r="M86" s="150"/>
    </row>
    <row r="87" spans="1:13" ht="12.75">
      <c r="A87" s="1071">
        <v>637</v>
      </c>
      <c r="B87" s="178"/>
      <c r="C87" s="141" t="s">
        <v>240</v>
      </c>
      <c r="D87" s="219">
        <v>256</v>
      </c>
      <c r="E87" s="219">
        <v>200</v>
      </c>
      <c r="F87" s="219">
        <v>200</v>
      </c>
      <c r="G87" s="219">
        <v>200</v>
      </c>
      <c r="H87" s="1069">
        <v>200</v>
      </c>
      <c r="I87" s="187"/>
      <c r="K87" s="150"/>
      <c r="L87" s="150"/>
      <c r="M87" s="150"/>
    </row>
    <row r="88" spans="1:13" ht="12.75">
      <c r="A88" s="1058">
        <v>637</v>
      </c>
      <c r="B88" s="88" t="s">
        <v>106</v>
      </c>
      <c r="C88" s="88" t="s">
        <v>582</v>
      </c>
      <c r="D88" s="219">
        <v>0</v>
      </c>
      <c r="E88" s="219">
        <v>0</v>
      </c>
      <c r="F88" s="219">
        <v>0</v>
      </c>
      <c r="G88" s="219">
        <v>0</v>
      </c>
      <c r="H88" s="1069">
        <v>0</v>
      </c>
      <c r="I88" s="854"/>
      <c r="K88" s="150"/>
      <c r="L88" s="150"/>
      <c r="M88" s="150"/>
    </row>
    <row r="89" spans="1:14" ht="12.75">
      <c r="A89" s="1072" t="s">
        <v>583</v>
      </c>
      <c r="B89" s="1073"/>
      <c r="C89" s="1074" t="s">
        <v>584</v>
      </c>
      <c r="D89" s="1075">
        <f>SUM(D7,D70,D77)</f>
        <v>187239</v>
      </c>
      <c r="E89" s="1075">
        <f>SUM(E7,E70,E77)</f>
        <v>182881.3</v>
      </c>
      <c r="F89" s="1075">
        <f>F7+F70+F77</f>
        <v>168242</v>
      </c>
      <c r="G89" s="1075">
        <f>G7+G70+G77</f>
        <v>170635</v>
      </c>
      <c r="H89" s="1076">
        <f>H7+H70+H77</f>
        <v>170135</v>
      </c>
      <c r="I89" s="188"/>
      <c r="J89" s="95"/>
      <c r="K89" s="188"/>
      <c r="L89" s="188"/>
      <c r="M89" s="188"/>
      <c r="N89" s="862"/>
    </row>
    <row r="90" spans="1:14" s="57" customFormat="1" ht="12.75">
      <c r="A90" s="150"/>
      <c r="B90" s="150"/>
      <c r="C90" s="150"/>
      <c r="D90" s="150"/>
      <c r="E90" s="863"/>
      <c r="F90" s="863"/>
      <c r="G90" s="863"/>
      <c r="H90" s="108"/>
      <c r="N90" s="53"/>
    </row>
    <row r="91" spans="1:14" s="57" customFormat="1" ht="12.75">
      <c r="A91" s="150"/>
      <c r="B91" s="150"/>
      <c r="C91" s="150"/>
      <c r="D91" s="150"/>
      <c r="E91" s="863"/>
      <c r="F91" s="863"/>
      <c r="G91" s="863"/>
      <c r="H91" s="108"/>
      <c r="N91" s="53"/>
    </row>
    <row r="92" spans="1:14" s="57" customFormat="1" ht="12.75" hidden="1">
      <c r="A92" s="150"/>
      <c r="B92" s="150"/>
      <c r="C92" s="150"/>
      <c r="D92" s="150"/>
      <c r="E92" s="863"/>
      <c r="F92" s="863"/>
      <c r="G92" s="863"/>
      <c r="H92" s="108"/>
      <c r="N92" s="53"/>
    </row>
    <row r="93" spans="1:14" s="57" customFormat="1" ht="12.75" hidden="1">
      <c r="A93" s="150"/>
      <c r="B93" s="150"/>
      <c r="C93" s="150"/>
      <c r="D93" s="150"/>
      <c r="E93" s="863"/>
      <c r="F93" s="863"/>
      <c r="G93" s="863"/>
      <c r="H93" s="108"/>
      <c r="N93" s="53"/>
    </row>
    <row r="94" spans="1:14" s="57" customFormat="1" ht="12.75" hidden="1">
      <c r="A94" s="150"/>
      <c r="B94" s="150"/>
      <c r="C94" s="150"/>
      <c r="D94" s="150"/>
      <c r="E94" s="863"/>
      <c r="F94" s="863"/>
      <c r="G94" s="863"/>
      <c r="H94" s="108"/>
      <c r="N94" s="53"/>
    </row>
    <row r="95" spans="1:14" s="57" customFormat="1" ht="12.75">
      <c r="A95" s="150"/>
      <c r="B95" s="150"/>
      <c r="C95" s="150"/>
      <c r="D95" s="150"/>
      <c r="E95" s="863"/>
      <c r="F95" s="863"/>
      <c r="G95" s="1273" t="s">
        <v>585</v>
      </c>
      <c r="H95" s="1273"/>
      <c r="I95" s="260"/>
      <c r="K95" s="260"/>
      <c r="L95" s="260"/>
      <c r="M95" s="260"/>
      <c r="N95" s="53"/>
    </row>
    <row r="96" spans="1:14" s="57" customFormat="1" ht="12.75">
      <c r="A96" s="150"/>
      <c r="B96" s="150"/>
      <c r="C96" s="150"/>
      <c r="D96" s="150"/>
      <c r="E96" s="863"/>
      <c r="F96" s="863"/>
      <c r="G96" s="863"/>
      <c r="H96" s="108"/>
      <c r="N96" s="53"/>
    </row>
    <row r="97" spans="1:14" s="801" customFormat="1" ht="12.75">
      <c r="A97" s="1018" t="s">
        <v>471</v>
      </c>
      <c r="B97" s="1019"/>
      <c r="C97" s="1077"/>
      <c r="D97" s="1078">
        <v>2011</v>
      </c>
      <c r="E97" s="1022">
        <v>2012</v>
      </c>
      <c r="F97" s="1079">
        <v>2013</v>
      </c>
      <c r="G97" s="1079">
        <v>2014</v>
      </c>
      <c r="H97" s="1080">
        <v>2015</v>
      </c>
      <c r="I97" s="864"/>
      <c r="J97" s="865"/>
      <c r="K97" s="866"/>
      <c r="L97" s="798"/>
      <c r="M97" s="799"/>
      <c r="N97" s="867"/>
    </row>
    <row r="98" spans="1:14" s="270" customFormat="1" ht="12.75">
      <c r="A98" s="1025" t="s">
        <v>586</v>
      </c>
      <c r="B98" s="855"/>
      <c r="C98" s="855"/>
      <c r="D98" s="868">
        <f>SUM(D99,D100)</f>
        <v>338</v>
      </c>
      <c r="E98" s="868">
        <f>SUM(E99,E100)</f>
        <v>520</v>
      </c>
      <c r="F98" s="868">
        <f>SUM(F99,F100)</f>
        <v>520</v>
      </c>
      <c r="G98" s="868">
        <f>SUM(G99,G100)</f>
        <v>520</v>
      </c>
      <c r="H98" s="1081">
        <f>SUM(H99,H100)</f>
        <v>520</v>
      </c>
      <c r="I98" s="869"/>
      <c r="J98" s="870"/>
      <c r="K98" s="871"/>
      <c r="L98" s="871"/>
      <c r="M98" s="871"/>
      <c r="N98" s="872"/>
    </row>
    <row r="99" spans="1:14" s="57" customFormat="1" ht="12.75">
      <c r="A99" s="1058">
        <v>632</v>
      </c>
      <c r="B99" s="100" t="s">
        <v>104</v>
      </c>
      <c r="C99" s="88" t="s">
        <v>587</v>
      </c>
      <c r="D99" s="219">
        <v>143</v>
      </c>
      <c r="E99" s="219">
        <v>320</v>
      </c>
      <c r="F99" s="219">
        <v>320</v>
      </c>
      <c r="G99" s="219">
        <v>320</v>
      </c>
      <c r="H99" s="1069">
        <v>320</v>
      </c>
      <c r="I99" s="873"/>
      <c r="J99" s="150"/>
      <c r="K99" s="150"/>
      <c r="L99" s="150"/>
      <c r="M99" s="150"/>
      <c r="N99" s="53"/>
    </row>
    <row r="100" spans="1:14" ht="12.75">
      <c r="A100" s="1058">
        <v>637</v>
      </c>
      <c r="B100" s="100" t="s">
        <v>575</v>
      </c>
      <c r="C100" s="88" t="s">
        <v>294</v>
      </c>
      <c r="D100" s="219">
        <v>195</v>
      </c>
      <c r="E100" s="219">
        <v>200</v>
      </c>
      <c r="F100" s="219">
        <v>200</v>
      </c>
      <c r="G100" s="219">
        <v>200</v>
      </c>
      <c r="H100" s="1069">
        <v>200</v>
      </c>
      <c r="I100" s="166"/>
      <c r="J100" s="150"/>
      <c r="K100" s="150"/>
      <c r="L100" s="150"/>
      <c r="M100" s="150"/>
      <c r="N100" s="121"/>
    </row>
    <row r="101" spans="1:13" ht="12.75">
      <c r="A101" s="1072" t="s">
        <v>588</v>
      </c>
      <c r="B101" s="1073"/>
      <c r="C101" s="1074" t="s">
        <v>291</v>
      </c>
      <c r="D101" s="1082">
        <f>SUM(D99,D100)</f>
        <v>338</v>
      </c>
      <c r="E101" s="1082">
        <f>SUM(E99,E100)</f>
        <v>520</v>
      </c>
      <c r="F101" s="1082">
        <f>SUM(F99,F100)</f>
        <v>520</v>
      </c>
      <c r="G101" s="1082">
        <f>SUM(G99,G100)</f>
        <v>520</v>
      </c>
      <c r="H101" s="1083">
        <f>SUM(H99,H100)</f>
        <v>520</v>
      </c>
      <c r="I101" s="188"/>
      <c r="J101" s="870"/>
      <c r="K101" s="857"/>
      <c r="L101" s="857"/>
      <c r="M101" s="857"/>
    </row>
    <row r="102" spans="1:9" ht="12.75">
      <c r="A102" s="874"/>
      <c r="B102" s="150"/>
      <c r="C102" s="270"/>
      <c r="D102" s="270"/>
      <c r="E102" s="875"/>
      <c r="F102" s="875"/>
      <c r="G102" s="875"/>
      <c r="H102" s="876"/>
      <c r="I102" s="276"/>
    </row>
    <row r="103" spans="1:9" ht="12.75">
      <c r="A103" s="874"/>
      <c r="B103" s="150"/>
      <c r="C103" s="270"/>
      <c r="D103" s="270"/>
      <c r="E103" s="875"/>
      <c r="F103" s="875"/>
      <c r="G103" s="875"/>
      <c r="H103" s="876"/>
      <c r="I103" s="276"/>
    </row>
    <row r="104" spans="1:13" ht="12.75">
      <c r="A104" s="874"/>
      <c r="B104" s="150"/>
      <c r="C104" s="270"/>
      <c r="D104" s="270"/>
      <c r="E104" s="875"/>
      <c r="F104" s="875"/>
      <c r="G104" s="1273" t="s">
        <v>589</v>
      </c>
      <c r="H104" s="1273"/>
      <c r="I104" s="260"/>
      <c r="K104" s="260"/>
      <c r="L104" s="260"/>
      <c r="M104" s="260"/>
    </row>
    <row r="105" spans="1:13" ht="12.75">
      <c r="A105" s="874"/>
      <c r="B105" s="150"/>
      <c r="C105" s="270"/>
      <c r="D105" s="270"/>
      <c r="E105" s="875"/>
      <c r="F105" s="875"/>
      <c r="G105" s="875"/>
      <c r="H105" s="876"/>
      <c r="I105" s="276"/>
      <c r="K105" s="877"/>
      <c r="L105" s="877"/>
      <c r="M105" s="877"/>
    </row>
    <row r="106" spans="1:13" s="867" customFormat="1" ht="12.75">
      <c r="A106" s="1018" t="s">
        <v>471</v>
      </c>
      <c r="B106" s="1019"/>
      <c r="C106" s="1077"/>
      <c r="D106" s="1078">
        <v>2011</v>
      </c>
      <c r="E106" s="1022">
        <v>2012</v>
      </c>
      <c r="F106" s="1079">
        <v>2013</v>
      </c>
      <c r="G106" s="1079">
        <v>2014</v>
      </c>
      <c r="H106" s="1080">
        <v>2015</v>
      </c>
      <c r="I106" s="864"/>
      <c r="J106" s="865"/>
      <c r="K106" s="866"/>
      <c r="L106" s="798"/>
      <c r="M106" s="799"/>
    </row>
    <row r="107" spans="1:13" s="54" customFormat="1" ht="12.75">
      <c r="A107" s="1025" t="s">
        <v>590</v>
      </c>
      <c r="B107" s="859"/>
      <c r="C107" s="855"/>
      <c r="D107" s="856">
        <f>D108+D109+D110+D111+D112+D117+D121+D122+D123+D124</f>
        <v>51262</v>
      </c>
      <c r="E107" s="856">
        <f>E108+E109+E110+E111+E112+E117+E121+E122+E123</f>
        <v>51779</v>
      </c>
      <c r="F107" s="856">
        <f>F108+F109+F110+F111+F112+F117+F121+F122+F123</f>
        <v>51526</v>
      </c>
      <c r="G107" s="856">
        <f>G108+G109+G110+G111+G112+G117+G121+G122+G123</f>
        <v>53330</v>
      </c>
      <c r="H107" s="1084">
        <f>H108+H109+H110+H111+H112+H117+H121+H122+H123</f>
        <v>53330</v>
      </c>
      <c r="I107" s="878"/>
      <c r="J107" s="857"/>
      <c r="K107" s="805"/>
      <c r="L107" s="805"/>
      <c r="M107" s="805"/>
    </row>
    <row r="108" spans="1:14" s="57" customFormat="1" ht="12.75">
      <c r="A108" s="1029">
        <v>610</v>
      </c>
      <c r="B108" s="100"/>
      <c r="C108" s="860" t="s">
        <v>512</v>
      </c>
      <c r="D108" s="219">
        <v>30620</v>
      </c>
      <c r="E108" s="219">
        <v>31500</v>
      </c>
      <c r="F108" s="219">
        <v>31500</v>
      </c>
      <c r="G108" s="219">
        <v>32500</v>
      </c>
      <c r="H108" s="1069">
        <v>32500</v>
      </c>
      <c r="I108" s="187"/>
      <c r="K108" s="158"/>
      <c r="L108" s="150"/>
      <c r="M108" s="150"/>
      <c r="N108" s="53"/>
    </row>
    <row r="109" spans="1:13" ht="12.75">
      <c r="A109" s="1029">
        <v>620</v>
      </c>
      <c r="B109" s="100"/>
      <c r="C109" s="88" t="s">
        <v>226</v>
      </c>
      <c r="D109" s="219">
        <v>11367</v>
      </c>
      <c r="E109" s="219">
        <v>11500</v>
      </c>
      <c r="F109" s="219">
        <v>11500</v>
      </c>
      <c r="G109" s="219">
        <v>12000</v>
      </c>
      <c r="H109" s="1069">
        <v>12000</v>
      </c>
      <c r="I109" s="187"/>
      <c r="K109" s="158"/>
      <c r="L109" s="150"/>
      <c r="M109" s="150"/>
    </row>
    <row r="110" spans="1:13" ht="12.75">
      <c r="A110" s="1029">
        <v>631</v>
      </c>
      <c r="B110" s="100"/>
      <c r="C110" s="88" t="s">
        <v>591</v>
      </c>
      <c r="D110" s="219">
        <v>0</v>
      </c>
      <c r="E110" s="219">
        <v>60</v>
      </c>
      <c r="F110" s="219">
        <v>60</v>
      </c>
      <c r="G110" s="219">
        <v>60</v>
      </c>
      <c r="H110" s="1069">
        <v>60</v>
      </c>
      <c r="I110" s="187"/>
      <c r="K110" s="158"/>
      <c r="L110" s="150"/>
      <c r="M110" s="150"/>
    </row>
    <row r="111" spans="1:13" ht="12.75">
      <c r="A111" s="1029">
        <v>632</v>
      </c>
      <c r="B111" s="100"/>
      <c r="C111" s="88" t="s">
        <v>230</v>
      </c>
      <c r="D111" s="219">
        <v>1422</v>
      </c>
      <c r="E111" s="219">
        <v>1650</v>
      </c>
      <c r="F111" s="219">
        <v>1650</v>
      </c>
      <c r="G111" s="219">
        <v>1650</v>
      </c>
      <c r="H111" s="1069">
        <v>1650</v>
      </c>
      <c r="I111" s="187"/>
      <c r="K111" s="158"/>
      <c r="L111" s="150"/>
      <c r="M111" s="150"/>
    </row>
    <row r="112" spans="1:13" ht="12.75">
      <c r="A112" s="1029">
        <v>633</v>
      </c>
      <c r="B112" s="100"/>
      <c r="C112" s="88" t="s">
        <v>232</v>
      </c>
      <c r="D112" s="116">
        <f>D114+D115+D116+D113</f>
        <v>1523</v>
      </c>
      <c r="E112" s="116">
        <f>E114+E115+E116+E113</f>
        <v>1403</v>
      </c>
      <c r="F112" s="116">
        <f>F114+F115+F116+F113</f>
        <v>1150</v>
      </c>
      <c r="G112" s="116">
        <f>G114+G115+G116+G113</f>
        <v>1150</v>
      </c>
      <c r="H112" s="1061">
        <f>H114+H115+H116+H113</f>
        <v>1150</v>
      </c>
      <c r="I112" s="187"/>
      <c r="J112" s="187"/>
      <c r="K112" s="187"/>
      <c r="L112" s="187"/>
      <c r="M112" s="187"/>
    </row>
    <row r="113" spans="1:13" ht="12.75">
      <c r="A113" s="1029">
        <v>633</v>
      </c>
      <c r="B113" s="100" t="s">
        <v>109</v>
      </c>
      <c r="C113" s="88" t="s">
        <v>592</v>
      </c>
      <c r="D113" s="118">
        <v>0</v>
      </c>
      <c r="E113" s="118">
        <v>92</v>
      </c>
      <c r="F113" s="118">
        <v>100</v>
      </c>
      <c r="G113" s="118">
        <v>100</v>
      </c>
      <c r="H113" s="1070">
        <v>100</v>
      </c>
      <c r="I113" s="187"/>
      <c r="J113" s="187"/>
      <c r="K113" s="187"/>
      <c r="L113" s="187"/>
      <c r="M113" s="187"/>
    </row>
    <row r="114" spans="1:13" ht="12.75">
      <c r="A114" s="1029">
        <v>633</v>
      </c>
      <c r="B114" s="100" t="s">
        <v>142</v>
      </c>
      <c r="C114" s="88" t="s">
        <v>390</v>
      </c>
      <c r="D114" s="118">
        <v>1132</v>
      </c>
      <c r="E114" s="118">
        <v>508</v>
      </c>
      <c r="F114" s="118">
        <v>500</v>
      </c>
      <c r="G114" s="118">
        <v>500</v>
      </c>
      <c r="H114" s="1070">
        <v>500</v>
      </c>
      <c r="I114" s="854"/>
      <c r="K114" s="879"/>
      <c r="L114" s="879"/>
      <c r="M114" s="879"/>
    </row>
    <row r="115" spans="1:13" ht="12.75">
      <c r="A115" s="1029">
        <v>633</v>
      </c>
      <c r="B115" s="100" t="s">
        <v>525</v>
      </c>
      <c r="C115" s="88" t="s">
        <v>593</v>
      </c>
      <c r="D115" s="118">
        <v>221</v>
      </c>
      <c r="E115" s="118">
        <v>50</v>
      </c>
      <c r="F115" s="118">
        <v>50</v>
      </c>
      <c r="G115" s="118">
        <v>50</v>
      </c>
      <c r="H115" s="1070">
        <v>50</v>
      </c>
      <c r="I115" s="854"/>
      <c r="K115" s="879"/>
      <c r="L115" s="879"/>
      <c r="M115" s="879"/>
    </row>
    <row r="116" spans="1:13" ht="12.75">
      <c r="A116" s="1029">
        <v>633</v>
      </c>
      <c r="B116" s="100" t="s">
        <v>527</v>
      </c>
      <c r="C116" s="88" t="s">
        <v>594</v>
      </c>
      <c r="D116" s="118">
        <v>170</v>
      </c>
      <c r="E116" s="118">
        <v>753</v>
      </c>
      <c r="F116" s="118">
        <v>500</v>
      </c>
      <c r="G116" s="118">
        <v>500</v>
      </c>
      <c r="H116" s="1070">
        <v>500</v>
      </c>
      <c r="I116" s="854"/>
      <c r="K116" s="879"/>
      <c r="L116" s="879"/>
      <c r="M116" s="150"/>
    </row>
    <row r="117" spans="1:13" ht="12.75">
      <c r="A117" s="1029">
        <v>634</v>
      </c>
      <c r="B117" s="100"/>
      <c r="C117" s="88" t="s">
        <v>234</v>
      </c>
      <c r="D117" s="219">
        <f>SUM(D118,D119,D120)</f>
        <v>5733</v>
      </c>
      <c r="E117" s="219">
        <v>5200</v>
      </c>
      <c r="F117" s="219">
        <v>5200</v>
      </c>
      <c r="G117" s="219">
        <f>SUM(G118,G119,G120)</f>
        <v>5500</v>
      </c>
      <c r="H117" s="1069">
        <f>SUM(H118,H119,H120)</f>
        <v>5500</v>
      </c>
      <c r="I117" s="187"/>
      <c r="K117" s="150"/>
      <c r="L117" s="150"/>
      <c r="M117" s="150"/>
    </row>
    <row r="118" spans="1:14" ht="12.75">
      <c r="A118" s="1029">
        <v>634</v>
      </c>
      <c r="B118" s="100" t="s">
        <v>106</v>
      </c>
      <c r="C118" s="88" t="s">
        <v>595</v>
      </c>
      <c r="D118" s="118">
        <v>4088</v>
      </c>
      <c r="E118" s="118">
        <v>4100</v>
      </c>
      <c r="F118" s="118">
        <v>4100</v>
      </c>
      <c r="G118" s="118">
        <v>4400</v>
      </c>
      <c r="H118" s="1070">
        <v>4400</v>
      </c>
      <c r="I118" s="854"/>
      <c r="K118" s="854"/>
      <c r="L118" s="879"/>
      <c r="M118" s="879"/>
      <c r="N118" s="86"/>
    </row>
    <row r="119" spans="1:13" ht="12.75">
      <c r="A119" s="1029">
        <v>634</v>
      </c>
      <c r="B119" s="100" t="s">
        <v>109</v>
      </c>
      <c r="C119" s="88" t="s">
        <v>596</v>
      </c>
      <c r="D119" s="118">
        <v>1344</v>
      </c>
      <c r="E119" s="118">
        <v>800</v>
      </c>
      <c r="F119" s="118">
        <v>800</v>
      </c>
      <c r="G119" s="118">
        <v>800</v>
      </c>
      <c r="H119" s="1070">
        <v>800</v>
      </c>
      <c r="I119" s="854"/>
      <c r="K119" s="879"/>
      <c r="L119" s="879"/>
      <c r="M119" s="879"/>
    </row>
    <row r="120" spans="1:14" ht="12.75">
      <c r="A120" s="1029">
        <v>634</v>
      </c>
      <c r="B120" s="100" t="s">
        <v>104</v>
      </c>
      <c r="C120" s="88" t="s">
        <v>597</v>
      </c>
      <c r="D120" s="118">
        <v>301</v>
      </c>
      <c r="E120" s="118">
        <v>300</v>
      </c>
      <c r="F120" s="118">
        <v>300</v>
      </c>
      <c r="G120" s="118">
        <v>300</v>
      </c>
      <c r="H120" s="1070">
        <v>300</v>
      </c>
      <c r="I120" s="854"/>
      <c r="K120" s="879"/>
      <c r="L120" s="879"/>
      <c r="M120" s="879"/>
      <c r="N120" s="121"/>
    </row>
    <row r="121" spans="1:14" ht="12.75">
      <c r="A121" s="1029">
        <v>635</v>
      </c>
      <c r="B121" s="100"/>
      <c r="C121" s="88" t="s">
        <v>598</v>
      </c>
      <c r="D121" s="219">
        <v>0</v>
      </c>
      <c r="E121" s="219">
        <v>36</v>
      </c>
      <c r="F121" s="219">
        <v>36</v>
      </c>
      <c r="G121" s="219">
        <v>50</v>
      </c>
      <c r="H121" s="1069">
        <v>50</v>
      </c>
      <c r="I121" s="854"/>
      <c r="K121" s="879"/>
      <c r="L121" s="879"/>
      <c r="M121" s="879"/>
      <c r="N121" s="121"/>
    </row>
    <row r="122" spans="1:14" ht="12.75">
      <c r="A122" s="1029">
        <v>637</v>
      </c>
      <c r="B122" s="100"/>
      <c r="C122" s="88" t="s">
        <v>599</v>
      </c>
      <c r="D122" s="219">
        <v>409</v>
      </c>
      <c r="E122" s="219">
        <v>364</v>
      </c>
      <c r="F122" s="219">
        <v>364</v>
      </c>
      <c r="G122" s="219">
        <v>350</v>
      </c>
      <c r="H122" s="1069">
        <v>350</v>
      </c>
      <c r="I122" s="187"/>
      <c r="K122" s="150"/>
      <c r="L122" s="150"/>
      <c r="M122" s="150"/>
      <c r="N122" s="121"/>
    </row>
    <row r="123" spans="1:13" ht="12.75">
      <c r="A123" s="1029">
        <v>642</v>
      </c>
      <c r="B123" s="100"/>
      <c r="C123" s="88" t="s">
        <v>600</v>
      </c>
      <c r="D123" s="219">
        <v>66</v>
      </c>
      <c r="E123" s="219">
        <v>66</v>
      </c>
      <c r="F123" s="219">
        <v>66</v>
      </c>
      <c r="G123" s="219">
        <v>70</v>
      </c>
      <c r="H123" s="1069">
        <v>70</v>
      </c>
      <c r="I123" s="187"/>
      <c r="K123" s="150"/>
      <c r="L123" s="150"/>
      <c r="M123" s="150"/>
    </row>
    <row r="124" spans="1:14" ht="12.75">
      <c r="A124" s="1063">
        <v>637</v>
      </c>
      <c r="B124" s="1064" t="s">
        <v>567</v>
      </c>
      <c r="C124" s="1065" t="s">
        <v>601</v>
      </c>
      <c r="D124" s="1066">
        <v>122</v>
      </c>
      <c r="E124" s="1066">
        <v>0</v>
      </c>
      <c r="F124" s="1066">
        <v>0</v>
      </c>
      <c r="G124" s="1066">
        <v>0</v>
      </c>
      <c r="H124" s="1085">
        <v>0</v>
      </c>
      <c r="I124" s="187"/>
      <c r="K124" s="150"/>
      <c r="L124" s="150"/>
      <c r="M124" s="150"/>
      <c r="N124" s="880"/>
    </row>
    <row r="125" spans="1:8" ht="12.75">
      <c r="A125" s="881"/>
      <c r="B125" s="57"/>
      <c r="C125" s="57"/>
      <c r="D125" s="57"/>
      <c r="F125" s="207"/>
      <c r="G125" s="207"/>
      <c r="H125" s="207"/>
    </row>
    <row r="126" spans="1:13" s="54" customFormat="1" ht="12.75">
      <c r="A126" s="1086" t="s">
        <v>602</v>
      </c>
      <c r="B126" s="1087"/>
      <c r="C126" s="1087"/>
      <c r="D126" s="1088">
        <f>SUM(D127,D128,D134,D138,D139,D140)</f>
        <v>15641</v>
      </c>
      <c r="E126" s="1088">
        <f>SUM(E127,E128,E134,E138,E139,E140)</f>
        <v>6600</v>
      </c>
      <c r="F126" s="1088">
        <f>SUM(F127,F128,F134,F138,F139,F140)</f>
        <v>4000</v>
      </c>
      <c r="G126" s="1088">
        <f>SUM(G127,G128,G134,G138,G139,G140)</f>
        <v>4000</v>
      </c>
      <c r="H126" s="1089">
        <f>SUM(H127,H128,H134,H138,H139,H140)</f>
        <v>4000</v>
      </c>
      <c r="I126" s="805"/>
      <c r="J126" s="857"/>
      <c r="K126" s="805"/>
      <c r="L126" s="805"/>
      <c r="M126" s="805"/>
    </row>
    <row r="127" spans="1:14" s="57" customFormat="1" ht="12.75">
      <c r="A127" s="1058">
        <v>632</v>
      </c>
      <c r="B127" s="100"/>
      <c r="C127" s="88" t="s">
        <v>230</v>
      </c>
      <c r="D127" s="219">
        <v>2582</v>
      </c>
      <c r="E127" s="219">
        <v>2300</v>
      </c>
      <c r="F127" s="219">
        <v>2300</v>
      </c>
      <c r="G127" s="219">
        <v>2300</v>
      </c>
      <c r="H127" s="1069">
        <v>2300</v>
      </c>
      <c r="I127" s="187"/>
      <c r="K127" s="158"/>
      <c r="L127" s="150"/>
      <c r="M127" s="150"/>
      <c r="N127" s="53"/>
    </row>
    <row r="128" spans="1:13" ht="12.75">
      <c r="A128" s="1058">
        <v>633</v>
      </c>
      <c r="B128" s="100"/>
      <c r="C128" s="88" t="s">
        <v>232</v>
      </c>
      <c r="D128" s="219">
        <f>SUM(D129,D130,D131,D132,D133)</f>
        <v>10019</v>
      </c>
      <c r="E128" s="219">
        <v>2600</v>
      </c>
      <c r="F128" s="219">
        <f>F129+F130+F131+F132+F133</f>
        <v>500</v>
      </c>
      <c r="G128" s="219">
        <f>G129+G130+G131+G132+G133</f>
        <v>500</v>
      </c>
      <c r="H128" s="1069">
        <f>H129+H130+H131+H132+H133</f>
        <v>500</v>
      </c>
      <c r="I128" s="187"/>
      <c r="K128" s="158"/>
      <c r="L128" s="158"/>
      <c r="M128" s="158"/>
    </row>
    <row r="129" spans="1:13" ht="12.75">
      <c r="A129" s="1058">
        <v>633</v>
      </c>
      <c r="B129" s="100" t="s">
        <v>106</v>
      </c>
      <c r="C129" s="88" t="s">
        <v>603</v>
      </c>
      <c r="D129" s="118">
        <v>571</v>
      </c>
      <c r="E129" s="118">
        <v>0</v>
      </c>
      <c r="F129" s="118">
        <v>0</v>
      </c>
      <c r="G129" s="118">
        <v>0</v>
      </c>
      <c r="H129" s="1070">
        <v>0</v>
      </c>
      <c r="I129" s="854"/>
      <c r="K129" s="150"/>
      <c r="L129" s="879"/>
      <c r="M129" s="879"/>
    </row>
    <row r="130" spans="1:13" ht="12.75">
      <c r="A130" s="1041">
        <v>633</v>
      </c>
      <c r="B130" s="835" t="s">
        <v>125</v>
      </c>
      <c r="C130" s="824" t="s">
        <v>604</v>
      </c>
      <c r="D130" s="849">
        <v>2600</v>
      </c>
      <c r="E130" s="849">
        <v>2100</v>
      </c>
      <c r="F130" s="849">
        <v>0</v>
      </c>
      <c r="G130" s="849">
        <v>0</v>
      </c>
      <c r="H130" s="1052">
        <v>0</v>
      </c>
      <c r="I130" s="861"/>
      <c r="K130" s="882"/>
      <c r="L130" s="800"/>
      <c r="M130" s="879"/>
    </row>
    <row r="131" spans="1:13" ht="12.75">
      <c r="A131" s="1058">
        <v>633</v>
      </c>
      <c r="B131" s="100" t="s">
        <v>125</v>
      </c>
      <c r="C131" s="88" t="s">
        <v>604</v>
      </c>
      <c r="D131" s="118">
        <v>5659</v>
      </c>
      <c r="E131" s="118">
        <v>400</v>
      </c>
      <c r="F131" s="118">
        <v>400</v>
      </c>
      <c r="G131" s="118">
        <v>400</v>
      </c>
      <c r="H131" s="1070">
        <v>400</v>
      </c>
      <c r="I131" s="854"/>
      <c r="K131" s="158"/>
      <c r="L131" s="879"/>
      <c r="M131" s="879"/>
    </row>
    <row r="132" spans="1:13" ht="12.75">
      <c r="A132" s="1071">
        <v>633</v>
      </c>
      <c r="B132" s="178" t="s">
        <v>142</v>
      </c>
      <c r="C132" s="141" t="s">
        <v>390</v>
      </c>
      <c r="D132" s="118">
        <v>153</v>
      </c>
      <c r="E132" s="118">
        <v>100</v>
      </c>
      <c r="F132" s="118">
        <v>100</v>
      </c>
      <c r="G132" s="118">
        <v>100</v>
      </c>
      <c r="H132" s="1070">
        <v>100</v>
      </c>
      <c r="I132" s="854"/>
      <c r="K132" s="150"/>
      <c r="L132" s="879"/>
      <c r="M132" s="879"/>
    </row>
    <row r="133" spans="1:13" ht="12.75">
      <c r="A133" s="1058">
        <v>633</v>
      </c>
      <c r="B133" s="100" t="s">
        <v>532</v>
      </c>
      <c r="C133" s="88" t="s">
        <v>391</v>
      </c>
      <c r="D133" s="118">
        <v>1036</v>
      </c>
      <c r="E133" s="118">
        <v>0</v>
      </c>
      <c r="F133" s="118">
        <v>0</v>
      </c>
      <c r="G133" s="118">
        <v>0</v>
      </c>
      <c r="H133" s="1070">
        <v>0</v>
      </c>
      <c r="I133" s="854"/>
      <c r="K133" s="150"/>
      <c r="L133" s="879"/>
      <c r="M133" s="150"/>
    </row>
    <row r="134" spans="1:13" ht="12.75">
      <c r="A134" s="1090">
        <v>634</v>
      </c>
      <c r="B134" s="121"/>
      <c r="C134" s="150" t="s">
        <v>234</v>
      </c>
      <c r="D134" s="219">
        <f>D135+D136+D137</f>
        <v>267</v>
      </c>
      <c r="E134" s="219">
        <f>E135+E136+E137</f>
        <v>650</v>
      </c>
      <c r="F134" s="219">
        <f>F135+F136+F137</f>
        <v>650</v>
      </c>
      <c r="G134" s="219">
        <f>G135+G136+G137</f>
        <v>650</v>
      </c>
      <c r="H134" s="1069">
        <f>H135+H136+H137</f>
        <v>650</v>
      </c>
      <c r="I134" s="187"/>
      <c r="K134" s="150"/>
      <c r="L134" s="150"/>
      <c r="M134" s="150"/>
    </row>
    <row r="135" spans="1:14" ht="12.75">
      <c r="A135" s="1029">
        <v>634</v>
      </c>
      <c r="B135" s="100" t="s">
        <v>106</v>
      </c>
      <c r="C135" s="88" t="s">
        <v>595</v>
      </c>
      <c r="D135" s="118">
        <v>172</v>
      </c>
      <c r="E135" s="118">
        <v>200</v>
      </c>
      <c r="F135" s="118">
        <v>200</v>
      </c>
      <c r="G135" s="118">
        <v>200</v>
      </c>
      <c r="H135" s="1070">
        <v>200</v>
      </c>
      <c r="I135" s="854"/>
      <c r="K135" s="879"/>
      <c r="L135" s="879"/>
      <c r="M135" s="879"/>
      <c r="N135" s="836"/>
    </row>
    <row r="136" spans="1:13" ht="12.75">
      <c r="A136" s="1029">
        <v>634</v>
      </c>
      <c r="B136" s="100" t="s">
        <v>125</v>
      </c>
      <c r="C136" s="88" t="s">
        <v>381</v>
      </c>
      <c r="D136" s="118">
        <v>95</v>
      </c>
      <c r="E136" s="118">
        <v>250</v>
      </c>
      <c r="F136" s="118">
        <v>250</v>
      </c>
      <c r="G136" s="118">
        <v>250</v>
      </c>
      <c r="H136" s="1070">
        <v>250</v>
      </c>
      <c r="I136" s="854"/>
      <c r="K136" s="879"/>
      <c r="L136" s="879"/>
      <c r="M136" s="879"/>
    </row>
    <row r="137" spans="1:13" ht="12.75">
      <c r="A137" s="1029">
        <v>634</v>
      </c>
      <c r="B137" s="100" t="s">
        <v>104</v>
      </c>
      <c r="C137" s="88" t="s">
        <v>597</v>
      </c>
      <c r="D137" s="118">
        <v>0</v>
      </c>
      <c r="E137" s="118">
        <v>200</v>
      </c>
      <c r="F137" s="118">
        <v>200</v>
      </c>
      <c r="G137" s="118">
        <v>200</v>
      </c>
      <c r="H137" s="1070">
        <v>200</v>
      </c>
      <c r="I137" s="854"/>
      <c r="K137" s="879"/>
      <c r="L137" s="879"/>
      <c r="M137" s="879"/>
    </row>
    <row r="138" spans="1:13" ht="12.75">
      <c r="A138" s="1058">
        <v>635</v>
      </c>
      <c r="B138" s="100"/>
      <c r="C138" s="88" t="s">
        <v>332</v>
      </c>
      <c r="D138" s="219">
        <v>442</v>
      </c>
      <c r="E138" s="219">
        <v>50</v>
      </c>
      <c r="F138" s="219">
        <v>50</v>
      </c>
      <c r="G138" s="219">
        <v>50</v>
      </c>
      <c r="H138" s="1069">
        <v>50</v>
      </c>
      <c r="I138" s="187"/>
      <c r="K138" s="150"/>
      <c r="L138" s="150"/>
      <c r="M138" s="150"/>
    </row>
    <row r="139" spans="1:13" ht="12.75">
      <c r="A139" s="1041">
        <v>637</v>
      </c>
      <c r="B139" s="835" t="s">
        <v>137</v>
      </c>
      <c r="C139" s="824" t="s">
        <v>605</v>
      </c>
      <c r="D139" s="118">
        <v>1835</v>
      </c>
      <c r="E139" s="118">
        <v>0</v>
      </c>
      <c r="F139" s="118">
        <v>0</v>
      </c>
      <c r="G139" s="118">
        <v>0</v>
      </c>
      <c r="H139" s="1070">
        <v>0</v>
      </c>
      <c r="I139" s="850"/>
      <c r="K139" s="882"/>
      <c r="L139" s="800"/>
      <c r="M139" s="150"/>
    </row>
    <row r="140" spans="1:14" ht="12.75">
      <c r="A140" s="1058">
        <v>637</v>
      </c>
      <c r="B140" s="100"/>
      <c r="C140" s="88" t="s">
        <v>599</v>
      </c>
      <c r="D140" s="219">
        <v>496</v>
      </c>
      <c r="E140" s="219">
        <v>1000</v>
      </c>
      <c r="F140" s="219">
        <v>500</v>
      </c>
      <c r="G140" s="219">
        <v>500</v>
      </c>
      <c r="H140" s="1069">
        <v>500</v>
      </c>
      <c r="I140" s="187"/>
      <c r="K140" s="150"/>
      <c r="L140" s="150"/>
      <c r="M140" s="150"/>
      <c r="N140" s="883"/>
    </row>
    <row r="141" spans="1:14" ht="12.75">
      <c r="A141" s="1072" t="s">
        <v>606</v>
      </c>
      <c r="B141" s="1073"/>
      <c r="C141" s="1074" t="s">
        <v>607</v>
      </c>
      <c r="D141" s="1082">
        <f>SUM(D107,D126)</f>
        <v>66903</v>
      </c>
      <c r="E141" s="1082">
        <f>SUM(E107,E126)</f>
        <v>58379</v>
      </c>
      <c r="F141" s="1075">
        <f>F107+F126</f>
        <v>55526</v>
      </c>
      <c r="G141" s="1075">
        <f>G107+G126</f>
        <v>57330</v>
      </c>
      <c r="H141" s="1076">
        <f>H107+H126</f>
        <v>57330</v>
      </c>
      <c r="I141" s="188"/>
      <c r="J141" s="870"/>
      <c r="K141" s="805"/>
      <c r="L141" s="805"/>
      <c r="M141" s="805"/>
      <c r="N141" s="880"/>
    </row>
    <row r="142" spans="1:13" ht="12.75">
      <c r="A142" s="884"/>
      <c r="B142" s="885"/>
      <c r="C142" s="886"/>
      <c r="D142" s="886"/>
      <c r="E142" s="887"/>
      <c r="F142" s="887"/>
      <c r="G142" s="887"/>
      <c r="H142" s="888"/>
      <c r="I142" s="276"/>
      <c r="J142" s="889"/>
      <c r="K142" s="201"/>
      <c r="L142" s="201"/>
      <c r="M142" s="201"/>
    </row>
    <row r="143" spans="1:13" ht="12.75">
      <c r="A143" s="884"/>
      <c r="B143" s="885"/>
      <c r="C143" s="886"/>
      <c r="D143" s="886"/>
      <c r="E143" s="887"/>
      <c r="F143" s="887"/>
      <c r="G143" s="887"/>
      <c r="H143" s="888"/>
      <c r="I143" s="276"/>
      <c r="J143" s="889"/>
      <c r="K143" s="201"/>
      <c r="L143" s="201"/>
      <c r="M143" s="201"/>
    </row>
    <row r="144" spans="1:13" ht="12.75">
      <c r="A144" s="884"/>
      <c r="B144" s="885"/>
      <c r="C144" s="886"/>
      <c r="D144" s="886"/>
      <c r="E144" s="887"/>
      <c r="F144" s="887"/>
      <c r="G144" s="887"/>
      <c r="H144" s="888"/>
      <c r="I144" s="276"/>
      <c r="J144" s="889"/>
      <c r="K144" s="201"/>
      <c r="L144" s="201"/>
      <c r="M144" s="201"/>
    </row>
    <row r="145" spans="1:13" ht="12.75">
      <c r="A145" s="884"/>
      <c r="B145" s="885"/>
      <c r="C145" s="886"/>
      <c r="D145" s="886"/>
      <c r="E145" s="887"/>
      <c r="F145" s="887"/>
      <c r="G145" s="887"/>
      <c r="H145" s="888"/>
      <c r="I145" s="276"/>
      <c r="J145" s="889"/>
      <c r="K145" s="201"/>
      <c r="L145" s="201"/>
      <c r="M145" s="201"/>
    </row>
    <row r="146" spans="1:13" ht="12.75">
      <c r="A146" s="884"/>
      <c r="B146" s="885"/>
      <c r="C146" s="886"/>
      <c r="D146" s="886"/>
      <c r="E146" s="887"/>
      <c r="F146" s="887"/>
      <c r="G146" s="887"/>
      <c r="H146" s="888"/>
      <c r="I146" s="276"/>
      <c r="J146" s="889"/>
      <c r="K146" s="201"/>
      <c r="L146" s="201"/>
      <c r="M146" s="201"/>
    </row>
    <row r="147" spans="1:13" ht="12.75">
      <c r="A147" s="884"/>
      <c r="B147" s="885"/>
      <c r="C147" s="886"/>
      <c r="D147" s="886"/>
      <c r="E147" s="887"/>
      <c r="F147" s="887"/>
      <c r="G147" s="887"/>
      <c r="H147" s="888"/>
      <c r="I147" s="276"/>
      <c r="J147" s="889"/>
      <c r="K147" s="201"/>
      <c r="L147" s="201"/>
      <c r="M147" s="201"/>
    </row>
    <row r="148" spans="1:13" ht="12.75" hidden="1">
      <c r="A148" s="884"/>
      <c r="B148" s="885"/>
      <c r="C148" s="886"/>
      <c r="D148" s="886"/>
      <c r="E148" s="887"/>
      <c r="F148" s="887"/>
      <c r="G148" s="887"/>
      <c r="H148" s="888"/>
      <c r="I148" s="276"/>
      <c r="J148" s="889"/>
      <c r="K148" s="201"/>
      <c r="L148" s="201"/>
      <c r="M148" s="201"/>
    </row>
    <row r="149" spans="1:13" ht="12.75">
      <c r="A149" s="874"/>
      <c r="B149" s="150"/>
      <c r="C149" s="270"/>
      <c r="D149" s="270"/>
      <c r="E149" s="1300" t="s">
        <v>608</v>
      </c>
      <c r="F149" s="1300"/>
      <c r="G149" s="1300"/>
      <c r="H149" s="1300"/>
      <c r="I149" s="890"/>
      <c r="J149" s="890"/>
      <c r="K149" s="890"/>
      <c r="L149" s="890"/>
      <c r="M149" s="890"/>
    </row>
    <row r="150" spans="1:9" ht="12.75">
      <c r="A150" s="874"/>
      <c r="B150" s="150"/>
      <c r="C150" s="270"/>
      <c r="D150" s="270"/>
      <c r="E150" s="875"/>
      <c r="F150" s="875"/>
      <c r="G150" s="875"/>
      <c r="H150" s="876"/>
      <c r="I150" s="276"/>
    </row>
    <row r="151" spans="1:13" s="867" customFormat="1" ht="12.75">
      <c r="A151" s="1018" t="s">
        <v>471</v>
      </c>
      <c r="B151" s="1019"/>
      <c r="C151" s="1077"/>
      <c r="D151" s="1078">
        <v>2011</v>
      </c>
      <c r="E151" s="1022">
        <v>2012</v>
      </c>
      <c r="F151" s="1079">
        <v>2013</v>
      </c>
      <c r="G151" s="1079">
        <v>2014</v>
      </c>
      <c r="H151" s="1080">
        <v>2015</v>
      </c>
      <c r="I151" s="864"/>
      <c r="J151" s="865"/>
      <c r="K151" s="866"/>
      <c r="L151" s="798"/>
      <c r="M151" s="799"/>
    </row>
    <row r="152" spans="1:13" s="54" customFormat="1" ht="12.75">
      <c r="A152" s="1091" t="s">
        <v>609</v>
      </c>
      <c r="B152" s="891"/>
      <c r="C152" s="891"/>
      <c r="D152" s="856">
        <f>SUM(D153,D154,D155,D156,D160,D164,D165,D166)</f>
        <v>93400</v>
      </c>
      <c r="E152" s="856">
        <f>SUM(E153,E154,E155,E156,E160,E164,E165,E166)</f>
        <v>87889</v>
      </c>
      <c r="F152" s="856">
        <f>SUM(F153,F154,F155,F156,F160,F164,F165,F166)</f>
        <v>89370</v>
      </c>
      <c r="G152" s="856">
        <f>SUM(G153,G154,G155,G156,G160,G164,G165,G166)</f>
        <v>97370</v>
      </c>
      <c r="H152" s="1084">
        <f>SUM(H153,H154,H155,H156,H160,H164,H165,H166)</f>
        <v>97370</v>
      </c>
      <c r="I152" s="878"/>
      <c r="J152" s="870"/>
      <c r="K152" s="805"/>
      <c r="L152" s="805"/>
      <c r="M152" s="805"/>
    </row>
    <row r="153" spans="1:14" s="57" customFormat="1" ht="12.75">
      <c r="A153" s="1029">
        <v>610</v>
      </c>
      <c r="B153" s="100"/>
      <c r="C153" s="860" t="s">
        <v>512</v>
      </c>
      <c r="D153" s="219">
        <v>57938</v>
      </c>
      <c r="E153" s="219">
        <v>54000</v>
      </c>
      <c r="F153" s="219">
        <v>54000</v>
      </c>
      <c r="G153" s="219">
        <v>60000</v>
      </c>
      <c r="H153" s="1069">
        <v>60000</v>
      </c>
      <c r="I153" s="187"/>
      <c r="K153" s="158"/>
      <c r="L153" s="158"/>
      <c r="M153" s="158"/>
      <c r="N153" s="53"/>
    </row>
    <row r="154" spans="1:13" ht="12.75">
      <c r="A154" s="1029">
        <v>620</v>
      </c>
      <c r="B154" s="100"/>
      <c r="C154" s="88" t="s">
        <v>226</v>
      </c>
      <c r="D154" s="219">
        <v>20315</v>
      </c>
      <c r="E154" s="219">
        <v>19300</v>
      </c>
      <c r="F154" s="219">
        <v>19300</v>
      </c>
      <c r="G154" s="219">
        <v>22000</v>
      </c>
      <c r="H154" s="1069">
        <v>22000</v>
      </c>
      <c r="I154" s="187"/>
      <c r="K154" s="158"/>
      <c r="L154" s="158"/>
      <c r="M154" s="158"/>
    </row>
    <row r="155" spans="1:13" ht="12.75">
      <c r="A155" s="1029">
        <v>632</v>
      </c>
      <c r="B155" s="100"/>
      <c r="C155" s="88" t="s">
        <v>230</v>
      </c>
      <c r="D155" s="219">
        <v>1482</v>
      </c>
      <c r="E155" s="219">
        <v>1500</v>
      </c>
      <c r="F155" s="219">
        <v>1500</v>
      </c>
      <c r="G155" s="219">
        <v>1800</v>
      </c>
      <c r="H155" s="1069">
        <v>1800</v>
      </c>
      <c r="I155" s="187"/>
      <c r="K155" s="158"/>
      <c r="L155" s="150"/>
      <c r="M155" s="150"/>
    </row>
    <row r="156" spans="1:13" ht="12.75">
      <c r="A156" s="1045">
        <v>633</v>
      </c>
      <c r="B156" s="178"/>
      <c r="C156" s="141" t="s">
        <v>232</v>
      </c>
      <c r="D156" s="116">
        <f>D158+D159+D157</f>
        <v>1759</v>
      </c>
      <c r="E156" s="116">
        <f>E158+E159+E157</f>
        <v>400</v>
      </c>
      <c r="F156" s="116">
        <f>F158+F159+F157</f>
        <v>1800</v>
      </c>
      <c r="G156" s="116">
        <f>G158+G159+G157</f>
        <v>1800</v>
      </c>
      <c r="H156" s="1061">
        <f>H158+H159+H157</f>
        <v>1800</v>
      </c>
      <c r="I156" s="187"/>
      <c r="J156" s="187"/>
      <c r="K156" s="187"/>
      <c r="L156" s="187"/>
      <c r="M156" s="187"/>
    </row>
    <row r="157" spans="1:13" ht="12.75">
      <c r="A157" s="1029">
        <v>633</v>
      </c>
      <c r="B157" s="100" t="s">
        <v>125</v>
      </c>
      <c r="C157" s="88" t="s">
        <v>610</v>
      </c>
      <c r="D157" s="118">
        <v>0</v>
      </c>
      <c r="E157" s="118">
        <v>100</v>
      </c>
      <c r="F157" s="118">
        <v>1000</v>
      </c>
      <c r="G157" s="118">
        <v>1000</v>
      </c>
      <c r="H157" s="1070">
        <v>1000</v>
      </c>
      <c r="I157" s="187"/>
      <c r="J157" s="187"/>
      <c r="K157" s="187"/>
      <c r="L157" s="187"/>
      <c r="M157" s="187"/>
    </row>
    <row r="158" spans="1:13" ht="12.75">
      <c r="A158" s="1044">
        <v>633</v>
      </c>
      <c r="B158" s="843" t="s">
        <v>142</v>
      </c>
      <c r="C158" s="833" t="s">
        <v>390</v>
      </c>
      <c r="D158" s="118">
        <v>920</v>
      </c>
      <c r="E158" s="118">
        <v>0</v>
      </c>
      <c r="F158" s="118">
        <v>500</v>
      </c>
      <c r="G158" s="118">
        <v>500</v>
      </c>
      <c r="H158" s="1070">
        <v>500</v>
      </c>
      <c r="I158" s="854"/>
      <c r="K158" s="150"/>
      <c r="L158" s="879"/>
      <c r="M158" s="879"/>
    </row>
    <row r="159" spans="1:13" ht="12.75">
      <c r="A159" s="1058">
        <v>633</v>
      </c>
      <c r="B159" s="100" t="s">
        <v>527</v>
      </c>
      <c r="C159" s="88" t="s">
        <v>611</v>
      </c>
      <c r="D159" s="118">
        <v>839</v>
      </c>
      <c r="E159" s="118">
        <v>300</v>
      </c>
      <c r="F159" s="118">
        <v>300</v>
      </c>
      <c r="G159" s="118">
        <v>300</v>
      </c>
      <c r="H159" s="1070">
        <v>300</v>
      </c>
      <c r="I159" s="854"/>
      <c r="K159" s="150"/>
      <c r="L159" s="879"/>
      <c r="M159" s="879"/>
    </row>
    <row r="160" spans="1:13" ht="12.75">
      <c r="A160" s="1090">
        <v>634</v>
      </c>
      <c r="B160" s="121"/>
      <c r="C160" s="150" t="s">
        <v>234</v>
      </c>
      <c r="D160" s="219">
        <f>SUM(D161,D162,D163)</f>
        <v>9603</v>
      </c>
      <c r="E160" s="219">
        <f>SUM(E161,E162,E163)</f>
        <v>7800</v>
      </c>
      <c r="F160" s="219">
        <f>SUM(F161,F162,F163)</f>
        <v>7800</v>
      </c>
      <c r="G160" s="219">
        <f>SUM(G161,G162,G163)</f>
        <v>8000</v>
      </c>
      <c r="H160" s="1069">
        <f>SUM(H161,H162,H163)</f>
        <v>8000</v>
      </c>
      <c r="I160" s="187"/>
      <c r="K160" s="158"/>
      <c r="L160" s="158"/>
      <c r="M160" s="158"/>
    </row>
    <row r="161" spans="1:13" ht="12.75">
      <c r="A161" s="1029">
        <v>634</v>
      </c>
      <c r="B161" s="100" t="s">
        <v>106</v>
      </c>
      <c r="C161" s="88" t="s">
        <v>595</v>
      </c>
      <c r="D161" s="118">
        <v>5075</v>
      </c>
      <c r="E161" s="118">
        <v>5000</v>
      </c>
      <c r="F161" s="118">
        <v>5000</v>
      </c>
      <c r="G161" s="118">
        <v>5000</v>
      </c>
      <c r="H161" s="1070">
        <v>5000</v>
      </c>
      <c r="I161" s="854"/>
      <c r="K161" s="158"/>
      <c r="L161" s="879"/>
      <c r="M161" s="879"/>
    </row>
    <row r="162" spans="1:13" ht="12.75">
      <c r="A162" s="1029">
        <v>634</v>
      </c>
      <c r="B162" s="100" t="s">
        <v>104</v>
      </c>
      <c r="C162" s="88" t="s">
        <v>597</v>
      </c>
      <c r="D162" s="118">
        <v>1650</v>
      </c>
      <c r="E162" s="118">
        <v>300</v>
      </c>
      <c r="F162" s="118">
        <v>300</v>
      </c>
      <c r="G162" s="118">
        <v>500</v>
      </c>
      <c r="H162" s="1070">
        <v>500</v>
      </c>
      <c r="I162" s="854"/>
      <c r="K162" s="150"/>
      <c r="L162" s="879"/>
      <c r="M162" s="879"/>
    </row>
    <row r="163" spans="1:13" ht="12.75">
      <c r="A163" s="1029">
        <v>634</v>
      </c>
      <c r="B163" s="100" t="s">
        <v>109</v>
      </c>
      <c r="C163" s="88" t="s">
        <v>596</v>
      </c>
      <c r="D163" s="118">
        <v>2878</v>
      </c>
      <c r="E163" s="118">
        <v>2500</v>
      </c>
      <c r="F163" s="118">
        <v>2500</v>
      </c>
      <c r="G163" s="118">
        <v>2500</v>
      </c>
      <c r="H163" s="1070">
        <v>2500</v>
      </c>
      <c r="I163" s="854"/>
      <c r="K163" s="158"/>
      <c r="L163" s="879"/>
      <c r="M163" s="879"/>
    </row>
    <row r="164" spans="1:13" ht="12.75">
      <c r="A164" s="1071">
        <v>635</v>
      </c>
      <c r="B164" s="178"/>
      <c r="C164" s="141" t="s">
        <v>332</v>
      </c>
      <c r="D164" s="219">
        <v>2050</v>
      </c>
      <c r="E164" s="219">
        <v>3500</v>
      </c>
      <c r="F164" s="219">
        <v>3500</v>
      </c>
      <c r="G164" s="219">
        <v>3500</v>
      </c>
      <c r="H164" s="1069">
        <v>3500</v>
      </c>
      <c r="I164" s="187"/>
      <c r="K164" s="158"/>
      <c r="L164" s="150"/>
      <c r="M164" s="150"/>
    </row>
    <row r="165" spans="1:13" ht="12.75">
      <c r="A165" s="1058">
        <v>637</v>
      </c>
      <c r="B165" s="100"/>
      <c r="C165" s="88" t="s">
        <v>612</v>
      </c>
      <c r="D165" s="219">
        <v>253</v>
      </c>
      <c r="E165" s="219">
        <v>270</v>
      </c>
      <c r="F165" s="219">
        <v>270</v>
      </c>
      <c r="G165" s="219">
        <v>270</v>
      </c>
      <c r="H165" s="1069">
        <v>270</v>
      </c>
      <c r="I165" s="187"/>
      <c r="K165" s="150"/>
      <c r="L165" s="150"/>
      <c r="M165" s="150"/>
    </row>
    <row r="166" spans="1:14" ht="12.75">
      <c r="A166" s="1092">
        <v>642</v>
      </c>
      <c r="B166" s="1064" t="s">
        <v>115</v>
      </c>
      <c r="C166" s="1065" t="s">
        <v>613</v>
      </c>
      <c r="D166" s="1066">
        <v>0</v>
      </c>
      <c r="E166" s="1066">
        <v>1119</v>
      </c>
      <c r="F166" s="1066">
        <v>1200</v>
      </c>
      <c r="G166" s="1066">
        <v>0</v>
      </c>
      <c r="H166" s="1085">
        <v>0</v>
      </c>
      <c r="I166" s="187"/>
      <c r="K166" s="150"/>
      <c r="L166" s="150"/>
      <c r="M166" s="150"/>
      <c r="N166" s="880"/>
    </row>
    <row r="167" spans="1:8" ht="12.75">
      <c r="A167" s="926"/>
      <c r="B167" s="278"/>
      <c r="C167" s="1093"/>
      <c r="D167" s="871"/>
      <c r="E167" s="1094"/>
      <c r="F167" s="1095"/>
      <c r="G167" s="910"/>
      <c r="H167" s="911"/>
    </row>
    <row r="168" spans="1:14" s="54" customFormat="1" ht="12.75" customHeight="1">
      <c r="A168" s="1086" t="s">
        <v>614</v>
      </c>
      <c r="B168" s="1087"/>
      <c r="C168" s="1087"/>
      <c r="D168" s="1135">
        <f>D169+D171+D174</f>
        <v>16282</v>
      </c>
      <c r="E168" s="1096">
        <f>E169+E171+E174</f>
        <v>14280</v>
      </c>
      <c r="F168" s="1097">
        <f>F169+F171+F174</f>
        <v>14400</v>
      </c>
      <c r="G168" s="1097">
        <f>G169+G171+G174</f>
        <v>14400</v>
      </c>
      <c r="H168" s="1098">
        <f>H169+H171+H174</f>
        <v>14400</v>
      </c>
      <c r="I168" s="878"/>
      <c r="J168" s="857"/>
      <c r="K168" s="805"/>
      <c r="L168" s="805"/>
      <c r="M168" s="805"/>
      <c r="N168" s="837"/>
    </row>
    <row r="169" spans="1:13" ht="12.75">
      <c r="A169" s="1029">
        <v>610</v>
      </c>
      <c r="B169" s="100"/>
      <c r="C169" s="860" t="s">
        <v>512</v>
      </c>
      <c r="D169" s="1136">
        <v>7014</v>
      </c>
      <c r="E169" s="895">
        <v>7340</v>
      </c>
      <c r="F169" s="219">
        <v>7500</v>
      </c>
      <c r="G169" s="219">
        <v>7500</v>
      </c>
      <c r="H169" s="1069">
        <v>7500</v>
      </c>
      <c r="I169" s="187"/>
      <c r="K169" s="158"/>
      <c r="L169" s="150"/>
      <c r="M169" s="150"/>
    </row>
    <row r="170" spans="1:14" s="57" customFormat="1" ht="12.75">
      <c r="A170" s="1031">
        <v>610</v>
      </c>
      <c r="B170" s="835"/>
      <c r="C170" s="814" t="s">
        <v>615</v>
      </c>
      <c r="D170" s="1137">
        <v>5469</v>
      </c>
      <c r="E170" s="896">
        <v>5000</v>
      </c>
      <c r="F170" s="849">
        <v>5000</v>
      </c>
      <c r="G170" s="849">
        <v>5000</v>
      </c>
      <c r="H170" s="1052">
        <v>5000</v>
      </c>
      <c r="I170" s="850"/>
      <c r="K170" s="882"/>
      <c r="L170" s="800"/>
      <c r="M170" s="897"/>
      <c r="N170" s="53"/>
    </row>
    <row r="171" spans="1:13" ht="12.75" customHeight="1">
      <c r="A171" s="1029">
        <v>620</v>
      </c>
      <c r="B171" s="100"/>
      <c r="C171" s="88" t="s">
        <v>226</v>
      </c>
      <c r="D171" s="1136">
        <v>2560</v>
      </c>
      <c r="E171" s="895">
        <v>2640</v>
      </c>
      <c r="F171" s="219">
        <v>2650</v>
      </c>
      <c r="G171" s="219">
        <v>2650</v>
      </c>
      <c r="H171" s="1069">
        <v>2650</v>
      </c>
      <c r="I171" s="187"/>
      <c r="K171" s="150"/>
      <c r="L171" s="150"/>
      <c r="M171" s="150"/>
    </row>
    <row r="172" spans="1:13" ht="12.75" customHeight="1">
      <c r="A172" s="1031">
        <v>620</v>
      </c>
      <c r="B172" s="835"/>
      <c r="C172" s="824" t="s">
        <v>616</v>
      </c>
      <c r="D172" s="1137">
        <v>1691</v>
      </c>
      <c r="E172" s="896">
        <v>1000</v>
      </c>
      <c r="F172" s="849">
        <v>1000</v>
      </c>
      <c r="G172" s="849">
        <v>1000</v>
      </c>
      <c r="H172" s="1052">
        <v>1000</v>
      </c>
      <c r="I172" s="850"/>
      <c r="K172" s="882"/>
      <c r="L172" s="800"/>
      <c r="M172" s="897"/>
    </row>
    <row r="173" spans="1:13" ht="12.75" customHeight="1">
      <c r="A173" s="1031">
        <v>633</v>
      </c>
      <c r="B173" s="835"/>
      <c r="C173" s="824" t="s">
        <v>617</v>
      </c>
      <c r="D173" s="1137">
        <v>5999</v>
      </c>
      <c r="E173" s="896">
        <v>4050</v>
      </c>
      <c r="F173" s="849">
        <v>4000</v>
      </c>
      <c r="G173" s="849">
        <v>4000</v>
      </c>
      <c r="H173" s="1052">
        <v>4000</v>
      </c>
      <c r="I173" s="850"/>
      <c r="K173" s="882"/>
      <c r="L173" s="800"/>
      <c r="M173" s="898"/>
    </row>
    <row r="174" spans="1:13" ht="12.75">
      <c r="A174" s="1029">
        <v>633</v>
      </c>
      <c r="B174" s="835"/>
      <c r="C174" s="88" t="s">
        <v>282</v>
      </c>
      <c r="D174" s="1138">
        <v>6708</v>
      </c>
      <c r="E174" s="899">
        <v>4300</v>
      </c>
      <c r="F174" s="116">
        <v>4250</v>
      </c>
      <c r="G174" s="116">
        <v>4250</v>
      </c>
      <c r="H174" s="1061">
        <v>4250</v>
      </c>
      <c r="I174" s="187"/>
      <c r="K174" s="150"/>
      <c r="L174" s="150"/>
      <c r="M174" s="150"/>
    </row>
    <row r="175" spans="1:13" ht="12.75">
      <c r="A175" s="1029">
        <v>634</v>
      </c>
      <c r="B175" s="100"/>
      <c r="C175" s="88" t="s">
        <v>234</v>
      </c>
      <c r="D175" s="1139">
        <v>0</v>
      </c>
      <c r="E175" s="895">
        <v>0</v>
      </c>
      <c r="F175" s="219">
        <v>0</v>
      </c>
      <c r="G175" s="219">
        <v>0</v>
      </c>
      <c r="H175" s="1069">
        <v>0</v>
      </c>
      <c r="I175" s="187"/>
      <c r="K175" s="150"/>
      <c r="L175" s="150"/>
      <c r="M175" s="150"/>
    </row>
    <row r="176" spans="1:13" ht="12.75">
      <c r="A176" s="1063">
        <v>637</v>
      </c>
      <c r="B176" s="1064"/>
      <c r="C176" s="1099" t="s">
        <v>240</v>
      </c>
      <c r="D176" s="1100">
        <v>0</v>
      </c>
      <c r="E176" s="1100">
        <v>0</v>
      </c>
      <c r="F176" s="1100">
        <v>0</v>
      </c>
      <c r="G176" s="1100">
        <v>0</v>
      </c>
      <c r="H176" s="1101">
        <v>0</v>
      </c>
      <c r="I176" s="187"/>
      <c r="K176" s="150"/>
      <c r="L176" s="150"/>
      <c r="M176" s="150"/>
    </row>
    <row r="177" spans="1:9" ht="12.75">
      <c r="A177" s="900"/>
      <c r="B177" s="278"/>
      <c r="C177" s="871"/>
      <c r="D177" s="792"/>
      <c r="F177" s="901"/>
      <c r="G177" s="901"/>
      <c r="H177" s="901"/>
      <c r="I177" s="188"/>
    </row>
    <row r="178" spans="1:13" s="278" customFormat="1" ht="11.25">
      <c r="A178" s="1086" t="s">
        <v>618</v>
      </c>
      <c r="B178" s="1102"/>
      <c r="C178" s="1103"/>
      <c r="D178" s="1097">
        <f>SUM(D179)</f>
        <v>0</v>
      </c>
      <c r="E178" s="1097">
        <f>SUM(E179)</f>
        <v>0</v>
      </c>
      <c r="F178" s="1097">
        <f>SUM(F179,F180)</f>
        <v>1000</v>
      </c>
      <c r="G178" s="1097">
        <f>SUM(G179,G180)</f>
        <v>1000</v>
      </c>
      <c r="H178" s="1098">
        <f>SUM(H179,H180)</f>
        <v>1000</v>
      </c>
      <c r="I178" s="878"/>
      <c r="J178" s="870"/>
      <c r="K178" s="857"/>
      <c r="L178" s="857"/>
      <c r="M178" s="857"/>
    </row>
    <row r="179" spans="1:13" ht="12.75">
      <c r="A179" s="1029">
        <v>637</v>
      </c>
      <c r="B179" s="100"/>
      <c r="C179" s="89" t="s">
        <v>240</v>
      </c>
      <c r="D179" s="219">
        <v>0</v>
      </c>
      <c r="E179" s="219">
        <v>0</v>
      </c>
      <c r="F179" s="219">
        <v>0</v>
      </c>
      <c r="G179" s="219">
        <v>0</v>
      </c>
      <c r="H179" s="1069">
        <v>0</v>
      </c>
      <c r="I179" s="158"/>
      <c r="K179" s="150"/>
      <c r="L179" s="150"/>
      <c r="M179" s="150"/>
    </row>
    <row r="180" spans="1:13" ht="12.75">
      <c r="A180" s="1063">
        <v>637</v>
      </c>
      <c r="B180" s="1064" t="s">
        <v>137</v>
      </c>
      <c r="C180" s="1065" t="s">
        <v>605</v>
      </c>
      <c r="D180" s="1066">
        <v>0</v>
      </c>
      <c r="E180" s="1066">
        <v>0</v>
      </c>
      <c r="F180" s="1066">
        <v>1000</v>
      </c>
      <c r="G180" s="1066">
        <v>1000</v>
      </c>
      <c r="H180" s="1085">
        <v>1000</v>
      </c>
      <c r="I180" s="854"/>
      <c r="K180" s="879"/>
      <c r="L180" s="150"/>
      <c r="M180" s="150"/>
    </row>
    <row r="181" spans="1:8" ht="12.75">
      <c r="A181" s="900"/>
      <c r="B181" s="278"/>
      <c r="C181" s="871"/>
      <c r="D181" s="792"/>
      <c r="G181" s="253"/>
      <c r="H181" s="253"/>
    </row>
    <row r="182" spans="1:13" s="278" customFormat="1" ht="11.25">
      <c r="A182" s="1086" t="s">
        <v>619</v>
      </c>
      <c r="B182" s="1102"/>
      <c r="C182" s="1103"/>
      <c r="D182" s="1097">
        <f>SUM(D183,D185)</f>
        <v>3431</v>
      </c>
      <c r="E182" s="1097">
        <f>SUM(E183,E185)</f>
        <v>3000</v>
      </c>
      <c r="F182" s="1097">
        <f>SUM(F183,F185)</f>
        <v>3000</v>
      </c>
      <c r="G182" s="1097">
        <f>SUM(G183,G185)</f>
        <v>3000</v>
      </c>
      <c r="H182" s="1098">
        <f>SUM(H183,H185)</f>
        <v>3000</v>
      </c>
      <c r="I182" s="878"/>
      <c r="J182" s="870"/>
      <c r="K182" s="805"/>
      <c r="L182" s="805"/>
      <c r="M182" s="805"/>
    </row>
    <row r="183" spans="1:13" ht="12.75">
      <c r="A183" s="1029">
        <v>633</v>
      </c>
      <c r="B183" s="100"/>
      <c r="C183" s="89" t="s">
        <v>232</v>
      </c>
      <c r="D183" s="219">
        <v>0</v>
      </c>
      <c r="E183" s="219">
        <v>0</v>
      </c>
      <c r="F183" s="219">
        <v>0</v>
      </c>
      <c r="G183" s="219">
        <v>0</v>
      </c>
      <c r="H183" s="1069">
        <v>0</v>
      </c>
      <c r="I183" s="158"/>
      <c r="J183" s="135"/>
      <c r="K183" s="150"/>
      <c r="L183" s="150"/>
      <c r="M183" s="150"/>
    </row>
    <row r="184" spans="1:14" s="86" customFormat="1" ht="12.75">
      <c r="A184" s="1029">
        <v>633</v>
      </c>
      <c r="B184" s="100" t="s">
        <v>142</v>
      </c>
      <c r="C184" s="89" t="s">
        <v>390</v>
      </c>
      <c r="D184" s="219">
        <v>0</v>
      </c>
      <c r="E184" s="219">
        <v>0</v>
      </c>
      <c r="F184" s="219">
        <v>0</v>
      </c>
      <c r="G184" s="219">
        <v>0</v>
      </c>
      <c r="H184" s="1069">
        <v>0</v>
      </c>
      <c r="I184" s="854"/>
      <c r="J184" s="135"/>
      <c r="K184" s="854"/>
      <c r="L184" s="150"/>
      <c r="M184" s="150"/>
      <c r="N184" s="53"/>
    </row>
    <row r="185" spans="1:14" s="86" customFormat="1" ht="12.75">
      <c r="A185" s="1092">
        <v>635</v>
      </c>
      <c r="B185" s="1064"/>
      <c r="C185" s="1065" t="s">
        <v>332</v>
      </c>
      <c r="D185" s="1066">
        <v>3431</v>
      </c>
      <c r="E185" s="1066">
        <v>3000</v>
      </c>
      <c r="F185" s="1066">
        <v>3000</v>
      </c>
      <c r="G185" s="1066">
        <v>3000</v>
      </c>
      <c r="H185" s="1085">
        <v>3000</v>
      </c>
      <c r="I185" s="158"/>
      <c r="J185" s="57"/>
      <c r="K185" s="158"/>
      <c r="L185" s="150"/>
      <c r="M185" s="150"/>
      <c r="N185" s="53"/>
    </row>
    <row r="186" spans="1:14" s="86" customFormat="1" ht="12.75">
      <c r="A186" s="926"/>
      <c r="B186" s="278"/>
      <c r="C186" s="871"/>
      <c r="D186" s="792"/>
      <c r="E186" s="792"/>
      <c r="F186" s="792"/>
      <c r="G186" s="901"/>
      <c r="H186" s="901"/>
      <c r="I186" s="159"/>
      <c r="J186" s="57"/>
      <c r="K186" s="57"/>
      <c r="L186" s="57"/>
      <c r="M186" s="57"/>
      <c r="N186" s="53"/>
    </row>
    <row r="187" spans="1:13" s="278" customFormat="1" ht="11.25">
      <c r="A187" s="1086" t="s">
        <v>620</v>
      </c>
      <c r="B187" s="1102"/>
      <c r="C187" s="1102"/>
      <c r="D187" s="1097">
        <f>SUM(D188)</f>
        <v>0</v>
      </c>
      <c r="E187" s="1097">
        <f>SUM(E188)</f>
        <v>0</v>
      </c>
      <c r="F187" s="1097">
        <f>SUM(F188)</f>
        <v>0</v>
      </c>
      <c r="G187" s="1097">
        <f>SUM(G188)</f>
        <v>0</v>
      </c>
      <c r="H187" s="1098">
        <f>SUM(H188)</f>
        <v>0</v>
      </c>
      <c r="I187" s="878"/>
      <c r="J187" s="870"/>
      <c r="K187" s="857"/>
      <c r="L187" s="857"/>
      <c r="M187" s="857"/>
    </row>
    <row r="188" spans="1:13" ht="12.75">
      <c r="A188" s="1029">
        <v>637</v>
      </c>
      <c r="B188" s="100"/>
      <c r="C188" s="88" t="s">
        <v>240</v>
      </c>
      <c r="D188" s="219">
        <v>0</v>
      </c>
      <c r="E188" s="219">
        <v>0</v>
      </c>
      <c r="F188" s="219">
        <v>0</v>
      </c>
      <c r="G188" s="219">
        <v>0</v>
      </c>
      <c r="H188" s="1069">
        <v>0</v>
      </c>
      <c r="I188" s="158"/>
      <c r="K188" s="150"/>
      <c r="L188" s="150"/>
      <c r="M188" s="150"/>
    </row>
    <row r="189" spans="1:13" ht="12.75">
      <c r="A189" s="1029">
        <v>637</v>
      </c>
      <c r="B189" s="100" t="s">
        <v>137</v>
      </c>
      <c r="C189" s="88" t="s">
        <v>605</v>
      </c>
      <c r="D189" s="219">
        <v>0</v>
      </c>
      <c r="E189" s="219">
        <v>0</v>
      </c>
      <c r="F189" s="219">
        <v>0</v>
      </c>
      <c r="G189" s="219">
        <v>0</v>
      </c>
      <c r="H189" s="1069">
        <v>0</v>
      </c>
      <c r="I189" s="854"/>
      <c r="K189" s="879"/>
      <c r="L189" s="150"/>
      <c r="M189" s="150"/>
    </row>
    <row r="190" spans="1:14" ht="12.75">
      <c r="A190" s="1072" t="s">
        <v>621</v>
      </c>
      <c r="B190" s="1073"/>
      <c r="C190" s="1074" t="s">
        <v>622</v>
      </c>
      <c r="D190" s="1104">
        <f>SUM(D152,D168,D178,D182,D187)</f>
        <v>113113</v>
      </c>
      <c r="E190" s="1104">
        <f>SUM(E152,E168,E178,E182,E187)</f>
        <v>105169</v>
      </c>
      <c r="F190" s="1105">
        <f>F152+F168+F178+F182+F187</f>
        <v>107770</v>
      </c>
      <c r="G190" s="1105">
        <f>G152+G168+G178+G182+G187</f>
        <v>115770</v>
      </c>
      <c r="H190" s="1106">
        <f>H152+H168+H178+H182+H187</f>
        <v>115770</v>
      </c>
      <c r="I190" s="188"/>
      <c r="J190" s="871"/>
      <c r="K190" s="805"/>
      <c r="L190" s="805"/>
      <c r="M190" s="805"/>
      <c r="N190" s="880"/>
    </row>
    <row r="191" spans="1:9" ht="12.75">
      <c r="A191" s="874"/>
      <c r="B191" s="150"/>
      <c r="C191" s="270"/>
      <c r="D191" s="270"/>
      <c r="E191" s="875"/>
      <c r="F191" s="875"/>
      <c r="G191" s="875"/>
      <c r="H191" s="876"/>
      <c r="I191" s="276"/>
    </row>
    <row r="192" spans="1:13" ht="12.75">
      <c r="A192" s="874"/>
      <c r="B192" s="150"/>
      <c r="C192" s="270"/>
      <c r="D192" s="270"/>
      <c r="E192" s="875"/>
      <c r="F192" s="1273" t="s">
        <v>623</v>
      </c>
      <c r="G192" s="1273"/>
      <c r="H192" s="1273"/>
      <c r="I192" s="260"/>
      <c r="J192" s="260"/>
      <c r="K192" s="260"/>
      <c r="L192" s="260"/>
      <c r="M192" s="260"/>
    </row>
    <row r="193" spans="1:9" ht="12.75">
      <c r="A193" s="874"/>
      <c r="B193" s="150"/>
      <c r="C193" s="270"/>
      <c r="D193" s="270"/>
      <c r="E193" s="875"/>
      <c r="F193" s="875"/>
      <c r="G193" s="875"/>
      <c r="H193" s="876"/>
      <c r="I193" s="276"/>
    </row>
    <row r="194" spans="1:13" s="867" customFormat="1" ht="12.75">
      <c r="A194" s="1018" t="s">
        <v>471</v>
      </c>
      <c r="B194" s="1019"/>
      <c r="C194" s="1020"/>
      <c r="D194" s="1020">
        <v>2011</v>
      </c>
      <c r="E194" s="1022">
        <v>2012</v>
      </c>
      <c r="F194" s="1079">
        <v>2013</v>
      </c>
      <c r="G194" s="1079">
        <v>2014</v>
      </c>
      <c r="H194" s="1080">
        <v>2015</v>
      </c>
      <c r="I194" s="864"/>
      <c r="J194" s="865"/>
      <c r="K194" s="866"/>
      <c r="L194" s="798"/>
      <c r="M194" s="799"/>
    </row>
    <row r="195" spans="1:13" s="278" customFormat="1" ht="11.25">
      <c r="A195" s="1025" t="s">
        <v>624</v>
      </c>
      <c r="B195" s="902"/>
      <c r="C195" s="902"/>
      <c r="D195" s="856">
        <f>SUM(D196,D197,D200,D201,D202)</f>
        <v>82027</v>
      </c>
      <c r="E195" s="856">
        <f>SUM(E196,E197,E200,E201,E202)</f>
        <v>72000</v>
      </c>
      <c r="F195" s="856">
        <f>SUM(F196,F197,F200,F201,F202)</f>
        <v>72000</v>
      </c>
      <c r="G195" s="856">
        <f>SUM(G196,G197,G200,G201,G202)</f>
        <v>65000</v>
      </c>
      <c r="H195" s="1084">
        <f>SUM(H196,H197,H200,H201,H202)</f>
        <v>65000</v>
      </c>
      <c r="I195" s="878"/>
      <c r="J195" s="857"/>
      <c r="K195" s="805"/>
      <c r="L195" s="805"/>
      <c r="M195" s="805"/>
    </row>
    <row r="196" spans="1:14" s="57" customFormat="1" ht="12.75">
      <c r="A196" s="1029">
        <v>633</v>
      </c>
      <c r="B196" s="100"/>
      <c r="C196" s="88" t="s">
        <v>232</v>
      </c>
      <c r="D196" s="219">
        <v>0</v>
      </c>
      <c r="E196" s="219">
        <v>0</v>
      </c>
      <c r="F196" s="219">
        <v>0</v>
      </c>
      <c r="G196" s="219">
        <v>0</v>
      </c>
      <c r="H196" s="1069">
        <v>0</v>
      </c>
      <c r="I196" s="158"/>
      <c r="K196" s="150"/>
      <c r="L196" s="150"/>
      <c r="M196" s="150"/>
      <c r="N196" s="53"/>
    </row>
    <row r="197" spans="1:14" s="86" customFormat="1" ht="12.75">
      <c r="A197" s="1029">
        <v>634</v>
      </c>
      <c r="B197" s="100"/>
      <c r="C197" s="88" t="s">
        <v>234</v>
      </c>
      <c r="D197" s="219">
        <f>SUM(D198,D199)</f>
        <v>0</v>
      </c>
      <c r="E197" s="219">
        <f>SUM(E198,E199)</f>
        <v>0</v>
      </c>
      <c r="F197" s="219">
        <f>SUM(F198,F199)</f>
        <v>0</v>
      </c>
      <c r="G197" s="219">
        <f>SUM(G198,G199)</f>
        <v>0</v>
      </c>
      <c r="H197" s="1069">
        <f>SUM(H198,H199)</f>
        <v>0</v>
      </c>
      <c r="I197" s="158"/>
      <c r="J197" s="57"/>
      <c r="K197" s="150"/>
      <c r="L197" s="150"/>
      <c r="M197" s="150"/>
      <c r="N197" s="53"/>
    </row>
    <row r="198" spans="1:13" ht="12.75">
      <c r="A198" s="1029">
        <v>634</v>
      </c>
      <c r="B198" s="100" t="s">
        <v>106</v>
      </c>
      <c r="C198" s="88" t="s">
        <v>625</v>
      </c>
      <c r="D198" s="219">
        <v>0</v>
      </c>
      <c r="E198" s="219">
        <v>0</v>
      </c>
      <c r="F198" s="219">
        <v>0</v>
      </c>
      <c r="G198" s="219">
        <v>0</v>
      </c>
      <c r="H198" s="1069">
        <v>0</v>
      </c>
      <c r="I198" s="854"/>
      <c r="K198" s="879"/>
      <c r="L198" s="150"/>
      <c r="M198" s="150"/>
    </row>
    <row r="199" spans="1:13" ht="12.75">
      <c r="A199" s="1029">
        <v>634</v>
      </c>
      <c r="B199" s="100" t="s">
        <v>109</v>
      </c>
      <c r="C199" s="88" t="s">
        <v>596</v>
      </c>
      <c r="D199" s="219">
        <v>0</v>
      </c>
      <c r="E199" s="219">
        <v>0</v>
      </c>
      <c r="F199" s="219">
        <v>0</v>
      </c>
      <c r="G199" s="219">
        <v>0</v>
      </c>
      <c r="H199" s="1069">
        <v>0</v>
      </c>
      <c r="I199" s="854"/>
      <c r="K199" s="879"/>
      <c r="L199" s="150"/>
      <c r="M199" s="150"/>
    </row>
    <row r="200" spans="1:13" ht="12.75">
      <c r="A200" s="1029">
        <v>635</v>
      </c>
      <c r="B200" s="100"/>
      <c r="C200" s="88" t="s">
        <v>332</v>
      </c>
      <c r="D200" s="219">
        <v>0</v>
      </c>
      <c r="E200" s="219">
        <v>0</v>
      </c>
      <c r="F200" s="219">
        <v>0</v>
      </c>
      <c r="G200" s="219">
        <v>0</v>
      </c>
      <c r="H200" s="1069">
        <v>0</v>
      </c>
      <c r="I200" s="158"/>
      <c r="K200" s="873"/>
      <c r="L200" s="150"/>
      <c r="M200" s="150"/>
    </row>
    <row r="201" spans="1:13" ht="12.75">
      <c r="A201" s="1029">
        <v>636</v>
      </c>
      <c r="B201" s="100"/>
      <c r="C201" s="88" t="s">
        <v>626</v>
      </c>
      <c r="D201" s="219">
        <v>0</v>
      </c>
      <c r="E201" s="219">
        <v>0</v>
      </c>
      <c r="F201" s="219">
        <v>0</v>
      </c>
      <c r="G201" s="219">
        <v>0</v>
      </c>
      <c r="H201" s="1069">
        <v>0</v>
      </c>
      <c r="I201" s="158"/>
      <c r="K201" s="150"/>
      <c r="L201" s="150"/>
      <c r="M201" s="150"/>
    </row>
    <row r="202" spans="1:13" ht="12.75">
      <c r="A202" s="1045">
        <v>637</v>
      </c>
      <c r="B202" s="178"/>
      <c r="C202" s="904" t="s">
        <v>240</v>
      </c>
      <c r="D202" s="219">
        <v>82027</v>
      </c>
      <c r="E202" s="219">
        <v>72000</v>
      </c>
      <c r="F202" s="219">
        <v>72000</v>
      </c>
      <c r="G202" s="219">
        <v>65000</v>
      </c>
      <c r="H202" s="1069">
        <v>65000</v>
      </c>
      <c r="I202" s="187"/>
      <c r="K202" s="158"/>
      <c r="L202" s="150"/>
      <c r="M202" s="150"/>
    </row>
    <row r="203" spans="1:13" ht="12.75">
      <c r="A203" s="1063">
        <v>637</v>
      </c>
      <c r="B203" s="1064"/>
      <c r="C203" s="1065" t="s">
        <v>627</v>
      </c>
      <c r="D203" s="1107">
        <v>25190</v>
      </c>
      <c r="E203" s="1066">
        <v>0</v>
      </c>
      <c r="F203" s="1066">
        <v>0</v>
      </c>
      <c r="G203" s="1066">
        <v>0</v>
      </c>
      <c r="H203" s="1085">
        <v>0</v>
      </c>
      <c r="I203" s="187"/>
      <c r="K203" s="158"/>
      <c r="L203" s="848"/>
      <c r="M203" s="150"/>
    </row>
    <row r="204" spans="1:9" ht="12.75">
      <c r="A204" s="881"/>
      <c r="B204" s="57"/>
      <c r="C204" s="57"/>
      <c r="D204" s="792"/>
      <c r="F204" s="207"/>
      <c r="G204" s="207"/>
      <c r="H204" s="207"/>
      <c r="I204" s="905"/>
    </row>
    <row r="205" spans="1:13" s="278" customFormat="1" ht="11.25">
      <c r="A205" s="1086" t="s">
        <v>628</v>
      </c>
      <c r="B205" s="1102"/>
      <c r="C205" s="1102"/>
      <c r="D205" s="1088">
        <f>SUM(D206,D207,D208,D209,D210,D213)</f>
        <v>30158</v>
      </c>
      <c r="E205" s="1088">
        <f>SUM(E206,E207,E208,E209,E210,E213)</f>
        <v>25000</v>
      </c>
      <c r="F205" s="1088">
        <f>SUM(F206,F207,F208,F209,F210,F213)</f>
        <v>25000</v>
      </c>
      <c r="G205" s="1088">
        <f>SUM(G206,G207,G208,G209,G210,G213)</f>
        <v>26050</v>
      </c>
      <c r="H205" s="1089">
        <f>SUM(H206,H207,H208,H209,H210,H213)</f>
        <v>26050</v>
      </c>
      <c r="I205" s="878"/>
      <c r="J205" s="857"/>
      <c r="K205" s="805"/>
      <c r="L205" s="805"/>
      <c r="M205" s="805"/>
    </row>
    <row r="206" spans="1:14" s="57" customFormat="1" ht="12.75">
      <c r="A206" s="1058">
        <v>610</v>
      </c>
      <c r="B206" s="88"/>
      <c r="C206" s="88" t="s">
        <v>512</v>
      </c>
      <c r="D206" s="219">
        <v>4801</v>
      </c>
      <c r="E206" s="219">
        <v>5000</v>
      </c>
      <c r="F206" s="219">
        <v>5000</v>
      </c>
      <c r="G206" s="219">
        <v>5500</v>
      </c>
      <c r="H206" s="1069">
        <v>5500</v>
      </c>
      <c r="I206" s="187"/>
      <c r="J206" s="135"/>
      <c r="K206" s="158"/>
      <c r="L206" s="150"/>
      <c r="M206" s="150"/>
      <c r="N206" s="53"/>
    </row>
    <row r="207" spans="1:14" s="86" customFormat="1" ht="12.75">
      <c r="A207" s="1058">
        <v>620</v>
      </c>
      <c r="B207" s="88"/>
      <c r="C207" s="88" t="s">
        <v>226</v>
      </c>
      <c r="D207" s="219">
        <v>1724</v>
      </c>
      <c r="E207" s="219">
        <v>1500</v>
      </c>
      <c r="F207" s="219">
        <v>1500</v>
      </c>
      <c r="G207" s="219">
        <v>1550</v>
      </c>
      <c r="H207" s="1069">
        <v>1550</v>
      </c>
      <c r="I207" s="187"/>
      <c r="J207" s="135"/>
      <c r="K207" s="158"/>
      <c r="L207" s="150"/>
      <c r="M207" s="150"/>
      <c r="N207" s="53"/>
    </row>
    <row r="208" spans="1:14" s="86" customFormat="1" ht="12.75">
      <c r="A208" s="1108">
        <v>632</v>
      </c>
      <c r="B208" s="906"/>
      <c r="C208" s="907" t="s">
        <v>230</v>
      </c>
      <c r="D208" s="219">
        <v>5702</v>
      </c>
      <c r="E208" s="219">
        <v>5500</v>
      </c>
      <c r="F208" s="219">
        <v>5500</v>
      </c>
      <c r="G208" s="219">
        <v>6000</v>
      </c>
      <c r="H208" s="1069">
        <v>6000</v>
      </c>
      <c r="I208" s="187"/>
      <c r="J208" s="135"/>
      <c r="K208" s="158"/>
      <c r="L208" s="150"/>
      <c r="M208" s="150"/>
      <c r="N208" s="53"/>
    </row>
    <row r="209" spans="1:14" s="86" customFormat="1" ht="12.75">
      <c r="A209" s="1071">
        <v>633</v>
      </c>
      <c r="B209" s="908"/>
      <c r="C209" s="141" t="s">
        <v>232</v>
      </c>
      <c r="D209" s="219">
        <v>0</v>
      </c>
      <c r="E209" s="219">
        <v>0</v>
      </c>
      <c r="F209" s="219">
        <v>0</v>
      </c>
      <c r="G209" s="219">
        <v>0</v>
      </c>
      <c r="H209" s="1069">
        <v>0</v>
      </c>
      <c r="I209" s="187"/>
      <c r="J209" s="135"/>
      <c r="K209" s="150"/>
      <c r="L209" s="150"/>
      <c r="M209" s="150"/>
      <c r="N209" s="53"/>
    </row>
    <row r="210" spans="1:14" s="86" customFormat="1" ht="12.75">
      <c r="A210" s="1058">
        <v>634</v>
      </c>
      <c r="B210" s="909"/>
      <c r="C210" s="89" t="s">
        <v>629</v>
      </c>
      <c r="D210" s="219">
        <v>10346</v>
      </c>
      <c r="E210" s="219">
        <v>9500</v>
      </c>
      <c r="F210" s="219">
        <v>9500</v>
      </c>
      <c r="G210" s="219">
        <v>9500</v>
      </c>
      <c r="H210" s="1069">
        <v>9500</v>
      </c>
      <c r="I210" s="187"/>
      <c r="J210" s="135"/>
      <c r="K210" s="158"/>
      <c r="L210" s="150"/>
      <c r="M210" s="150"/>
      <c r="N210" s="53"/>
    </row>
    <row r="211" spans="1:14" s="86" customFormat="1" ht="12.75">
      <c r="A211" s="1058">
        <v>634</v>
      </c>
      <c r="B211" s="909" t="s">
        <v>106</v>
      </c>
      <c r="C211" s="89" t="s">
        <v>595</v>
      </c>
      <c r="D211" s="219"/>
      <c r="E211" s="219"/>
      <c r="F211" s="219"/>
      <c r="G211" s="219"/>
      <c r="H211" s="1069"/>
      <c r="I211" s="187"/>
      <c r="J211" s="135"/>
      <c r="K211" s="158"/>
      <c r="L211" s="150"/>
      <c r="M211" s="150"/>
      <c r="N211" s="53"/>
    </row>
    <row r="212" spans="1:14" s="86" customFormat="1" ht="12.75">
      <c r="A212" s="1058">
        <v>634</v>
      </c>
      <c r="B212" s="909" t="s">
        <v>109</v>
      </c>
      <c r="C212" s="89" t="s">
        <v>630</v>
      </c>
      <c r="D212" s="219"/>
      <c r="E212" s="219"/>
      <c r="F212" s="219"/>
      <c r="G212" s="219"/>
      <c r="H212" s="1069"/>
      <c r="I212" s="187"/>
      <c r="J212" s="135"/>
      <c r="K212" s="158"/>
      <c r="L212" s="150"/>
      <c r="M212" s="150"/>
      <c r="N212" s="53"/>
    </row>
    <row r="213" spans="1:14" s="86" customFormat="1" ht="12.75">
      <c r="A213" s="1109">
        <v>637</v>
      </c>
      <c r="B213" s="1110"/>
      <c r="C213" s="1111" t="s">
        <v>240</v>
      </c>
      <c r="D213" s="1066">
        <v>7585</v>
      </c>
      <c r="E213" s="1066">
        <v>3500</v>
      </c>
      <c r="F213" s="1066">
        <v>3500</v>
      </c>
      <c r="G213" s="1066">
        <v>3500</v>
      </c>
      <c r="H213" s="1085">
        <v>3500</v>
      </c>
      <c r="I213" s="158"/>
      <c r="J213" s="57"/>
      <c r="K213" s="158"/>
      <c r="L213" s="150"/>
      <c r="M213" s="150"/>
      <c r="N213" s="53"/>
    </row>
    <row r="214" spans="1:14" s="86" customFormat="1" ht="12.75">
      <c r="A214" s="926"/>
      <c r="B214" s="278"/>
      <c r="C214" s="871"/>
      <c r="D214" s="792"/>
      <c r="E214" s="792"/>
      <c r="F214" s="910"/>
      <c r="G214" s="910"/>
      <c r="H214" s="911"/>
      <c r="I214" s="159"/>
      <c r="J214" s="57"/>
      <c r="K214" s="57"/>
      <c r="L214" s="57"/>
      <c r="M214" s="57"/>
      <c r="N214" s="53"/>
    </row>
    <row r="215" spans="1:13" s="278" customFormat="1" ht="11.25">
      <c r="A215" s="1086" t="s">
        <v>631</v>
      </c>
      <c r="B215" s="1102"/>
      <c r="C215" s="1102"/>
      <c r="D215" s="1135">
        <f>SUM(D216,D217)</f>
        <v>66</v>
      </c>
      <c r="E215" s="1096">
        <f>SUM(E216)</f>
        <v>0</v>
      </c>
      <c r="F215" s="1097">
        <f>SUM(F216)</f>
        <v>0</v>
      </c>
      <c r="G215" s="1097">
        <f>SUM(G216)</f>
        <v>0</v>
      </c>
      <c r="H215" s="1098">
        <f>SUM(H216)</f>
        <v>0</v>
      </c>
      <c r="I215" s="878"/>
      <c r="J215" s="857"/>
      <c r="K215" s="857"/>
      <c r="L215" s="857"/>
      <c r="M215" s="857"/>
    </row>
    <row r="216" spans="1:13" ht="12.75">
      <c r="A216" s="1029">
        <v>637</v>
      </c>
      <c r="B216" s="100"/>
      <c r="C216" s="88" t="s">
        <v>240</v>
      </c>
      <c r="D216" s="1136">
        <v>0</v>
      </c>
      <c r="E216" s="895">
        <v>0</v>
      </c>
      <c r="F216" s="219">
        <v>0</v>
      </c>
      <c r="G216" s="219">
        <v>0</v>
      </c>
      <c r="H216" s="1069">
        <v>0</v>
      </c>
      <c r="I216" s="158"/>
      <c r="K216" s="150"/>
      <c r="L216" s="150"/>
      <c r="M216" s="150"/>
    </row>
    <row r="217" spans="1:13" ht="12.75">
      <c r="A217" s="1029">
        <v>637</v>
      </c>
      <c r="B217" s="100" t="s">
        <v>137</v>
      </c>
      <c r="C217" s="88" t="s">
        <v>605</v>
      </c>
      <c r="D217" s="1136">
        <v>66</v>
      </c>
      <c r="E217" s="895">
        <v>66</v>
      </c>
      <c r="F217" s="219">
        <v>0</v>
      </c>
      <c r="G217" s="219">
        <v>0</v>
      </c>
      <c r="H217" s="1069">
        <v>0</v>
      </c>
      <c r="I217" s="854"/>
      <c r="K217" s="879"/>
      <c r="L217" s="912"/>
      <c r="M217" s="150"/>
    </row>
    <row r="218" spans="1:13" ht="12.75">
      <c r="A218" s="1072" t="s">
        <v>632</v>
      </c>
      <c r="B218" s="1073"/>
      <c r="C218" s="1112" t="s">
        <v>633</v>
      </c>
      <c r="D218" s="1140">
        <f>SUM(D195,D205,D215)</f>
        <v>112251</v>
      </c>
      <c r="E218" s="1113">
        <f>SUM(E195,E205,E215)</f>
        <v>97000</v>
      </c>
      <c r="F218" s="1105">
        <f>F195+F205+F215</f>
        <v>97000</v>
      </c>
      <c r="G218" s="1105">
        <f>G195+G205+G215</f>
        <v>91050</v>
      </c>
      <c r="H218" s="1106">
        <f>H195+H205+H215</f>
        <v>91050</v>
      </c>
      <c r="I218" s="188"/>
      <c r="J218" s="913"/>
      <c r="K218" s="805"/>
      <c r="L218" s="805"/>
      <c r="M218" s="805"/>
    </row>
    <row r="219" spans="1:9" ht="12.75" hidden="1">
      <c r="A219" s="874"/>
      <c r="B219" s="150"/>
      <c r="C219" s="270"/>
      <c r="D219" s="270"/>
      <c r="E219" s="875"/>
      <c r="F219" s="875"/>
      <c r="G219" s="875"/>
      <c r="H219" s="876"/>
      <c r="I219" s="276"/>
    </row>
    <row r="220" spans="1:9" ht="12.75" hidden="1">
      <c r="A220" s="874"/>
      <c r="B220" s="150"/>
      <c r="C220" s="270"/>
      <c r="D220" s="270"/>
      <c r="E220" s="875"/>
      <c r="F220" s="875"/>
      <c r="G220" s="875"/>
      <c r="H220" s="876"/>
      <c r="I220" s="276"/>
    </row>
    <row r="221" spans="1:9" ht="12.75">
      <c r="A221" s="874"/>
      <c r="B221" s="150"/>
      <c r="C221" s="270"/>
      <c r="D221" s="270"/>
      <c r="E221" s="875"/>
      <c r="F221" s="875"/>
      <c r="G221" s="875"/>
      <c r="H221" s="876"/>
      <c r="I221" s="276"/>
    </row>
    <row r="222" spans="1:13" ht="12.75">
      <c r="A222" s="874"/>
      <c r="B222" s="150"/>
      <c r="C222" s="270"/>
      <c r="D222" s="270"/>
      <c r="E222" s="875"/>
      <c r="F222" s="1273" t="s">
        <v>634</v>
      </c>
      <c r="G222" s="1273"/>
      <c r="H222" s="1273"/>
      <c r="I222" s="260"/>
      <c r="J222" s="260"/>
      <c r="K222" s="260"/>
      <c r="L222" s="260"/>
      <c r="M222" s="260"/>
    </row>
    <row r="223" spans="1:9" ht="12.75">
      <c r="A223" s="874"/>
      <c r="B223" s="150"/>
      <c r="C223" s="270"/>
      <c r="D223" s="270"/>
      <c r="E223" s="875"/>
      <c r="F223" s="875"/>
      <c r="G223" s="875"/>
      <c r="H223" s="876"/>
      <c r="I223" s="276"/>
    </row>
    <row r="224" spans="1:13" s="867" customFormat="1" ht="12.75">
      <c r="A224" s="1018" t="s">
        <v>471</v>
      </c>
      <c r="B224" s="1019"/>
      <c r="C224" s="1077"/>
      <c r="D224" s="1141">
        <v>2011</v>
      </c>
      <c r="E224" s="1114">
        <v>2012</v>
      </c>
      <c r="F224" s="1079">
        <v>2013</v>
      </c>
      <c r="G224" s="1079">
        <v>2014</v>
      </c>
      <c r="H224" s="1080">
        <v>2015</v>
      </c>
      <c r="I224" s="864"/>
      <c r="J224" s="865"/>
      <c r="K224" s="866"/>
      <c r="L224" s="798"/>
      <c r="M224" s="799"/>
    </row>
    <row r="225" spans="1:14" s="278" customFormat="1" ht="11.25">
      <c r="A225" s="1025" t="s">
        <v>635</v>
      </c>
      <c r="B225" s="902"/>
      <c r="C225" s="902"/>
      <c r="D225" s="1142">
        <f>D226+D227+D228+D229</f>
        <v>35546</v>
      </c>
      <c r="E225" s="914">
        <f>E226+E227+E228+E229</f>
        <v>20257.27</v>
      </c>
      <c r="F225" s="856">
        <f>F226+F227+F228+F229</f>
        <v>1000</v>
      </c>
      <c r="G225" s="856">
        <f>G226+G227+G228+G229</f>
        <v>1000</v>
      </c>
      <c r="H225" s="1084">
        <f>H226+H227+H228+H229</f>
        <v>1000</v>
      </c>
      <c r="I225" s="878"/>
      <c r="J225" s="857"/>
      <c r="K225" s="805"/>
      <c r="L225" s="805"/>
      <c r="M225" s="805"/>
      <c r="N225" s="915"/>
    </row>
    <row r="226" spans="1:14" s="57" customFormat="1" ht="12.75">
      <c r="A226" s="1029">
        <v>610.62</v>
      </c>
      <c r="B226" s="100"/>
      <c r="C226" s="860" t="s">
        <v>512</v>
      </c>
      <c r="D226" s="1136">
        <v>0</v>
      </c>
      <c r="E226" s="895">
        <v>1790.49</v>
      </c>
      <c r="F226" s="219">
        <v>0</v>
      </c>
      <c r="G226" s="219">
        <v>0</v>
      </c>
      <c r="H226" s="1069">
        <v>0</v>
      </c>
      <c r="I226" s="158"/>
      <c r="K226" s="150"/>
      <c r="L226" s="150"/>
      <c r="M226" s="150"/>
      <c r="N226" s="53"/>
    </row>
    <row r="227" spans="1:14" s="86" customFormat="1" ht="12.75">
      <c r="A227" s="1029">
        <v>632</v>
      </c>
      <c r="B227" s="100"/>
      <c r="C227" s="88" t="s">
        <v>230</v>
      </c>
      <c r="D227" s="1136">
        <v>236</v>
      </c>
      <c r="E227" s="895">
        <v>250</v>
      </c>
      <c r="F227" s="219">
        <v>0</v>
      </c>
      <c r="G227" s="219">
        <v>0</v>
      </c>
      <c r="H227" s="1069">
        <v>0</v>
      </c>
      <c r="I227" s="158"/>
      <c r="J227" s="57"/>
      <c r="K227" s="150"/>
      <c r="L227" s="150"/>
      <c r="M227" s="150"/>
      <c r="N227" s="53"/>
    </row>
    <row r="228" spans="1:13" ht="12.75">
      <c r="A228" s="1029">
        <v>637</v>
      </c>
      <c r="B228" s="100"/>
      <c r="C228" s="88" t="s">
        <v>240</v>
      </c>
      <c r="D228" s="1136">
        <v>31452</v>
      </c>
      <c r="E228" s="895">
        <v>10500</v>
      </c>
      <c r="F228" s="219">
        <v>1000</v>
      </c>
      <c r="G228" s="219">
        <v>1000</v>
      </c>
      <c r="H228" s="1069">
        <v>1000</v>
      </c>
      <c r="I228" s="158"/>
      <c r="K228" s="158"/>
      <c r="L228" s="150"/>
      <c r="M228" s="916"/>
    </row>
    <row r="229" spans="1:14" ht="12.75">
      <c r="A229" s="1115">
        <v>637</v>
      </c>
      <c r="B229" s="1116"/>
      <c r="C229" s="1117" t="s">
        <v>636</v>
      </c>
      <c r="D229" s="1143">
        <v>3858</v>
      </c>
      <c r="E229" s="1118">
        <v>7716.78</v>
      </c>
      <c r="F229" s="1119">
        <v>0</v>
      </c>
      <c r="G229" s="1119">
        <v>0</v>
      </c>
      <c r="H229" s="1120">
        <v>0</v>
      </c>
      <c r="I229" s="917"/>
      <c r="J229" s="918"/>
      <c r="K229" s="917"/>
      <c r="L229" s="800"/>
      <c r="M229" s="150"/>
      <c r="N229" s="880"/>
    </row>
    <row r="230" spans="1:9" ht="12.75">
      <c r="A230" s="900"/>
      <c r="B230" s="278"/>
      <c r="C230" s="871"/>
      <c r="D230" s="792"/>
      <c r="F230" s="919"/>
      <c r="G230" s="919"/>
      <c r="H230" s="920"/>
      <c r="I230" s="159"/>
    </row>
    <row r="231" spans="1:13" s="278" customFormat="1" ht="11.25">
      <c r="A231" s="1086" t="s">
        <v>637</v>
      </c>
      <c r="B231" s="1102"/>
      <c r="C231" s="1102"/>
      <c r="D231" s="1142">
        <f>SUM(D232,D233,D234,D235)</f>
        <v>18675</v>
      </c>
      <c r="E231" s="1121">
        <f>SUM(E232,E233,E234,E235)</f>
        <v>15650</v>
      </c>
      <c r="F231" s="1088">
        <f>SUM(F232,F233,F234,F235)</f>
        <v>15650</v>
      </c>
      <c r="G231" s="1088">
        <f>SUM(G232,G233,G234,G235)</f>
        <v>15650</v>
      </c>
      <c r="H231" s="1089">
        <f>SUM(H232,H233,H234,H235)</f>
        <v>15650</v>
      </c>
      <c r="I231" s="878"/>
      <c r="J231" s="857"/>
      <c r="K231" s="805"/>
      <c r="L231" s="805"/>
      <c r="M231" s="805"/>
    </row>
    <row r="232" spans="1:14" s="57" customFormat="1" ht="12.75">
      <c r="A232" s="1058">
        <v>632</v>
      </c>
      <c r="B232" s="100"/>
      <c r="C232" s="88" t="s">
        <v>230</v>
      </c>
      <c r="D232" s="1136">
        <v>15240</v>
      </c>
      <c r="E232" s="895">
        <v>15000</v>
      </c>
      <c r="F232" s="219">
        <v>15000</v>
      </c>
      <c r="G232" s="219">
        <v>15000</v>
      </c>
      <c r="H232" s="1069">
        <v>15000</v>
      </c>
      <c r="I232" s="187"/>
      <c r="K232" s="158"/>
      <c r="L232" s="150"/>
      <c r="M232" s="158"/>
      <c r="N232" s="53"/>
    </row>
    <row r="233" spans="1:14" s="86" customFormat="1" ht="12.75">
      <c r="A233" s="1058">
        <v>633</v>
      </c>
      <c r="B233" s="100"/>
      <c r="C233" s="88" t="s">
        <v>232</v>
      </c>
      <c r="D233" s="1136">
        <v>115</v>
      </c>
      <c r="E233" s="895">
        <v>150</v>
      </c>
      <c r="F233" s="219">
        <v>150</v>
      </c>
      <c r="G233" s="219">
        <v>150</v>
      </c>
      <c r="H233" s="1069">
        <v>150</v>
      </c>
      <c r="I233" s="187"/>
      <c r="J233" s="57"/>
      <c r="K233" s="150"/>
      <c r="L233" s="150"/>
      <c r="M233" s="158"/>
      <c r="N233" s="53"/>
    </row>
    <row r="234" spans="1:13" ht="12.75">
      <c r="A234" s="1058">
        <v>635</v>
      </c>
      <c r="B234" s="100"/>
      <c r="C234" s="88" t="s">
        <v>332</v>
      </c>
      <c r="D234" s="1136">
        <v>181</v>
      </c>
      <c r="E234" s="895">
        <v>500</v>
      </c>
      <c r="F234" s="219">
        <v>500</v>
      </c>
      <c r="G234" s="219">
        <v>500</v>
      </c>
      <c r="H234" s="1069">
        <v>500</v>
      </c>
      <c r="I234" s="187"/>
      <c r="K234" s="150"/>
      <c r="L234" s="150"/>
      <c r="M234" s="158"/>
    </row>
    <row r="235" spans="1:13" ht="12.75">
      <c r="A235" s="1071">
        <v>637</v>
      </c>
      <c r="B235" s="178"/>
      <c r="C235" s="141" t="s">
        <v>240</v>
      </c>
      <c r="D235" s="1139">
        <v>3139</v>
      </c>
      <c r="E235" s="895">
        <v>0</v>
      </c>
      <c r="F235" s="219">
        <v>0</v>
      </c>
      <c r="G235" s="219">
        <v>0</v>
      </c>
      <c r="H235" s="1069">
        <v>0</v>
      </c>
      <c r="I235" s="187"/>
      <c r="K235" s="158"/>
      <c r="L235" s="150"/>
      <c r="M235" s="158"/>
    </row>
    <row r="236" spans="1:13" ht="12.75">
      <c r="A236" s="1072" t="s">
        <v>638</v>
      </c>
      <c r="B236" s="1073"/>
      <c r="C236" s="1112" t="s">
        <v>498</v>
      </c>
      <c r="D236" s="1082">
        <f>SUM(D225,D231)</f>
        <v>54221</v>
      </c>
      <c r="E236" s="1104">
        <f>SUM(E225,E231)</f>
        <v>35907.270000000004</v>
      </c>
      <c r="F236" s="1105">
        <f>F225+F231</f>
        <v>16650</v>
      </c>
      <c r="G236" s="1105">
        <f>G225+G231</f>
        <v>16650</v>
      </c>
      <c r="H236" s="1106">
        <f>H225+H231</f>
        <v>16650</v>
      </c>
      <c r="I236" s="188"/>
      <c r="J236" s="857"/>
      <c r="K236" s="805"/>
      <c r="L236" s="805"/>
      <c r="M236" s="805"/>
    </row>
    <row r="237" spans="1:9" ht="12.75" hidden="1">
      <c r="A237" s="874"/>
      <c r="B237" s="150"/>
      <c r="C237" s="270"/>
      <c r="D237" s="270"/>
      <c r="E237" s="875"/>
      <c r="F237" s="875"/>
      <c r="G237" s="875"/>
      <c r="H237" s="876"/>
      <c r="I237" s="276"/>
    </row>
    <row r="238" spans="1:8" ht="12.75">
      <c r="A238" s="921"/>
      <c r="B238" s="921"/>
      <c r="C238" s="921"/>
      <c r="D238" s="921"/>
      <c r="E238" s="922"/>
      <c r="F238" s="922"/>
      <c r="G238" s="922"/>
      <c r="H238" s="922"/>
    </row>
    <row r="239" spans="1:13" ht="12.75">
      <c r="A239" s="921"/>
      <c r="B239" s="921"/>
      <c r="C239" s="921"/>
      <c r="D239" s="921"/>
      <c r="E239" s="922"/>
      <c r="F239" s="260"/>
      <c r="G239" s="1273" t="s">
        <v>639</v>
      </c>
      <c r="H239" s="1273"/>
      <c r="I239" s="260"/>
      <c r="J239" s="260"/>
      <c r="K239" s="260"/>
      <c r="L239" s="260"/>
      <c r="M239" s="260"/>
    </row>
    <row r="240" spans="1:8" ht="12.75">
      <c r="A240" s="921"/>
      <c r="B240" s="921"/>
      <c r="C240" s="921"/>
      <c r="D240" s="921"/>
      <c r="E240" s="922"/>
      <c r="F240" s="922"/>
      <c r="G240" s="922"/>
      <c r="H240" s="922"/>
    </row>
    <row r="241" spans="1:8" ht="12.75" hidden="1">
      <c r="A241" s="57"/>
      <c r="B241" s="57"/>
      <c r="C241" s="57"/>
      <c r="D241" s="57"/>
      <c r="E241" s="207"/>
      <c r="F241" s="923"/>
      <c r="G241" s="924"/>
      <c r="H241" s="924"/>
    </row>
    <row r="242" spans="1:13" s="867" customFormat="1" ht="12.75">
      <c r="A242" s="1018" t="s">
        <v>471</v>
      </c>
      <c r="B242" s="1019"/>
      <c r="C242" s="1077"/>
      <c r="D242" s="1141">
        <v>2011</v>
      </c>
      <c r="E242" s="1114">
        <v>2012</v>
      </c>
      <c r="F242" s="1079">
        <v>2013</v>
      </c>
      <c r="G242" s="1079">
        <v>2014</v>
      </c>
      <c r="H242" s="1080">
        <v>2015</v>
      </c>
      <c r="I242" s="864"/>
      <c r="J242" s="865"/>
      <c r="K242" s="866"/>
      <c r="L242" s="798"/>
      <c r="M242" s="799"/>
    </row>
    <row r="243" spans="1:14" s="871" customFormat="1" ht="11.25">
      <c r="A243" s="1025" t="s">
        <v>640</v>
      </c>
      <c r="B243" s="902"/>
      <c r="C243" s="902"/>
      <c r="D243" s="1142">
        <f>SUM(D244,D245,D246,D247,D248,D249)</f>
        <v>32967</v>
      </c>
      <c r="E243" s="914">
        <f>SUM(E244,E245,E246,E247,E248,E249)</f>
        <v>18500</v>
      </c>
      <c r="F243" s="856">
        <f>SUM(F244,F245,F246,F247,F248,F249)</f>
        <v>15500</v>
      </c>
      <c r="G243" s="856">
        <f>SUM(G244,G245,G246,G247,G248,G249)</f>
        <v>13500</v>
      </c>
      <c r="H243" s="1084">
        <f>SUM(H244,H245,H246,H247,H248,H249)</f>
        <v>13500</v>
      </c>
      <c r="I243" s="878"/>
      <c r="J243" s="857"/>
      <c r="K243" s="805"/>
      <c r="L243" s="805"/>
      <c r="M243" s="805"/>
      <c r="N243" s="278"/>
    </row>
    <row r="244" spans="1:14" s="57" customFormat="1" ht="12.75">
      <c r="A244" s="1058">
        <v>610</v>
      </c>
      <c r="B244" s="100"/>
      <c r="C244" s="88" t="s">
        <v>641</v>
      </c>
      <c r="D244" s="1136">
        <v>2525</v>
      </c>
      <c r="E244" s="895">
        <v>3000</v>
      </c>
      <c r="F244" s="219">
        <v>3000</v>
      </c>
      <c r="G244" s="219">
        <v>3000</v>
      </c>
      <c r="H244" s="1069">
        <v>3000</v>
      </c>
      <c r="I244" s="158"/>
      <c r="K244" s="158"/>
      <c r="L244" s="150"/>
      <c r="M244" s="150"/>
      <c r="N244" s="53"/>
    </row>
    <row r="245" spans="1:14" s="86" customFormat="1" ht="12.75">
      <c r="A245" s="1058">
        <v>620</v>
      </c>
      <c r="B245" s="100"/>
      <c r="C245" s="88" t="s">
        <v>226</v>
      </c>
      <c r="D245" s="1136">
        <v>831</v>
      </c>
      <c r="E245" s="895">
        <v>1500</v>
      </c>
      <c r="F245" s="219">
        <v>1500</v>
      </c>
      <c r="G245" s="219">
        <v>1500</v>
      </c>
      <c r="H245" s="1069">
        <v>1500</v>
      </c>
      <c r="I245" s="158"/>
      <c r="J245" s="57"/>
      <c r="K245" s="150"/>
      <c r="L245" s="150"/>
      <c r="M245" s="150"/>
      <c r="N245" s="53"/>
    </row>
    <row r="246" spans="1:13" ht="12.75">
      <c r="A246" s="1058">
        <v>632</v>
      </c>
      <c r="B246" s="100"/>
      <c r="C246" s="88" t="s">
        <v>230</v>
      </c>
      <c r="D246" s="1136">
        <v>28924</v>
      </c>
      <c r="E246" s="895">
        <v>13000</v>
      </c>
      <c r="F246" s="219">
        <v>10000</v>
      </c>
      <c r="G246" s="219">
        <v>8000</v>
      </c>
      <c r="H246" s="1069">
        <v>8000</v>
      </c>
      <c r="I246" s="158"/>
      <c r="K246" s="158"/>
      <c r="L246" s="150"/>
      <c r="M246" s="158"/>
    </row>
    <row r="247" spans="1:13" ht="12.75">
      <c r="A247" s="1058">
        <v>633</v>
      </c>
      <c r="B247" s="100"/>
      <c r="C247" s="88" t="s">
        <v>232</v>
      </c>
      <c r="D247" s="1136">
        <v>129</v>
      </c>
      <c r="E247" s="895">
        <v>100</v>
      </c>
      <c r="F247" s="219">
        <v>100</v>
      </c>
      <c r="G247" s="219">
        <v>100</v>
      </c>
      <c r="H247" s="1069">
        <v>100</v>
      </c>
      <c r="I247" s="158"/>
      <c r="K247" s="150"/>
      <c r="L247" s="150"/>
      <c r="M247" s="150"/>
    </row>
    <row r="248" spans="1:13" ht="12.75">
      <c r="A248" s="1071">
        <v>635</v>
      </c>
      <c r="B248" s="178"/>
      <c r="C248" s="141" t="s">
        <v>332</v>
      </c>
      <c r="D248" s="1136">
        <v>388</v>
      </c>
      <c r="E248" s="895">
        <v>500</v>
      </c>
      <c r="F248" s="219">
        <v>500</v>
      </c>
      <c r="G248" s="219">
        <v>500</v>
      </c>
      <c r="H248" s="1069">
        <v>500</v>
      </c>
      <c r="I248" s="158"/>
      <c r="K248" s="150"/>
      <c r="L248" s="150"/>
      <c r="M248" s="150"/>
    </row>
    <row r="249" spans="1:13" ht="12.75">
      <c r="A249" s="1058">
        <v>637</v>
      </c>
      <c r="B249" s="100"/>
      <c r="C249" s="88" t="s">
        <v>240</v>
      </c>
      <c r="D249" s="1139">
        <v>170</v>
      </c>
      <c r="E249" s="895">
        <v>400</v>
      </c>
      <c r="F249" s="219">
        <v>400</v>
      </c>
      <c r="G249" s="219">
        <v>400</v>
      </c>
      <c r="H249" s="1069">
        <v>400</v>
      </c>
      <c r="I249" s="158"/>
      <c r="K249" s="150"/>
      <c r="L249" s="150"/>
      <c r="M249" s="150"/>
    </row>
    <row r="250" spans="1:13" ht="12.75">
      <c r="A250" s="1072" t="s">
        <v>642</v>
      </c>
      <c r="B250" s="1073"/>
      <c r="C250" s="1112" t="s">
        <v>643</v>
      </c>
      <c r="D250" s="1082">
        <f>SUM(D243)</f>
        <v>32967</v>
      </c>
      <c r="E250" s="1104">
        <f>SUM(E243)</f>
        <v>18500</v>
      </c>
      <c r="F250" s="1104">
        <f>SUM(F243)</f>
        <v>15500</v>
      </c>
      <c r="G250" s="1104">
        <f>SUM(G243)</f>
        <v>13500</v>
      </c>
      <c r="H250" s="1122">
        <f>SUM(H243)</f>
        <v>13500</v>
      </c>
      <c r="I250" s="188"/>
      <c r="J250" s="857"/>
      <c r="K250" s="805"/>
      <c r="L250" s="805"/>
      <c r="M250" s="805"/>
    </row>
    <row r="251" spans="1:9" ht="12.75">
      <c r="A251" s="874"/>
      <c r="B251" s="150"/>
      <c r="C251" s="270"/>
      <c r="D251" s="270"/>
      <c r="E251" s="875"/>
      <c r="F251" s="875"/>
      <c r="G251" s="875"/>
      <c r="H251" s="876"/>
      <c r="I251" s="276"/>
    </row>
    <row r="252" spans="1:9" ht="12.75" hidden="1">
      <c r="A252" s="874"/>
      <c r="B252" s="150"/>
      <c r="C252" s="270"/>
      <c r="D252" s="270"/>
      <c r="E252" s="875"/>
      <c r="F252" s="875"/>
      <c r="G252" s="875"/>
      <c r="H252" s="876"/>
      <c r="I252" s="276"/>
    </row>
    <row r="253" spans="1:9" ht="12.75" hidden="1">
      <c r="A253" s="874"/>
      <c r="B253" s="150"/>
      <c r="C253" s="270"/>
      <c r="D253" s="270"/>
      <c r="E253" s="875"/>
      <c r="F253" s="875"/>
      <c r="G253" s="875"/>
      <c r="H253" s="876"/>
      <c r="I253" s="276"/>
    </row>
    <row r="254" spans="1:9" ht="12.75" hidden="1">
      <c r="A254" s="874"/>
      <c r="B254" s="150"/>
      <c r="C254" s="270"/>
      <c r="D254" s="270"/>
      <c r="E254" s="875"/>
      <c r="F254" s="875"/>
      <c r="G254" s="875"/>
      <c r="H254" s="876"/>
      <c r="I254" s="276"/>
    </row>
    <row r="255" spans="1:9" ht="12.75">
      <c r="A255" s="874"/>
      <c r="B255" s="150"/>
      <c r="C255" s="270"/>
      <c r="D255" s="270"/>
      <c r="E255" s="875"/>
      <c r="F255" s="875"/>
      <c r="G255" s="875"/>
      <c r="H255" s="876"/>
      <c r="I255" s="276"/>
    </row>
    <row r="256" spans="1:13" ht="12.75">
      <c r="A256" s="874"/>
      <c r="B256" s="150"/>
      <c r="C256" s="270"/>
      <c r="D256" s="270"/>
      <c r="E256" s="1300" t="s">
        <v>644</v>
      </c>
      <c r="F256" s="1300"/>
      <c r="G256" s="1300"/>
      <c r="H256" s="1300"/>
      <c r="I256" s="890"/>
      <c r="J256" s="890"/>
      <c r="K256" s="890"/>
      <c r="L256" s="890"/>
      <c r="M256" s="890"/>
    </row>
    <row r="257" spans="1:9" ht="12.75">
      <c r="A257" s="874"/>
      <c r="B257" s="150"/>
      <c r="C257" s="270"/>
      <c r="D257" s="270"/>
      <c r="E257" s="875"/>
      <c r="F257" s="875"/>
      <c r="G257" s="875"/>
      <c r="H257" s="876"/>
      <c r="I257" s="276"/>
    </row>
    <row r="258" spans="1:13" s="867" customFormat="1" ht="12.75">
      <c r="A258" s="1018" t="s">
        <v>471</v>
      </c>
      <c r="B258" s="1019"/>
      <c r="C258" s="1077"/>
      <c r="D258" s="1141">
        <v>2011</v>
      </c>
      <c r="E258" s="1114">
        <v>2012</v>
      </c>
      <c r="F258" s="1079">
        <v>2013</v>
      </c>
      <c r="G258" s="1079">
        <v>2014</v>
      </c>
      <c r="H258" s="1080">
        <v>2015</v>
      </c>
      <c r="I258" s="864"/>
      <c r="J258" s="865"/>
      <c r="K258" s="866"/>
      <c r="L258" s="798"/>
      <c r="M258" s="799"/>
    </row>
    <row r="259" spans="1:13" s="278" customFormat="1" ht="11.25">
      <c r="A259" s="1025" t="s">
        <v>645</v>
      </c>
      <c r="B259" s="902"/>
      <c r="C259" s="902"/>
      <c r="D259" s="1142">
        <f>SUM(D260,D261,D262,D263,D264,D265)</f>
        <v>24399</v>
      </c>
      <c r="E259" s="914">
        <f>SUM(E260,E261,E262,E263,E264,E265)</f>
        <v>20000</v>
      </c>
      <c r="F259" s="856">
        <f>SUM(F260,F261,F262,F263,F264,F265)</f>
        <v>20400</v>
      </c>
      <c r="G259" s="856">
        <f>SUM(G260,G261,G262,G263,G264,G265)</f>
        <v>20400</v>
      </c>
      <c r="H259" s="1084">
        <f>SUM(H260,H261,H262,H263,H264,H265)</f>
        <v>20400</v>
      </c>
      <c r="I259" s="878"/>
      <c r="J259" s="857"/>
      <c r="K259" s="805"/>
      <c r="L259" s="805"/>
      <c r="M259" s="805"/>
    </row>
    <row r="260" spans="1:14" s="57" customFormat="1" ht="12.75">
      <c r="A260" s="1123">
        <v>632</v>
      </c>
      <c r="B260" s="892"/>
      <c r="C260" s="903" t="s">
        <v>230</v>
      </c>
      <c r="D260" s="1136">
        <v>15256</v>
      </c>
      <c r="E260" s="895">
        <v>8000</v>
      </c>
      <c r="F260" s="219">
        <v>8000</v>
      </c>
      <c r="G260" s="219">
        <v>8000</v>
      </c>
      <c r="H260" s="1069">
        <v>8000</v>
      </c>
      <c r="I260" s="158"/>
      <c r="K260" s="158"/>
      <c r="L260" s="150"/>
      <c r="M260" s="158"/>
      <c r="N260" s="53"/>
    </row>
    <row r="261" spans="1:14" s="86" customFormat="1" ht="12.75">
      <c r="A261" s="1123">
        <v>633</v>
      </c>
      <c r="B261" s="892"/>
      <c r="C261" s="903" t="s">
        <v>232</v>
      </c>
      <c r="D261" s="1136">
        <v>182</v>
      </c>
      <c r="E261" s="895">
        <v>300</v>
      </c>
      <c r="F261" s="219">
        <v>300</v>
      </c>
      <c r="G261" s="219">
        <v>300</v>
      </c>
      <c r="H261" s="1069">
        <v>300</v>
      </c>
      <c r="I261" s="158"/>
      <c r="J261" s="57"/>
      <c r="K261" s="150"/>
      <c r="L261" s="150"/>
      <c r="M261" s="158"/>
      <c r="N261" s="53"/>
    </row>
    <row r="262" spans="1:13" ht="12.75">
      <c r="A262" s="1123">
        <v>634</v>
      </c>
      <c r="B262" s="892"/>
      <c r="C262" s="903" t="s">
        <v>381</v>
      </c>
      <c r="D262" s="1136">
        <v>5565</v>
      </c>
      <c r="E262" s="895">
        <v>6100</v>
      </c>
      <c r="F262" s="219">
        <v>6100</v>
      </c>
      <c r="G262" s="219">
        <v>6100</v>
      </c>
      <c r="H262" s="1069">
        <v>6100</v>
      </c>
      <c r="I262" s="158"/>
      <c r="K262" s="158"/>
      <c r="L262" s="150"/>
      <c r="M262" s="158"/>
    </row>
    <row r="263" spans="1:13" ht="12.75">
      <c r="A263" s="1123">
        <v>635</v>
      </c>
      <c r="B263" s="892"/>
      <c r="C263" s="903" t="s">
        <v>332</v>
      </c>
      <c r="D263" s="1136">
        <v>1416</v>
      </c>
      <c r="E263" s="895">
        <v>500</v>
      </c>
      <c r="F263" s="219">
        <v>500</v>
      </c>
      <c r="G263" s="219">
        <v>500</v>
      </c>
      <c r="H263" s="1069">
        <v>500</v>
      </c>
      <c r="I263" s="158"/>
      <c r="K263" s="150"/>
      <c r="L263" s="150"/>
      <c r="M263" s="158"/>
    </row>
    <row r="264" spans="1:13" ht="12.75">
      <c r="A264" s="1123">
        <v>637</v>
      </c>
      <c r="B264" s="892"/>
      <c r="C264" s="903" t="s">
        <v>240</v>
      </c>
      <c r="D264" s="1136">
        <v>0</v>
      </c>
      <c r="E264" s="895">
        <v>0</v>
      </c>
      <c r="F264" s="219">
        <v>0</v>
      </c>
      <c r="G264" s="219">
        <v>0</v>
      </c>
      <c r="H264" s="1069">
        <v>0</v>
      </c>
      <c r="I264" s="158"/>
      <c r="K264" s="150"/>
      <c r="L264" s="150"/>
      <c r="M264" s="158"/>
    </row>
    <row r="265" spans="1:13" ht="12.75">
      <c r="A265" s="1123">
        <v>642</v>
      </c>
      <c r="B265" s="892"/>
      <c r="C265" s="903" t="s">
        <v>646</v>
      </c>
      <c r="D265" s="1136">
        <v>1980</v>
      </c>
      <c r="E265" s="895">
        <v>5100</v>
      </c>
      <c r="F265" s="219">
        <f>F266+F267+F268</f>
        <v>5500</v>
      </c>
      <c r="G265" s="219">
        <f>G266+G267+G268</f>
        <v>5500</v>
      </c>
      <c r="H265" s="1069">
        <f>H266+H267+H268</f>
        <v>5500</v>
      </c>
      <c r="I265" s="158"/>
      <c r="K265" s="158"/>
      <c r="L265" s="150"/>
      <c r="M265" s="158"/>
    </row>
    <row r="266" spans="1:13" ht="12.75">
      <c r="A266" s="1123"/>
      <c r="B266" s="892"/>
      <c r="C266" s="88" t="s">
        <v>647</v>
      </c>
      <c r="D266" s="1144">
        <v>1980</v>
      </c>
      <c r="E266" s="925">
        <v>5100</v>
      </c>
      <c r="F266" s="118">
        <v>5100</v>
      </c>
      <c r="G266" s="118">
        <v>5100</v>
      </c>
      <c r="H266" s="1070">
        <v>5100</v>
      </c>
      <c r="I266" s="158"/>
      <c r="K266" s="158"/>
      <c r="L266" s="150"/>
      <c r="M266" s="158"/>
    </row>
    <row r="267" spans="1:13" ht="12.75">
      <c r="A267" s="1123"/>
      <c r="B267" s="892"/>
      <c r="C267" s="88" t="s">
        <v>648</v>
      </c>
      <c r="D267" s="1144">
        <v>0</v>
      </c>
      <c r="E267" s="925">
        <v>0</v>
      </c>
      <c r="F267" s="118">
        <v>400</v>
      </c>
      <c r="G267" s="118">
        <v>400</v>
      </c>
      <c r="H267" s="1070">
        <v>400</v>
      </c>
      <c r="I267" s="158"/>
      <c r="K267" s="158"/>
      <c r="L267" s="150"/>
      <c r="M267" s="158"/>
    </row>
    <row r="268" spans="1:13" ht="12.75">
      <c r="A268" s="1124"/>
      <c r="B268" s="1125"/>
      <c r="C268" s="1065" t="s">
        <v>649</v>
      </c>
      <c r="D268" s="1145">
        <v>0</v>
      </c>
      <c r="E268" s="1126">
        <v>0</v>
      </c>
      <c r="F268" s="1107">
        <v>0</v>
      </c>
      <c r="G268" s="1107">
        <v>0</v>
      </c>
      <c r="H268" s="1127">
        <v>0</v>
      </c>
      <c r="I268" s="158"/>
      <c r="K268" s="158"/>
      <c r="L268" s="150"/>
      <c r="M268" s="158"/>
    </row>
    <row r="269" spans="1:9" ht="12.75">
      <c r="A269" s="926"/>
      <c r="B269" s="278"/>
      <c r="C269" s="871"/>
      <c r="D269" s="792"/>
      <c r="G269" s="919"/>
      <c r="H269" s="920"/>
      <c r="I269" s="159"/>
    </row>
    <row r="270" spans="1:14" s="278" customFormat="1" ht="12.75" customHeight="1">
      <c r="A270" s="1086" t="s">
        <v>650</v>
      </c>
      <c r="B270" s="1102"/>
      <c r="C270" s="1102"/>
      <c r="D270" s="1146">
        <f>SUM(D271,D272,D273,D287)</f>
        <v>39750</v>
      </c>
      <c r="E270" s="1128">
        <f>SUM(E271,E272,E273,E287)</f>
        <v>34700</v>
      </c>
      <c r="F270" s="1129">
        <f>SUM(F271,F272,F273,F287)</f>
        <v>34700</v>
      </c>
      <c r="G270" s="1129">
        <f>SUM(G271,G272,G273,G287)</f>
        <v>35300</v>
      </c>
      <c r="H270" s="1130">
        <f>SUM(H271,H272,H273,H287)</f>
        <v>35300</v>
      </c>
      <c r="I270" s="878"/>
      <c r="J270" s="156"/>
      <c r="K270" s="188"/>
      <c r="L270" s="188"/>
      <c r="M270" s="188"/>
      <c r="N270" s="806"/>
    </row>
    <row r="271" spans="1:13" ht="12.75" customHeight="1">
      <c r="A271" s="1131">
        <v>610</v>
      </c>
      <c r="B271" s="927"/>
      <c r="C271" s="928" t="s">
        <v>512</v>
      </c>
      <c r="D271" s="1136">
        <v>17066</v>
      </c>
      <c r="E271" s="895">
        <v>14000</v>
      </c>
      <c r="F271" s="219">
        <v>14000</v>
      </c>
      <c r="G271" s="219">
        <v>14500</v>
      </c>
      <c r="H271" s="1069">
        <v>14500</v>
      </c>
      <c r="I271" s="187"/>
      <c r="J271" s="188"/>
      <c r="K271" s="187"/>
      <c r="L271" s="187"/>
      <c r="M271" s="187"/>
    </row>
    <row r="272" spans="1:14" s="86" customFormat="1" ht="12.75">
      <c r="A272" s="1131">
        <v>620</v>
      </c>
      <c r="B272" s="892"/>
      <c r="C272" s="892" t="s">
        <v>226</v>
      </c>
      <c r="D272" s="1136">
        <v>6280</v>
      </c>
      <c r="E272" s="895">
        <v>4400</v>
      </c>
      <c r="F272" s="219">
        <v>4400</v>
      </c>
      <c r="G272" s="219">
        <v>4500</v>
      </c>
      <c r="H272" s="1069">
        <v>4500</v>
      </c>
      <c r="I272" s="187"/>
      <c r="J272" s="188"/>
      <c r="K272" s="187"/>
      <c r="L272" s="187"/>
      <c r="M272" s="187"/>
      <c r="N272" s="53"/>
    </row>
    <row r="273" spans="1:13" ht="12.75" customHeight="1">
      <c r="A273" s="1132">
        <v>630</v>
      </c>
      <c r="B273" s="903"/>
      <c r="C273" s="903" t="s">
        <v>397</v>
      </c>
      <c r="D273" s="1136">
        <f>SUM(D274,D275,D276,D278,D279,D286,D280,D281,D282,D283,D285)</f>
        <v>15337</v>
      </c>
      <c r="E273" s="895">
        <f>SUM(E274,E275,E276,E278,E279,E286,E280,E282,E283,E285)</f>
        <v>16300</v>
      </c>
      <c r="F273" s="219">
        <f>SUM(F274,F275,F276,F278,F279,F286,F280,F282,F283,F285)</f>
        <v>16300</v>
      </c>
      <c r="G273" s="219">
        <f>SUM(G274,G275,G276,G278,G279,G286,G280,G282,G283,G285)</f>
        <v>16300</v>
      </c>
      <c r="H273" s="1069">
        <f>SUM(H274,H275,H276,H278,H279,H286,H280,H282,H283,H285)</f>
        <v>16300</v>
      </c>
      <c r="I273" s="187"/>
      <c r="J273" s="203"/>
      <c r="K273" s="158"/>
      <c r="L273" s="158"/>
      <c r="M273" s="158"/>
    </row>
    <row r="274" spans="1:13" ht="12.75">
      <c r="A274" s="1058" t="s">
        <v>515</v>
      </c>
      <c r="B274" s="88"/>
      <c r="C274" s="88" t="s">
        <v>228</v>
      </c>
      <c r="D274" s="1144">
        <v>0</v>
      </c>
      <c r="E274" s="925">
        <v>0</v>
      </c>
      <c r="F274" s="118">
        <v>0</v>
      </c>
      <c r="G274" s="118">
        <v>0</v>
      </c>
      <c r="H274" s="1070">
        <v>0</v>
      </c>
      <c r="I274" s="854"/>
      <c r="K274" s="879"/>
      <c r="L274" s="848"/>
      <c r="M274" s="854"/>
    </row>
    <row r="275" spans="1:13" ht="12.75">
      <c r="A275" s="1058">
        <v>632</v>
      </c>
      <c r="B275" s="88"/>
      <c r="C275" s="88" t="s">
        <v>516</v>
      </c>
      <c r="D275" s="1144">
        <v>13016</v>
      </c>
      <c r="E275" s="925">
        <v>7000</v>
      </c>
      <c r="F275" s="118">
        <v>7000</v>
      </c>
      <c r="G275" s="118">
        <v>7000</v>
      </c>
      <c r="H275" s="1070">
        <v>7000</v>
      </c>
      <c r="I275" s="854"/>
      <c r="K275" s="854"/>
      <c r="L275" s="848"/>
      <c r="M275" s="854"/>
    </row>
    <row r="276" spans="1:13" ht="12.75">
      <c r="A276" s="1029">
        <v>633</v>
      </c>
      <c r="B276" s="100"/>
      <c r="C276" s="100" t="s">
        <v>232</v>
      </c>
      <c r="D276" s="1144">
        <v>865</v>
      </c>
      <c r="E276" s="925">
        <v>800</v>
      </c>
      <c r="F276" s="118">
        <v>800</v>
      </c>
      <c r="G276" s="118">
        <v>800</v>
      </c>
      <c r="H276" s="1070">
        <v>800</v>
      </c>
      <c r="I276" s="854"/>
      <c r="K276" s="854"/>
      <c r="L276" s="848"/>
      <c r="M276" s="854"/>
    </row>
    <row r="277" spans="1:13" ht="12.75">
      <c r="A277" s="1031">
        <v>633</v>
      </c>
      <c r="B277" s="835" t="s">
        <v>142</v>
      </c>
      <c r="C277" s="835" t="s">
        <v>651</v>
      </c>
      <c r="D277" s="1137">
        <v>166</v>
      </c>
      <c r="E277" s="896">
        <v>200</v>
      </c>
      <c r="F277" s="849">
        <v>200</v>
      </c>
      <c r="G277" s="849">
        <v>200</v>
      </c>
      <c r="H277" s="1052">
        <v>200</v>
      </c>
      <c r="I277" s="861"/>
      <c r="K277" s="897"/>
      <c r="L277" s="800"/>
      <c r="M277" s="861"/>
    </row>
    <row r="278" spans="1:13" ht="12.75">
      <c r="A278" s="1029">
        <v>633</v>
      </c>
      <c r="B278" s="100" t="s">
        <v>532</v>
      </c>
      <c r="C278" s="100" t="s">
        <v>391</v>
      </c>
      <c r="D278" s="1144">
        <v>0</v>
      </c>
      <c r="E278" s="925">
        <v>500</v>
      </c>
      <c r="F278" s="118">
        <v>500</v>
      </c>
      <c r="G278" s="118">
        <v>500</v>
      </c>
      <c r="H278" s="1070">
        <v>500</v>
      </c>
      <c r="I278" s="854"/>
      <c r="K278" s="879"/>
      <c r="L278" s="848"/>
      <c r="M278" s="854"/>
    </row>
    <row r="279" spans="1:13" ht="12.75">
      <c r="A279" s="1029">
        <v>642</v>
      </c>
      <c r="B279" s="929"/>
      <c r="C279" s="930" t="s">
        <v>652</v>
      </c>
      <c r="D279" s="1144">
        <v>0</v>
      </c>
      <c r="E279" s="925">
        <v>4000</v>
      </c>
      <c r="F279" s="118">
        <v>4000</v>
      </c>
      <c r="G279" s="118">
        <v>4000</v>
      </c>
      <c r="H279" s="1070">
        <v>4000</v>
      </c>
      <c r="I279" s="854"/>
      <c r="K279" s="879"/>
      <c r="L279" s="848"/>
      <c r="M279" s="854"/>
    </row>
    <row r="280" spans="1:13" ht="12.75">
      <c r="A280" s="1029">
        <v>634</v>
      </c>
      <c r="B280" s="100"/>
      <c r="C280" s="100" t="s">
        <v>234</v>
      </c>
      <c r="D280" s="1144">
        <v>336</v>
      </c>
      <c r="E280" s="925">
        <v>700</v>
      </c>
      <c r="F280" s="118">
        <v>700</v>
      </c>
      <c r="G280" s="118">
        <v>700</v>
      </c>
      <c r="H280" s="1070">
        <v>700</v>
      </c>
      <c r="I280" s="854"/>
      <c r="K280" s="879"/>
      <c r="L280" s="848"/>
      <c r="M280" s="854"/>
    </row>
    <row r="281" spans="1:13" ht="12.75">
      <c r="A281" s="1029">
        <v>634</v>
      </c>
      <c r="B281" s="100" t="s">
        <v>125</v>
      </c>
      <c r="C281" s="100" t="s">
        <v>653</v>
      </c>
      <c r="D281" s="1147">
        <v>0</v>
      </c>
      <c r="E281" s="931">
        <v>500</v>
      </c>
      <c r="F281" s="138">
        <v>500</v>
      </c>
      <c r="G281" s="138">
        <v>500</v>
      </c>
      <c r="H281" s="1133">
        <v>500</v>
      </c>
      <c r="I281" s="854"/>
      <c r="K281" s="879"/>
      <c r="L281" s="848"/>
      <c r="M281" s="854"/>
    </row>
    <row r="282" spans="1:14" ht="12.75">
      <c r="A282" s="1029">
        <v>635</v>
      </c>
      <c r="B282" s="100"/>
      <c r="C282" s="100" t="s">
        <v>332</v>
      </c>
      <c r="D282" s="1144">
        <v>112</v>
      </c>
      <c r="E282" s="925">
        <v>400</v>
      </c>
      <c r="F282" s="118">
        <v>400</v>
      </c>
      <c r="G282" s="118">
        <v>400</v>
      </c>
      <c r="H282" s="1070">
        <v>400</v>
      </c>
      <c r="I282" s="854"/>
      <c r="K282" s="879"/>
      <c r="L282" s="848"/>
      <c r="M282" s="854"/>
      <c r="N282" s="836"/>
    </row>
    <row r="283" spans="1:13" ht="12.75">
      <c r="A283" s="1031">
        <v>636</v>
      </c>
      <c r="B283" s="835" t="s">
        <v>109</v>
      </c>
      <c r="C283" s="835" t="s">
        <v>654</v>
      </c>
      <c r="D283" s="1144">
        <v>218</v>
      </c>
      <c r="E283" s="925">
        <v>0</v>
      </c>
      <c r="F283" s="118">
        <v>0</v>
      </c>
      <c r="G283" s="118">
        <v>0</v>
      </c>
      <c r="H283" s="1070">
        <v>0</v>
      </c>
      <c r="I283" s="861"/>
      <c r="K283" s="897"/>
      <c r="L283" s="800"/>
      <c r="M283" s="854"/>
    </row>
    <row r="284" spans="1:13" ht="12.75">
      <c r="A284" s="1055">
        <v>637</v>
      </c>
      <c r="B284" s="852"/>
      <c r="C284" s="852" t="s">
        <v>240</v>
      </c>
      <c r="D284" s="1137">
        <v>266</v>
      </c>
      <c r="E284" s="896">
        <v>200</v>
      </c>
      <c r="F284" s="849">
        <v>200</v>
      </c>
      <c r="G284" s="849">
        <v>200</v>
      </c>
      <c r="H284" s="1052">
        <v>200</v>
      </c>
      <c r="I284" s="861"/>
      <c r="K284" s="897"/>
      <c r="L284" s="800"/>
      <c r="M284" s="854"/>
    </row>
    <row r="285" spans="1:13" ht="12.75">
      <c r="A285" s="1029">
        <v>637</v>
      </c>
      <c r="B285" s="100"/>
      <c r="C285" s="100" t="s">
        <v>240</v>
      </c>
      <c r="D285" s="1144">
        <v>790</v>
      </c>
      <c r="E285" s="925">
        <v>900</v>
      </c>
      <c r="F285" s="118">
        <v>900</v>
      </c>
      <c r="G285" s="118">
        <v>900</v>
      </c>
      <c r="H285" s="1070">
        <v>900</v>
      </c>
      <c r="I285" s="854"/>
      <c r="K285" s="879"/>
      <c r="L285" s="848"/>
      <c r="M285" s="854"/>
    </row>
    <row r="286" spans="1:13" ht="12.75">
      <c r="A286" s="1029">
        <v>637</v>
      </c>
      <c r="B286" s="100" t="s">
        <v>125</v>
      </c>
      <c r="C286" s="100" t="s">
        <v>655</v>
      </c>
      <c r="D286" s="1144">
        <v>0</v>
      </c>
      <c r="E286" s="925">
        <v>2000</v>
      </c>
      <c r="F286" s="118">
        <v>2000</v>
      </c>
      <c r="G286" s="118">
        <v>2000</v>
      </c>
      <c r="H286" s="1070">
        <v>2000</v>
      </c>
      <c r="I286" s="854"/>
      <c r="K286" s="879"/>
      <c r="L286" s="848"/>
      <c r="M286" s="854"/>
    </row>
    <row r="287" spans="1:14" ht="12.75">
      <c r="A287" s="1047">
        <v>642</v>
      </c>
      <c r="B287" s="843" t="s">
        <v>115</v>
      </c>
      <c r="C287" s="843" t="s">
        <v>656</v>
      </c>
      <c r="D287" s="1136">
        <v>1067</v>
      </c>
      <c r="E287" s="895">
        <v>0</v>
      </c>
      <c r="F287" s="219">
        <v>0</v>
      </c>
      <c r="G287" s="219">
        <v>0</v>
      </c>
      <c r="H287" s="1069">
        <v>0</v>
      </c>
      <c r="I287" s="187"/>
      <c r="K287" s="158"/>
      <c r="L287" s="150"/>
      <c r="M287" s="158"/>
      <c r="N287" s="862"/>
    </row>
    <row r="288" spans="1:14" ht="12.75">
      <c r="A288" s="1148"/>
      <c r="B288" s="1110"/>
      <c r="C288" s="1110"/>
      <c r="D288" s="1139"/>
      <c r="E288" s="1149"/>
      <c r="F288" s="1066"/>
      <c r="G288" s="1066"/>
      <c r="H288" s="1085"/>
      <c r="I288" s="187"/>
      <c r="K288" s="158"/>
      <c r="L288" s="150"/>
      <c r="M288" s="158"/>
      <c r="N288" s="862"/>
    </row>
    <row r="289" spans="1:13" s="278" customFormat="1" ht="11.25">
      <c r="A289" s="1086" t="s">
        <v>657</v>
      </c>
      <c r="B289" s="1102"/>
      <c r="C289" s="1103"/>
      <c r="D289" s="1088">
        <f>SUM(D290)</f>
        <v>559</v>
      </c>
      <c r="E289" s="1088">
        <v>800</v>
      </c>
      <c r="F289" s="1088">
        <v>800</v>
      </c>
      <c r="G289" s="1088">
        <v>800</v>
      </c>
      <c r="H289" s="1089">
        <v>800</v>
      </c>
      <c r="I289" s="878"/>
      <c r="J289" s="870"/>
      <c r="K289" s="857"/>
      <c r="L289" s="857"/>
      <c r="M289" s="857"/>
    </row>
    <row r="290" spans="1:13" ht="12.75">
      <c r="A290" s="1132">
        <v>630</v>
      </c>
      <c r="B290" s="903"/>
      <c r="C290" s="893" t="s">
        <v>397</v>
      </c>
      <c r="D290" s="252">
        <f>SUM(D291,D292,D293,D294,D295)</f>
        <v>559</v>
      </c>
      <c r="E290" s="252">
        <f>SUM(E291,E292,E293,E294,E295)</f>
        <v>800</v>
      </c>
      <c r="F290" s="252">
        <f>SUM(F291,F292,F293,F294,F295)</f>
        <v>800</v>
      </c>
      <c r="G290" s="252">
        <f>SUM(G291,G292,G293,G294,G295)</f>
        <v>800</v>
      </c>
      <c r="H290" s="1134">
        <f>SUM(H291,H292,H293,H294,H295)</f>
        <v>800</v>
      </c>
      <c r="I290" s="158"/>
      <c r="K290" s="150"/>
      <c r="L290" s="150"/>
      <c r="M290" s="150"/>
    </row>
    <row r="291" spans="1:13" ht="12.75">
      <c r="A291" s="1058" t="s">
        <v>515</v>
      </c>
      <c r="B291" s="88"/>
      <c r="C291" s="89" t="s">
        <v>228</v>
      </c>
      <c r="D291" s="118">
        <v>0</v>
      </c>
      <c r="E291" s="118">
        <v>0</v>
      </c>
      <c r="F291" s="118">
        <v>0</v>
      </c>
      <c r="G291" s="118">
        <v>0</v>
      </c>
      <c r="H291" s="1070">
        <v>0</v>
      </c>
      <c r="I291" s="854"/>
      <c r="K291" s="879"/>
      <c r="L291" s="848"/>
      <c r="M291" s="879"/>
    </row>
    <row r="292" spans="1:13" ht="12.75">
      <c r="A292" s="1058">
        <v>632</v>
      </c>
      <c r="B292" s="88"/>
      <c r="C292" s="89" t="s">
        <v>516</v>
      </c>
      <c r="D292" s="118">
        <v>260</v>
      </c>
      <c r="E292" s="118">
        <v>300</v>
      </c>
      <c r="F292" s="118">
        <v>300</v>
      </c>
      <c r="G292" s="118">
        <v>300</v>
      </c>
      <c r="H292" s="1070">
        <v>300</v>
      </c>
      <c r="I292" s="854"/>
      <c r="K292" s="879"/>
      <c r="L292" s="848"/>
      <c r="M292" s="879"/>
    </row>
    <row r="293" spans="1:13" ht="12.75">
      <c r="A293" s="1029">
        <v>633</v>
      </c>
      <c r="B293" s="100"/>
      <c r="C293" s="101" t="s">
        <v>658</v>
      </c>
      <c r="D293" s="118">
        <v>299</v>
      </c>
      <c r="E293" s="118">
        <v>500</v>
      </c>
      <c r="F293" s="118">
        <v>500</v>
      </c>
      <c r="G293" s="118">
        <v>500</v>
      </c>
      <c r="H293" s="1070">
        <v>500</v>
      </c>
      <c r="I293" s="854"/>
      <c r="K293" s="879"/>
      <c r="L293" s="848"/>
      <c r="M293" s="879"/>
    </row>
    <row r="294" spans="1:13" ht="12.75">
      <c r="A294" s="1045">
        <v>635</v>
      </c>
      <c r="B294" s="178"/>
      <c r="C294" s="263" t="s">
        <v>332</v>
      </c>
      <c r="D294" s="110">
        <v>0</v>
      </c>
      <c r="E294" s="110">
        <v>0</v>
      </c>
      <c r="F294" s="110">
        <v>0</v>
      </c>
      <c r="G294" s="110">
        <v>0</v>
      </c>
      <c r="H294" s="1237">
        <v>0</v>
      </c>
      <c r="I294" s="854"/>
      <c r="K294" s="879"/>
      <c r="L294" s="848"/>
      <c r="M294" s="879"/>
    </row>
    <row r="295" spans="1:13" ht="12.75">
      <c r="A295" s="1245">
        <v>637</v>
      </c>
      <c r="B295" s="1246"/>
      <c r="C295" s="1247" t="s">
        <v>240</v>
      </c>
      <c r="D295" s="1248">
        <v>0</v>
      </c>
      <c r="E295" s="1248">
        <v>0</v>
      </c>
      <c r="F295" s="1248">
        <v>0</v>
      </c>
      <c r="G295" s="1248">
        <v>0</v>
      </c>
      <c r="H295" s="1249">
        <v>0</v>
      </c>
      <c r="I295" s="854"/>
      <c r="K295" s="879"/>
      <c r="L295" s="848"/>
      <c r="M295" s="879"/>
    </row>
    <row r="296" spans="1:13" ht="12.75">
      <c r="A296" s="846"/>
      <c r="B296" s="121"/>
      <c r="C296" s="121"/>
      <c r="D296" s="121"/>
      <c r="E296" s="981"/>
      <c r="F296" s="981"/>
      <c r="G296" s="981"/>
      <c r="H296" s="981"/>
      <c r="I296" s="854"/>
      <c r="K296" s="879"/>
      <c r="L296" s="848"/>
      <c r="M296" s="879"/>
    </row>
    <row r="297" spans="1:13" ht="12.75">
      <c r="A297" s="1018" t="s">
        <v>471</v>
      </c>
      <c r="B297" s="1019"/>
      <c r="C297" s="1077"/>
      <c r="D297" s="1238">
        <v>2011</v>
      </c>
      <c r="E297" s="1242">
        <v>2012</v>
      </c>
      <c r="F297" s="1243">
        <v>2013</v>
      </c>
      <c r="G297" s="1243">
        <v>2014</v>
      </c>
      <c r="H297" s="1244">
        <v>2015</v>
      </c>
      <c r="I297" s="864"/>
      <c r="K297" s="879"/>
      <c r="L297" s="848"/>
      <c r="M297" s="879"/>
    </row>
    <row r="298" spans="1:13" s="278" customFormat="1" ht="11.25">
      <c r="A298" s="1025" t="s">
        <v>659</v>
      </c>
      <c r="B298" s="902"/>
      <c r="C298" s="902"/>
      <c r="D298" s="1135">
        <f>SUM(D299)</f>
        <v>589</v>
      </c>
      <c r="E298" s="1239">
        <f>SUM(E299)</f>
        <v>600</v>
      </c>
      <c r="F298" s="1240">
        <f>SUM(F299)</f>
        <v>600</v>
      </c>
      <c r="G298" s="1240">
        <f>SUM(G299)</f>
        <v>600</v>
      </c>
      <c r="H298" s="1241">
        <f>SUM(H299)</f>
        <v>600</v>
      </c>
      <c r="I298" s="878"/>
      <c r="J298" s="857"/>
      <c r="K298" s="857"/>
      <c r="L298" s="857"/>
      <c r="M298" s="857"/>
    </row>
    <row r="299" spans="1:13" ht="12.75">
      <c r="A299" s="1131">
        <v>637</v>
      </c>
      <c r="B299" s="892"/>
      <c r="C299" s="903" t="s">
        <v>240</v>
      </c>
      <c r="D299" s="1136">
        <v>589</v>
      </c>
      <c r="E299" s="895">
        <v>600</v>
      </c>
      <c r="F299" s="219">
        <v>600</v>
      </c>
      <c r="G299" s="219">
        <v>600</v>
      </c>
      <c r="H299" s="1069">
        <v>600</v>
      </c>
      <c r="I299" s="158"/>
      <c r="K299" s="150"/>
      <c r="L299" s="150"/>
      <c r="M299" s="150"/>
    </row>
    <row r="300" spans="1:13" ht="12.75">
      <c r="A300" s="1029">
        <v>637</v>
      </c>
      <c r="B300" s="100" t="s">
        <v>137</v>
      </c>
      <c r="C300" s="88" t="s">
        <v>660</v>
      </c>
      <c r="D300" s="1144">
        <v>589</v>
      </c>
      <c r="E300" s="925">
        <v>600</v>
      </c>
      <c r="F300" s="118">
        <v>600</v>
      </c>
      <c r="G300" s="118">
        <v>600</v>
      </c>
      <c r="H300" s="1070">
        <v>600</v>
      </c>
      <c r="I300" s="854"/>
      <c r="K300" s="879"/>
      <c r="L300" s="848"/>
      <c r="M300" s="879"/>
    </row>
    <row r="301" spans="1:13" s="278" customFormat="1" ht="11.25">
      <c r="A301" s="1025" t="s">
        <v>661</v>
      </c>
      <c r="B301" s="902"/>
      <c r="C301" s="902"/>
      <c r="D301" s="1150">
        <f>SUM(D302,D303)</f>
        <v>2451</v>
      </c>
      <c r="E301" s="914">
        <f>SUM(E302,E303)</f>
        <v>2500</v>
      </c>
      <c r="F301" s="856">
        <f>SUM(F302,F303)</f>
        <v>2500</v>
      </c>
      <c r="G301" s="856">
        <f>SUM(G302,G303)</f>
        <v>2500</v>
      </c>
      <c r="H301" s="1084">
        <f>SUM(H302,H303)</f>
        <v>2500</v>
      </c>
      <c r="I301" s="878"/>
      <c r="J301" s="857"/>
      <c r="K301" s="805"/>
      <c r="L301" s="805"/>
      <c r="M301" s="805"/>
    </row>
    <row r="302" spans="1:14" s="57" customFormat="1" ht="12.75">
      <c r="A302" s="1132">
        <v>630</v>
      </c>
      <c r="B302" s="903"/>
      <c r="C302" s="903" t="s">
        <v>662</v>
      </c>
      <c r="D302" s="1136">
        <v>1000</v>
      </c>
      <c r="E302" s="895">
        <v>1000</v>
      </c>
      <c r="F302" s="219">
        <v>1000</v>
      </c>
      <c r="G302" s="219">
        <v>1000</v>
      </c>
      <c r="H302" s="1069">
        <v>1000</v>
      </c>
      <c r="I302" s="187"/>
      <c r="J302" s="135"/>
      <c r="K302" s="158"/>
      <c r="L302" s="150"/>
      <c r="M302" s="150"/>
      <c r="N302" s="53"/>
    </row>
    <row r="303" spans="1:14" s="86" customFormat="1" ht="12.75">
      <c r="A303" s="1131">
        <v>642</v>
      </c>
      <c r="B303" s="892"/>
      <c r="C303" s="903" t="s">
        <v>413</v>
      </c>
      <c r="D303" s="1136">
        <v>1451</v>
      </c>
      <c r="E303" s="895">
        <v>1500</v>
      </c>
      <c r="F303" s="219">
        <v>1500</v>
      </c>
      <c r="G303" s="219">
        <v>1500</v>
      </c>
      <c r="H303" s="1069">
        <v>1500</v>
      </c>
      <c r="I303" s="158"/>
      <c r="J303" s="57"/>
      <c r="K303" s="150"/>
      <c r="L303" s="150"/>
      <c r="M303" s="150"/>
      <c r="N303" s="53"/>
    </row>
    <row r="304" spans="1:14" s="86" customFormat="1" ht="12.75">
      <c r="A304" s="1029">
        <v>642</v>
      </c>
      <c r="B304" s="100" t="s">
        <v>109</v>
      </c>
      <c r="C304" s="88" t="s">
        <v>663</v>
      </c>
      <c r="D304" s="1139">
        <v>0</v>
      </c>
      <c r="E304" s="895">
        <v>0</v>
      </c>
      <c r="F304" s="219">
        <v>0</v>
      </c>
      <c r="G304" s="219">
        <v>0</v>
      </c>
      <c r="H304" s="1069">
        <v>0</v>
      </c>
      <c r="I304" s="854"/>
      <c r="J304" s="57"/>
      <c r="K304" s="879"/>
      <c r="L304" s="150"/>
      <c r="M304" s="150"/>
      <c r="N304" s="53"/>
    </row>
    <row r="305" spans="1:14" ht="12.75">
      <c r="A305" s="1072" t="s">
        <v>664</v>
      </c>
      <c r="B305" s="1073"/>
      <c r="C305" s="1112" t="s">
        <v>665</v>
      </c>
      <c r="D305" s="1082">
        <f>SUM(D259,D270,D289,D298,D301)</f>
        <v>67748</v>
      </c>
      <c r="E305" s="1104">
        <f>SUM(E259,E270,E289,E298,E301)</f>
        <v>58600</v>
      </c>
      <c r="F305" s="1104">
        <f>SUM(F259,F270,F289,F298,F301)</f>
        <v>59000</v>
      </c>
      <c r="G305" s="1104">
        <f>SUM(G259,G270,G289,G298,G301)</f>
        <v>59600</v>
      </c>
      <c r="H305" s="1122">
        <f>SUM(H259,H270,H289,H298,H301)</f>
        <v>59600</v>
      </c>
      <c r="I305" s="188"/>
      <c r="J305" s="857"/>
      <c r="K305" s="805"/>
      <c r="L305" s="805"/>
      <c r="M305" s="805"/>
      <c r="N305" s="880"/>
    </row>
    <row r="306" spans="1:8" ht="12.75" hidden="1">
      <c r="A306" s="874"/>
      <c r="B306" s="150"/>
      <c r="C306" s="270"/>
      <c r="D306" s="270"/>
      <c r="E306" s="875"/>
      <c r="F306" s="875"/>
      <c r="G306" s="875"/>
      <c r="H306" s="876"/>
    </row>
    <row r="307" spans="1:8" ht="12.75">
      <c r="A307" s="874"/>
      <c r="B307" s="150"/>
      <c r="C307" s="270"/>
      <c r="D307" s="270"/>
      <c r="E307" s="875"/>
      <c r="F307" s="875"/>
      <c r="G307" s="875"/>
      <c r="H307" s="876"/>
    </row>
    <row r="308" spans="1:8" ht="12.75">
      <c r="A308" s="874"/>
      <c r="B308" s="150"/>
      <c r="C308" s="270"/>
      <c r="D308" s="270"/>
      <c r="E308" s="875"/>
      <c r="F308" s="875"/>
      <c r="G308" s="875"/>
      <c r="H308" s="876"/>
    </row>
    <row r="309" spans="1:13" ht="12.75">
      <c r="A309" s="874"/>
      <c r="B309" s="150"/>
      <c r="C309" s="270"/>
      <c r="D309" s="270"/>
      <c r="E309" s="875"/>
      <c r="F309" s="1273" t="s">
        <v>666</v>
      </c>
      <c r="G309" s="1273"/>
      <c r="H309" s="1273"/>
      <c r="I309" s="260"/>
      <c r="J309" s="260"/>
      <c r="K309" s="260"/>
      <c r="L309" s="260"/>
      <c r="M309" s="260"/>
    </row>
    <row r="310" spans="1:13" s="867" customFormat="1" ht="12.75">
      <c r="A310" s="1018" t="s">
        <v>471</v>
      </c>
      <c r="B310" s="1019"/>
      <c r="C310" s="1077"/>
      <c r="D310" s="1141">
        <v>2011</v>
      </c>
      <c r="E310" s="1114">
        <v>2012</v>
      </c>
      <c r="F310" s="1079">
        <v>2013</v>
      </c>
      <c r="G310" s="1079">
        <v>2014</v>
      </c>
      <c r="H310" s="1080">
        <v>2015</v>
      </c>
      <c r="I310" s="864"/>
      <c r="J310" s="865"/>
      <c r="K310" s="866"/>
      <c r="L310" s="798"/>
      <c r="M310" s="799"/>
    </row>
    <row r="311" spans="1:13" s="278" customFormat="1" ht="11.25">
      <c r="A311" s="1025" t="s">
        <v>667</v>
      </c>
      <c r="B311" s="902"/>
      <c r="C311" s="902"/>
      <c r="D311" s="1142">
        <f>SUM(D312,D313,D314,D315,D317,D318)+D316</f>
        <v>105661</v>
      </c>
      <c r="E311" s="914">
        <f>SUM(E312,E313,E317)+E314+E315</f>
        <v>108970</v>
      </c>
      <c r="F311" s="856">
        <f>SUM(F312,F313,F317)+F314+F315+F316</f>
        <v>105600</v>
      </c>
      <c r="G311" s="856">
        <f>SUM(G312,G313,G317)+G314+G315+G316</f>
        <v>110600</v>
      </c>
      <c r="H311" s="1084">
        <f>SUM(H312,H313,H317)+H314+H315+H316</f>
        <v>110600</v>
      </c>
      <c r="I311" s="878"/>
      <c r="J311" s="857"/>
      <c r="K311" s="805"/>
      <c r="L311" s="805"/>
      <c r="M311" s="805"/>
    </row>
    <row r="312" spans="1:13" ht="12.75">
      <c r="A312" s="1154" t="s">
        <v>668</v>
      </c>
      <c r="B312" s="932" t="s">
        <v>669</v>
      </c>
      <c r="C312" s="928" t="s">
        <v>512</v>
      </c>
      <c r="D312" s="1136">
        <v>64944</v>
      </c>
      <c r="E312" s="895">
        <v>60000</v>
      </c>
      <c r="F312" s="219">
        <v>62000</v>
      </c>
      <c r="G312" s="219">
        <v>65000</v>
      </c>
      <c r="H312" s="1069">
        <v>65000</v>
      </c>
      <c r="I312" s="187"/>
      <c r="J312" s="135"/>
      <c r="K312" s="158"/>
      <c r="L312" s="150"/>
      <c r="M312" s="158"/>
    </row>
    <row r="313" spans="1:14" s="86" customFormat="1" ht="12.75">
      <c r="A313" s="1155"/>
      <c r="B313" s="932" t="s">
        <v>670</v>
      </c>
      <c r="C313" s="903" t="s">
        <v>397</v>
      </c>
      <c r="D313" s="1136">
        <v>37471</v>
      </c>
      <c r="E313" s="895">
        <v>36370</v>
      </c>
      <c r="F313" s="219">
        <v>32000</v>
      </c>
      <c r="G313" s="219">
        <v>34000</v>
      </c>
      <c r="H313" s="1069">
        <v>34000</v>
      </c>
      <c r="I313" s="187"/>
      <c r="J313" s="135"/>
      <c r="K313" s="158"/>
      <c r="L313" s="150"/>
      <c r="M313" s="158"/>
      <c r="N313" s="139"/>
    </row>
    <row r="314" spans="1:14" s="86" customFormat="1" ht="12.75">
      <c r="A314" s="1155"/>
      <c r="B314" s="932"/>
      <c r="C314" s="933" t="s">
        <v>422</v>
      </c>
      <c r="D314" s="1151">
        <v>166</v>
      </c>
      <c r="E314" s="934">
        <v>400</v>
      </c>
      <c r="F314" s="935">
        <v>400</v>
      </c>
      <c r="G314" s="935">
        <v>400</v>
      </c>
      <c r="H314" s="1156">
        <v>400</v>
      </c>
      <c r="I314" s="917"/>
      <c r="J314" s="918"/>
      <c r="K314" s="917"/>
      <c r="L314" s="800"/>
      <c r="M314" s="917"/>
      <c r="N314" s="53"/>
    </row>
    <row r="315" spans="1:14" s="86" customFormat="1" ht="12.75">
      <c r="A315" s="1155"/>
      <c r="B315" s="932"/>
      <c r="C315" s="933" t="s">
        <v>671</v>
      </c>
      <c r="D315" s="1152">
        <v>3080</v>
      </c>
      <c r="E315" s="936">
        <v>200</v>
      </c>
      <c r="F315" s="937">
        <v>200</v>
      </c>
      <c r="G315" s="937">
        <v>200</v>
      </c>
      <c r="H315" s="1157">
        <v>200</v>
      </c>
      <c r="I315" s="917"/>
      <c r="J315" s="918"/>
      <c r="K315" s="917"/>
      <c r="L315" s="800"/>
      <c r="M315" s="917"/>
      <c r="N315" s="53"/>
    </row>
    <row r="316" spans="1:14" s="86" customFormat="1" ht="12.75">
      <c r="A316" s="1155"/>
      <c r="B316" s="932"/>
      <c r="C316" s="903" t="s">
        <v>672</v>
      </c>
      <c r="D316" s="1153">
        <v>0</v>
      </c>
      <c r="E316" s="938">
        <v>4370</v>
      </c>
      <c r="F316" s="939">
        <v>0</v>
      </c>
      <c r="G316" s="939">
        <v>0</v>
      </c>
      <c r="H316" s="1158">
        <v>0</v>
      </c>
      <c r="I316" s="187"/>
      <c r="J316" s="135"/>
      <c r="K316" s="158"/>
      <c r="L316" s="150"/>
      <c r="M316" s="158"/>
      <c r="N316" s="53"/>
    </row>
    <row r="317" spans="1:14" s="86" customFormat="1" ht="12.75">
      <c r="A317" s="1155" t="s">
        <v>673</v>
      </c>
      <c r="B317" s="932">
        <v>633</v>
      </c>
      <c r="C317" s="903" t="s">
        <v>674</v>
      </c>
      <c r="D317" s="1136">
        <v>0</v>
      </c>
      <c r="E317" s="895">
        <v>12000</v>
      </c>
      <c r="F317" s="219">
        <v>11000</v>
      </c>
      <c r="G317" s="219">
        <v>11000</v>
      </c>
      <c r="H317" s="1069">
        <v>11000</v>
      </c>
      <c r="I317" s="187"/>
      <c r="J317" s="135"/>
      <c r="K317" s="158"/>
      <c r="L317" s="150"/>
      <c r="M317" s="158"/>
      <c r="N317" s="53"/>
    </row>
    <row r="318" spans="1:14" s="86" customFormat="1" ht="12.75">
      <c r="A318" s="1159"/>
      <c r="B318" s="1160"/>
      <c r="C318" s="1161" t="s">
        <v>397</v>
      </c>
      <c r="D318" s="1145">
        <v>0</v>
      </c>
      <c r="E318" s="1126">
        <v>1000</v>
      </c>
      <c r="F318" s="1107">
        <v>1000</v>
      </c>
      <c r="G318" s="1107">
        <v>1000</v>
      </c>
      <c r="H318" s="1127">
        <v>1000</v>
      </c>
      <c r="I318" s="187"/>
      <c r="J318" s="57"/>
      <c r="K318" s="158"/>
      <c r="L318" s="150"/>
      <c r="M318" s="158"/>
      <c r="N318" s="53"/>
    </row>
    <row r="319" spans="1:14" s="86" customFormat="1" ht="12.75">
      <c r="A319" s="940"/>
      <c r="B319" s="873"/>
      <c r="C319" s="941"/>
      <c r="D319" s="792"/>
      <c r="E319" s="792"/>
      <c r="F319" s="792"/>
      <c r="G319" s="95"/>
      <c r="H319" s="96"/>
      <c r="I319" s="188"/>
      <c r="J319" s="57"/>
      <c r="K319" s="57"/>
      <c r="L319" s="57"/>
      <c r="M319" s="57"/>
      <c r="N319" s="53"/>
    </row>
    <row r="320" spans="1:13" s="278" customFormat="1" ht="11.25">
      <c r="A320" s="1086" t="s">
        <v>675</v>
      </c>
      <c r="B320" s="1102"/>
      <c r="C320" s="1102"/>
      <c r="D320" s="1135">
        <f>SUM(D321,D322)</f>
        <v>436717</v>
      </c>
      <c r="E320" s="1096">
        <f>SUM(E321,E322,E323,E324,E330,E325,E331,E327,E328,E329,E332)</f>
        <v>498119.15</v>
      </c>
      <c r="F320" s="1097">
        <f>SUM(F321,F322,F324,F330,F325,F331,F327,F328,F329,F323,F332)</f>
        <v>540734</v>
      </c>
      <c r="G320" s="1097">
        <f>SUM(G321,G322,G324,G330,G325,G331,G327,G328,G329,G323,G332)</f>
        <v>542859</v>
      </c>
      <c r="H320" s="1098">
        <f>SUM(H321,H322,H324,H330,H325,H331,H327,H328,H329,H323,H332)</f>
        <v>447300</v>
      </c>
      <c r="I320" s="878"/>
      <c r="J320" s="871"/>
      <c r="K320" s="805"/>
      <c r="L320" s="805"/>
      <c r="M320" s="805"/>
    </row>
    <row r="321" spans="1:13" ht="12.75">
      <c r="A321" s="1058" t="s">
        <v>669</v>
      </c>
      <c r="B321" s="932"/>
      <c r="C321" s="928" t="s">
        <v>512</v>
      </c>
      <c r="D321" s="1136">
        <v>372462</v>
      </c>
      <c r="E321" s="895">
        <v>355559</v>
      </c>
      <c r="F321" s="219">
        <v>355559</v>
      </c>
      <c r="G321" s="219">
        <v>355559</v>
      </c>
      <c r="H321" s="1069">
        <v>360000</v>
      </c>
      <c r="I321" s="187"/>
      <c r="J321" s="135"/>
      <c r="K321" s="158"/>
      <c r="L321" s="150"/>
      <c r="M321" s="150"/>
    </row>
    <row r="322" spans="1:13" ht="12.75">
      <c r="A322" s="1058" t="s">
        <v>670</v>
      </c>
      <c r="B322" s="932"/>
      <c r="C322" s="903" t="s">
        <v>397</v>
      </c>
      <c r="D322" s="1136">
        <v>64255</v>
      </c>
      <c r="E322" s="895">
        <v>48000</v>
      </c>
      <c r="F322" s="219">
        <v>40000</v>
      </c>
      <c r="G322" s="219">
        <v>40000</v>
      </c>
      <c r="H322" s="1069">
        <v>40000</v>
      </c>
      <c r="I322" s="187"/>
      <c r="J322" s="187"/>
      <c r="K322" s="158"/>
      <c r="L322" s="150"/>
      <c r="M322" s="150"/>
    </row>
    <row r="323" spans="1:14" ht="12.75">
      <c r="A323" s="1058"/>
      <c r="B323" s="932"/>
      <c r="C323" s="903" t="s">
        <v>676</v>
      </c>
      <c r="D323" s="1162">
        <v>0</v>
      </c>
      <c r="E323" s="942">
        <v>17200</v>
      </c>
      <c r="F323" s="943">
        <v>0</v>
      </c>
      <c r="G323" s="943">
        <v>0</v>
      </c>
      <c r="H323" s="1165">
        <v>0</v>
      </c>
      <c r="I323" s="187"/>
      <c r="J323" s="187"/>
      <c r="K323" s="158"/>
      <c r="L323" s="150"/>
      <c r="M323" s="150"/>
      <c r="N323" s="139"/>
    </row>
    <row r="324" spans="1:14" s="86" customFormat="1" ht="12.75">
      <c r="A324" s="1058" t="s">
        <v>677</v>
      </c>
      <c r="B324" s="88"/>
      <c r="C324" s="88" t="s">
        <v>428</v>
      </c>
      <c r="D324" s="1136">
        <v>17980</v>
      </c>
      <c r="E324" s="895">
        <v>24000</v>
      </c>
      <c r="F324" s="219">
        <v>24000</v>
      </c>
      <c r="G324" s="219">
        <v>26000</v>
      </c>
      <c r="H324" s="1069">
        <v>26000</v>
      </c>
      <c r="I324" s="187"/>
      <c r="J324" s="57"/>
      <c r="K324" s="158"/>
      <c r="L324" s="848"/>
      <c r="M324" s="150"/>
      <c r="N324" s="139"/>
    </row>
    <row r="325" spans="1:14" s="946" customFormat="1" ht="12.75">
      <c r="A325" s="1041"/>
      <c r="B325" s="824"/>
      <c r="C325" s="824" t="s">
        <v>678</v>
      </c>
      <c r="D325" s="1163">
        <v>0</v>
      </c>
      <c r="E325" s="944">
        <v>21573.52</v>
      </c>
      <c r="F325" s="945">
        <v>0</v>
      </c>
      <c r="G325" s="945">
        <v>0</v>
      </c>
      <c r="H325" s="1166">
        <v>0</v>
      </c>
      <c r="I325" s="850"/>
      <c r="J325" s="828"/>
      <c r="K325" s="839"/>
      <c r="L325" s="800"/>
      <c r="M325" s="838"/>
      <c r="N325" s="836"/>
    </row>
    <row r="326" spans="1:14" s="946" customFormat="1" ht="12.75">
      <c r="A326" s="1041"/>
      <c r="B326" s="824"/>
      <c r="C326" s="824" t="s">
        <v>679</v>
      </c>
      <c r="D326" s="1163">
        <f>D327+D328+D329+D330+D331</f>
        <v>20375</v>
      </c>
      <c r="E326" s="944">
        <f>E327+E328+E329+E330+E331</f>
        <v>27796.260000000002</v>
      </c>
      <c r="F326" s="945">
        <f>F327+F328+F329+F330+F331+F332</f>
        <v>121175</v>
      </c>
      <c r="G326" s="945">
        <f>G327+G328+G329+G330+G331+G332</f>
        <v>121300</v>
      </c>
      <c r="H326" s="1166">
        <f>H327+H328+H329+H330+H331</f>
        <v>21300</v>
      </c>
      <c r="I326" s="850"/>
      <c r="J326" s="828"/>
      <c r="K326" s="839"/>
      <c r="L326" s="800"/>
      <c r="M326" s="838"/>
      <c r="N326" s="836"/>
    </row>
    <row r="327" spans="1:14" s="86" customFormat="1" ht="12.75">
      <c r="A327" s="1167"/>
      <c r="B327" s="930"/>
      <c r="C327" s="933" t="s">
        <v>680</v>
      </c>
      <c r="D327" s="1153">
        <v>3740</v>
      </c>
      <c r="E327" s="938">
        <v>3394</v>
      </c>
      <c r="F327" s="939">
        <v>3500</v>
      </c>
      <c r="G327" s="939">
        <v>3500</v>
      </c>
      <c r="H327" s="1158">
        <v>3500</v>
      </c>
      <c r="I327" s="917"/>
      <c r="J327" s="918"/>
      <c r="K327" s="917"/>
      <c r="L327" s="800"/>
      <c r="M327" s="947"/>
      <c r="N327" s="53"/>
    </row>
    <row r="328" spans="1:14" s="86" customFormat="1" ht="12.75">
      <c r="A328" s="1167"/>
      <c r="B328" s="930"/>
      <c r="C328" s="933" t="s">
        <v>681</v>
      </c>
      <c r="D328" s="1153">
        <v>6120</v>
      </c>
      <c r="E328" s="938">
        <v>8033</v>
      </c>
      <c r="F328" s="939">
        <v>7000</v>
      </c>
      <c r="G328" s="939">
        <v>7000</v>
      </c>
      <c r="H328" s="1158">
        <v>7000</v>
      </c>
      <c r="I328" s="917"/>
      <c r="J328" s="918"/>
      <c r="K328" s="917"/>
      <c r="L328" s="800"/>
      <c r="M328" s="947"/>
      <c r="N328" s="53"/>
    </row>
    <row r="329" spans="1:14" s="86" customFormat="1" ht="12.75">
      <c r="A329" s="1167"/>
      <c r="B329" s="930"/>
      <c r="C329" s="933" t="s">
        <v>422</v>
      </c>
      <c r="D329" s="1153">
        <v>2822</v>
      </c>
      <c r="E329" s="938">
        <v>2800</v>
      </c>
      <c r="F329" s="939">
        <v>2800</v>
      </c>
      <c r="G329" s="939">
        <v>2800</v>
      </c>
      <c r="H329" s="1158">
        <v>2800</v>
      </c>
      <c r="I329" s="917"/>
      <c r="J329" s="918"/>
      <c r="K329" s="917"/>
      <c r="L329" s="800"/>
      <c r="M329" s="947"/>
      <c r="N329" s="53"/>
    </row>
    <row r="330" spans="1:13" ht="12.75">
      <c r="A330" s="1041" t="s">
        <v>677</v>
      </c>
      <c r="B330" s="824"/>
      <c r="C330" s="824" t="s">
        <v>682</v>
      </c>
      <c r="D330" s="1153">
        <v>7693</v>
      </c>
      <c r="E330" s="938">
        <v>7813</v>
      </c>
      <c r="F330" s="939">
        <v>8000</v>
      </c>
      <c r="G330" s="939">
        <v>8000</v>
      </c>
      <c r="H330" s="1158">
        <v>8000</v>
      </c>
      <c r="I330" s="850"/>
      <c r="K330" s="882"/>
      <c r="L330" s="800"/>
      <c r="M330" s="838"/>
    </row>
    <row r="331" spans="1:13" ht="12.75">
      <c r="A331" s="1041"/>
      <c r="B331" s="824"/>
      <c r="C331" s="824" t="s">
        <v>434</v>
      </c>
      <c r="D331" s="1153">
        <v>0</v>
      </c>
      <c r="E331" s="938">
        <v>5756.26</v>
      </c>
      <c r="F331" s="948">
        <v>89875</v>
      </c>
      <c r="G331" s="948">
        <v>90000</v>
      </c>
      <c r="H331" s="1168">
        <v>0</v>
      </c>
      <c r="I331" s="850"/>
      <c r="K331" s="882"/>
      <c r="L331" s="800"/>
      <c r="M331" s="838"/>
    </row>
    <row r="332" spans="1:13" ht="12.75">
      <c r="A332" s="1041"/>
      <c r="B332" s="824"/>
      <c r="C332" s="824" t="s">
        <v>435</v>
      </c>
      <c r="D332" s="1153">
        <v>0</v>
      </c>
      <c r="E332" s="938">
        <v>3990.37</v>
      </c>
      <c r="F332" s="948">
        <v>10000</v>
      </c>
      <c r="G332" s="948">
        <v>10000</v>
      </c>
      <c r="H332" s="1168">
        <v>0</v>
      </c>
      <c r="I332" s="850"/>
      <c r="K332" s="882"/>
      <c r="L332" s="800"/>
      <c r="M332" s="838"/>
    </row>
    <row r="333" spans="1:13" s="872" customFormat="1" ht="12.75">
      <c r="A333" s="1025" t="s">
        <v>683</v>
      </c>
      <c r="B333" s="902"/>
      <c r="C333" s="902" t="s">
        <v>436</v>
      </c>
      <c r="D333" s="1150">
        <f>SUM(D334,D335,D336)</f>
        <v>60013</v>
      </c>
      <c r="E333" s="914">
        <f>SUM(E334,E335,E336)</f>
        <v>62000</v>
      </c>
      <c r="F333" s="856">
        <f>SUM(F334,F335,F336)</f>
        <v>62000</v>
      </c>
      <c r="G333" s="856">
        <f>SUM(G334,G335,G336)</f>
        <v>62000</v>
      </c>
      <c r="H333" s="1084">
        <f>SUM(H334,H335,H336)</f>
        <v>62000</v>
      </c>
      <c r="I333" s="878"/>
      <c r="J333" s="857"/>
      <c r="K333" s="805"/>
      <c r="L333" s="805"/>
      <c r="M333" s="805"/>
    </row>
    <row r="334" spans="1:13" ht="12.75">
      <c r="A334" s="1131">
        <v>610</v>
      </c>
      <c r="B334" s="927"/>
      <c r="C334" s="928" t="s">
        <v>512</v>
      </c>
      <c r="D334" s="1136">
        <v>20265</v>
      </c>
      <c r="E334" s="895">
        <v>21400</v>
      </c>
      <c r="F334" s="219">
        <v>21400</v>
      </c>
      <c r="G334" s="219">
        <v>21400</v>
      </c>
      <c r="H334" s="1069">
        <v>21400</v>
      </c>
      <c r="I334" s="158"/>
      <c r="K334" s="158"/>
      <c r="L334" s="150"/>
      <c r="M334" s="158"/>
    </row>
    <row r="335" spans="1:13" ht="12.75">
      <c r="A335" s="1131">
        <v>620</v>
      </c>
      <c r="B335" s="892"/>
      <c r="C335" s="892" t="s">
        <v>226</v>
      </c>
      <c r="D335" s="1136">
        <v>7181</v>
      </c>
      <c r="E335" s="895">
        <v>7850</v>
      </c>
      <c r="F335" s="219">
        <v>7850</v>
      </c>
      <c r="G335" s="219">
        <v>7850</v>
      </c>
      <c r="H335" s="1069">
        <v>7850</v>
      </c>
      <c r="I335" s="158"/>
      <c r="K335" s="158"/>
      <c r="L335" s="150"/>
      <c r="M335" s="158"/>
    </row>
    <row r="336" spans="1:13" ht="12.75">
      <c r="A336" s="1132">
        <v>630</v>
      </c>
      <c r="B336" s="903"/>
      <c r="C336" s="903" t="s">
        <v>397</v>
      </c>
      <c r="D336" s="1136">
        <f>SUM(D337,D338,D339,D342,D340,D341)</f>
        <v>32567</v>
      </c>
      <c r="E336" s="895">
        <f>SUM(E337,E338,E339,E342,E340,E341)</f>
        <v>32750</v>
      </c>
      <c r="F336" s="219">
        <f>SUM(F337,F338,F339,F342,F340,F341)</f>
        <v>32750</v>
      </c>
      <c r="G336" s="219">
        <f>SUM(G337,G338,G339,G342,G340,G341)</f>
        <v>32750</v>
      </c>
      <c r="H336" s="1069">
        <f>SUM(H337,H338,H339,H342,H340,H341)</f>
        <v>32750</v>
      </c>
      <c r="I336" s="158"/>
      <c r="K336" s="150"/>
      <c r="L336" s="150"/>
      <c r="M336" s="158"/>
    </row>
    <row r="337" spans="1:13" ht="12.75">
      <c r="A337" s="1045">
        <v>632</v>
      </c>
      <c r="B337" s="178"/>
      <c r="C337" s="178" t="s">
        <v>684</v>
      </c>
      <c r="D337" s="1144">
        <v>8702</v>
      </c>
      <c r="E337" s="925">
        <v>7500</v>
      </c>
      <c r="F337" s="118">
        <v>7500</v>
      </c>
      <c r="G337" s="118">
        <v>7500</v>
      </c>
      <c r="H337" s="1070">
        <v>7500</v>
      </c>
      <c r="I337" s="854"/>
      <c r="K337" s="854"/>
      <c r="L337" s="848"/>
      <c r="M337" s="854"/>
    </row>
    <row r="338" spans="1:13" ht="12.75">
      <c r="A338" s="1029">
        <v>633</v>
      </c>
      <c r="B338" s="100"/>
      <c r="C338" s="100" t="s">
        <v>390</v>
      </c>
      <c r="D338" s="1144">
        <v>257</v>
      </c>
      <c r="E338" s="925">
        <v>400</v>
      </c>
      <c r="F338" s="118">
        <v>400</v>
      </c>
      <c r="G338" s="118">
        <v>400</v>
      </c>
      <c r="H338" s="1070">
        <v>400</v>
      </c>
      <c r="I338" s="854"/>
      <c r="K338" s="879"/>
      <c r="L338" s="848"/>
      <c r="M338" s="854"/>
    </row>
    <row r="339" spans="1:13" ht="12.75">
      <c r="A339" s="1047">
        <v>633</v>
      </c>
      <c r="B339" s="843" t="s">
        <v>529</v>
      </c>
      <c r="C339" s="843" t="s">
        <v>421</v>
      </c>
      <c r="D339" s="1144">
        <v>23451</v>
      </c>
      <c r="E339" s="925">
        <v>23000</v>
      </c>
      <c r="F339" s="118">
        <v>23000</v>
      </c>
      <c r="G339" s="118">
        <v>23000</v>
      </c>
      <c r="H339" s="1070">
        <v>23000</v>
      </c>
      <c r="I339" s="854"/>
      <c r="K339" s="854"/>
      <c r="L339" s="848"/>
      <c r="M339" s="158"/>
    </row>
    <row r="340" spans="1:13" ht="12.75">
      <c r="A340" s="1029">
        <v>633</v>
      </c>
      <c r="B340" s="100" t="s">
        <v>125</v>
      </c>
      <c r="C340" s="949" t="s">
        <v>685</v>
      </c>
      <c r="D340" s="1144">
        <v>0</v>
      </c>
      <c r="E340" s="925">
        <v>1500</v>
      </c>
      <c r="F340" s="118">
        <v>1500</v>
      </c>
      <c r="G340" s="118">
        <v>1500</v>
      </c>
      <c r="H340" s="1070">
        <v>1500</v>
      </c>
      <c r="I340" s="854"/>
      <c r="K340" s="854"/>
      <c r="L340" s="848"/>
      <c r="M340" s="158"/>
    </row>
    <row r="341" spans="1:13" ht="12.75">
      <c r="A341" s="1029">
        <v>635</v>
      </c>
      <c r="B341" s="100"/>
      <c r="C341" s="949" t="s">
        <v>686</v>
      </c>
      <c r="D341" s="1144">
        <v>8</v>
      </c>
      <c r="E341" s="925">
        <v>200</v>
      </c>
      <c r="F341" s="118">
        <v>200</v>
      </c>
      <c r="G341" s="118">
        <v>200</v>
      </c>
      <c r="H341" s="1070">
        <v>200</v>
      </c>
      <c r="I341" s="854"/>
      <c r="K341" s="854"/>
      <c r="L341" s="848"/>
      <c r="M341" s="158"/>
    </row>
    <row r="342" spans="1:14" ht="12.75">
      <c r="A342" s="1155">
        <v>637</v>
      </c>
      <c r="B342" s="88"/>
      <c r="C342" s="88" t="s">
        <v>240</v>
      </c>
      <c r="D342" s="1164">
        <v>149</v>
      </c>
      <c r="E342" s="950">
        <v>150</v>
      </c>
      <c r="F342" s="951">
        <v>150</v>
      </c>
      <c r="G342" s="951">
        <v>150</v>
      </c>
      <c r="H342" s="1169">
        <v>150</v>
      </c>
      <c r="I342" s="854"/>
      <c r="K342" s="879"/>
      <c r="L342" s="848"/>
      <c r="M342" s="158"/>
      <c r="N342" s="862"/>
    </row>
    <row r="343" spans="1:13" ht="12.75">
      <c r="A343" s="1072" t="s">
        <v>687</v>
      </c>
      <c r="B343" s="1073"/>
      <c r="C343" s="1112" t="s">
        <v>504</v>
      </c>
      <c r="D343" s="1140">
        <f>SUM(D311,D320,D333)</f>
        <v>602391</v>
      </c>
      <c r="E343" s="1113">
        <f>SUM(E311,E320,E333)</f>
        <v>669089.15</v>
      </c>
      <c r="F343" s="1082">
        <f>SUM(F311,F320,F333)</f>
        <v>708334</v>
      </c>
      <c r="G343" s="1082">
        <f>SUM(G311,G320,G333)</f>
        <v>715459</v>
      </c>
      <c r="H343" s="1083">
        <f>SUM(H311,H320,H333)</f>
        <v>619900</v>
      </c>
      <c r="I343" s="188"/>
      <c r="J343" s="150"/>
      <c r="K343" s="805"/>
      <c r="L343" s="805"/>
      <c r="M343" s="805"/>
    </row>
    <row r="344" spans="1:8" ht="12.75">
      <c r="A344" s="150"/>
      <c r="B344" s="150"/>
      <c r="C344" s="150"/>
      <c r="D344" s="150"/>
      <c r="E344" s="108"/>
      <c r="F344" s="863"/>
      <c r="G344" s="108"/>
      <c r="H344" s="108"/>
    </row>
    <row r="345" spans="1:13" ht="12.75">
      <c r="A345" s="150"/>
      <c r="B345" s="150"/>
      <c r="C345" s="150"/>
      <c r="D345" s="150"/>
      <c r="E345" s="108"/>
      <c r="F345" s="1273" t="s">
        <v>688</v>
      </c>
      <c r="G345" s="1273"/>
      <c r="H345" s="1273"/>
      <c r="I345" s="260"/>
      <c r="J345" s="260"/>
      <c r="K345" s="260"/>
      <c r="L345" s="260"/>
      <c r="M345" s="260"/>
    </row>
    <row r="346" spans="1:8" ht="12.75">
      <c r="A346" s="150"/>
      <c r="B346" s="150"/>
      <c r="C346" s="150"/>
      <c r="D346" s="150"/>
      <c r="E346" s="108"/>
      <c r="F346" s="863"/>
      <c r="G346" s="108"/>
      <c r="H346" s="108"/>
    </row>
    <row r="347" spans="1:13" s="867" customFormat="1" ht="12.75">
      <c r="A347" s="1018" t="s">
        <v>471</v>
      </c>
      <c r="B347" s="1019"/>
      <c r="C347" s="1077"/>
      <c r="D347" s="1141">
        <v>2011</v>
      </c>
      <c r="E347" s="1114">
        <v>2012</v>
      </c>
      <c r="F347" s="1079">
        <v>2013</v>
      </c>
      <c r="G347" s="1079">
        <v>2014</v>
      </c>
      <c r="H347" s="1080">
        <v>2015</v>
      </c>
      <c r="I347" s="864"/>
      <c r="J347" s="865"/>
      <c r="K347" s="866"/>
      <c r="L347" s="798"/>
      <c r="M347" s="799"/>
    </row>
    <row r="348" spans="1:13" s="278" customFormat="1" ht="11.25">
      <c r="A348" s="1025" t="s">
        <v>689</v>
      </c>
      <c r="B348" s="902"/>
      <c r="C348" s="902"/>
      <c r="D348" s="1135">
        <f>D349+D350+D351+D352+D353+D354+D358+D359</f>
        <v>38335</v>
      </c>
      <c r="E348" s="894">
        <f>E349+E350+E351+E353+E354+E358+E359</f>
        <v>40650</v>
      </c>
      <c r="F348" s="894">
        <f>F349+F350+F351+F353+F354+F358+F359</f>
        <v>37350</v>
      </c>
      <c r="G348" s="894">
        <f>G349+G350+G351+G353+G354+G358+G359</f>
        <v>40350</v>
      </c>
      <c r="H348" s="1177">
        <f>H349+H350+H351+H353+H354+H358+H359</f>
        <v>40350</v>
      </c>
      <c r="I348" s="878"/>
      <c r="J348" s="246"/>
      <c r="K348" s="805"/>
      <c r="L348" s="805"/>
      <c r="M348" s="805"/>
    </row>
    <row r="349" spans="1:13" ht="12.75">
      <c r="A349" s="1058" t="s">
        <v>690</v>
      </c>
      <c r="B349" s="88"/>
      <c r="C349" s="88" t="s">
        <v>448</v>
      </c>
      <c r="D349" s="1170">
        <v>3863</v>
      </c>
      <c r="E349" s="952">
        <v>3900</v>
      </c>
      <c r="F349" s="953">
        <v>3900</v>
      </c>
      <c r="G349" s="953">
        <v>3900</v>
      </c>
      <c r="H349" s="1178">
        <v>3900</v>
      </c>
      <c r="I349" s="187"/>
      <c r="J349" s="58"/>
      <c r="K349" s="158"/>
      <c r="L349" s="150"/>
      <c r="M349" s="150"/>
    </row>
    <row r="350" spans="1:13" ht="12.75">
      <c r="A350" s="1058" t="s">
        <v>690</v>
      </c>
      <c r="B350" s="88"/>
      <c r="C350" s="88" t="s">
        <v>449</v>
      </c>
      <c r="D350" s="1170">
        <v>5240</v>
      </c>
      <c r="E350" s="952">
        <v>8800</v>
      </c>
      <c r="F350" s="953">
        <v>6000</v>
      </c>
      <c r="G350" s="953">
        <v>6000</v>
      </c>
      <c r="H350" s="1178">
        <v>6000</v>
      </c>
      <c r="I350" s="187"/>
      <c r="J350" s="954"/>
      <c r="K350" s="158"/>
      <c r="L350" s="150"/>
      <c r="M350" s="150"/>
    </row>
    <row r="351" spans="1:13" ht="12.75">
      <c r="A351" s="1058" t="s">
        <v>452</v>
      </c>
      <c r="B351" s="88"/>
      <c r="C351" s="88" t="s">
        <v>691</v>
      </c>
      <c r="D351" s="1170">
        <v>439</v>
      </c>
      <c r="E351" s="952">
        <v>600</v>
      </c>
      <c r="F351" s="953">
        <v>600</v>
      </c>
      <c r="G351" s="953">
        <v>600</v>
      </c>
      <c r="H351" s="1178">
        <v>600</v>
      </c>
      <c r="I351" s="187"/>
      <c r="J351" s="207"/>
      <c r="K351" s="187"/>
      <c r="L351" s="187"/>
      <c r="M351" s="187"/>
    </row>
    <row r="352" spans="1:13" ht="12.75">
      <c r="A352" s="1058" t="s">
        <v>452</v>
      </c>
      <c r="B352" s="88"/>
      <c r="C352" s="88" t="s">
        <v>692</v>
      </c>
      <c r="D352" s="1171">
        <v>410</v>
      </c>
      <c r="E352" s="955"/>
      <c r="F352" s="93"/>
      <c r="G352" s="93"/>
      <c r="H352" s="1179"/>
      <c r="I352" s="187"/>
      <c r="J352" s="207"/>
      <c r="K352" s="187"/>
      <c r="L352" s="187"/>
      <c r="M352" s="150"/>
    </row>
    <row r="353" spans="1:14" s="86" customFormat="1" ht="12.75">
      <c r="A353" s="1180" t="s">
        <v>693</v>
      </c>
      <c r="B353" s="88"/>
      <c r="C353" s="88" t="s">
        <v>694</v>
      </c>
      <c r="D353" s="1170">
        <v>584</v>
      </c>
      <c r="E353" s="952">
        <v>1000</v>
      </c>
      <c r="F353" s="953">
        <v>1000</v>
      </c>
      <c r="G353" s="953">
        <v>1000</v>
      </c>
      <c r="H353" s="1178">
        <v>1000</v>
      </c>
      <c r="I353" s="187"/>
      <c r="J353" s="207"/>
      <c r="K353" s="187"/>
      <c r="L353" s="187"/>
      <c r="M353" s="187"/>
      <c r="N353" s="53"/>
    </row>
    <row r="354" spans="1:13" ht="12.75">
      <c r="A354" s="1181" t="s">
        <v>695</v>
      </c>
      <c r="B354" s="956"/>
      <c r="C354" s="930" t="s">
        <v>696</v>
      </c>
      <c r="D354" s="1171">
        <f>SUM(D355,D356,D357)</f>
        <v>11732</v>
      </c>
      <c r="E354" s="955">
        <f>SUM(E355,E356,E357)</f>
        <v>10000</v>
      </c>
      <c r="F354" s="93">
        <f>SUM(F355,F356,F357)</f>
        <v>10000</v>
      </c>
      <c r="G354" s="93">
        <f>SUM(G355,G356,G357)</f>
        <v>13000</v>
      </c>
      <c r="H354" s="1179">
        <f>SUM(H355,H356,H357)</f>
        <v>13000</v>
      </c>
      <c r="I354" s="957"/>
      <c r="J354" s="207"/>
      <c r="K354" s="187"/>
      <c r="L354" s="187"/>
      <c r="M354" s="187"/>
    </row>
    <row r="355" spans="1:13" ht="12.75">
      <c r="A355" s="1058"/>
      <c r="B355" s="807" t="s">
        <v>669</v>
      </c>
      <c r="C355" s="860" t="s">
        <v>512</v>
      </c>
      <c r="D355" s="1144">
        <v>8946</v>
      </c>
      <c r="E355" s="925">
        <v>9200</v>
      </c>
      <c r="F355" s="118">
        <v>9200</v>
      </c>
      <c r="G355" s="118">
        <v>12000</v>
      </c>
      <c r="H355" s="1070">
        <v>12000</v>
      </c>
      <c r="I355" s="958"/>
      <c r="J355" s="207"/>
      <c r="K355" s="187"/>
      <c r="L355" s="959"/>
      <c r="M355" s="854"/>
    </row>
    <row r="356" spans="1:13" ht="12.75">
      <c r="A356" s="1058"/>
      <c r="B356" s="807" t="s">
        <v>670</v>
      </c>
      <c r="C356" s="860" t="s">
        <v>397</v>
      </c>
      <c r="D356" s="1144">
        <v>2786</v>
      </c>
      <c r="E356" s="925">
        <v>800</v>
      </c>
      <c r="F356" s="118">
        <v>800</v>
      </c>
      <c r="G356" s="118">
        <v>1000</v>
      </c>
      <c r="H356" s="1070">
        <v>1000</v>
      </c>
      <c r="I356" s="958"/>
      <c r="J356" s="207"/>
      <c r="K356" s="187"/>
      <c r="L356" s="959"/>
      <c r="M356" s="854"/>
    </row>
    <row r="357" spans="1:13" ht="12.75">
      <c r="A357" s="1058"/>
      <c r="B357" s="807">
        <v>642</v>
      </c>
      <c r="C357" s="860" t="s">
        <v>340</v>
      </c>
      <c r="D357" s="1144">
        <v>0</v>
      </c>
      <c r="E357" s="925">
        <v>0</v>
      </c>
      <c r="F357" s="118">
        <v>0</v>
      </c>
      <c r="G357" s="118">
        <v>0</v>
      </c>
      <c r="H357" s="1070">
        <v>0</v>
      </c>
      <c r="I357" s="958"/>
      <c r="J357" s="207"/>
      <c r="K357" s="187"/>
      <c r="L357" s="959"/>
      <c r="M357" s="187"/>
    </row>
    <row r="358" spans="1:13" ht="12.75">
      <c r="A358" s="1181" t="s">
        <v>690</v>
      </c>
      <c r="B358" s="929"/>
      <c r="C358" s="860" t="s">
        <v>450</v>
      </c>
      <c r="D358" s="1170">
        <v>1861</v>
      </c>
      <c r="E358" s="952">
        <v>500</v>
      </c>
      <c r="F358" s="953">
        <v>0</v>
      </c>
      <c r="G358" s="953">
        <v>0</v>
      </c>
      <c r="H358" s="1178">
        <v>0</v>
      </c>
      <c r="I358" s="957"/>
      <c r="J358" s="207"/>
      <c r="K358" s="187"/>
      <c r="L358" s="187"/>
      <c r="M358" s="187"/>
    </row>
    <row r="359" spans="1:13" ht="12.75">
      <c r="A359" s="1181" t="s">
        <v>697</v>
      </c>
      <c r="B359" s="929"/>
      <c r="C359" s="930" t="s">
        <v>698</v>
      </c>
      <c r="D359" s="1171">
        <f>SUM(D360,D361,D362,D363)</f>
        <v>14206</v>
      </c>
      <c r="E359" s="955">
        <f>SUM(E360,E361,E362,E363)</f>
        <v>15850</v>
      </c>
      <c r="F359" s="93">
        <f>SUM(F360,F361,F362,F363)</f>
        <v>15850</v>
      </c>
      <c r="G359" s="93">
        <f>SUM(G360,G361,G362,G363)</f>
        <v>15850</v>
      </c>
      <c r="H359" s="1179">
        <f>SUM(H360,H361,H362,H363)</f>
        <v>15850</v>
      </c>
      <c r="I359" s="957"/>
      <c r="J359" s="207"/>
      <c r="K359" s="187"/>
      <c r="L359" s="187"/>
      <c r="M359" s="187"/>
    </row>
    <row r="360" spans="1:13" ht="12.75">
      <c r="A360" s="1181" t="s">
        <v>693</v>
      </c>
      <c r="B360" s="929">
        <v>642</v>
      </c>
      <c r="C360" s="930" t="s">
        <v>699</v>
      </c>
      <c r="D360" s="1136">
        <v>900</v>
      </c>
      <c r="E360" s="895">
        <v>0</v>
      </c>
      <c r="F360" s="219">
        <v>0</v>
      </c>
      <c r="G360" s="219">
        <v>0</v>
      </c>
      <c r="H360" s="1069">
        <v>0</v>
      </c>
      <c r="I360" s="958"/>
      <c r="J360" s="207"/>
      <c r="K360" s="854"/>
      <c r="L360" s="960"/>
      <c r="M360" s="187"/>
    </row>
    <row r="361" spans="1:13" ht="12.75">
      <c r="A361" s="1058" t="s">
        <v>700</v>
      </c>
      <c r="B361" s="88"/>
      <c r="C361" s="88" t="s">
        <v>701</v>
      </c>
      <c r="D361" s="1136">
        <v>0</v>
      </c>
      <c r="E361" s="895">
        <v>0</v>
      </c>
      <c r="F361" s="219">
        <v>0</v>
      </c>
      <c r="G361" s="219">
        <v>0</v>
      </c>
      <c r="H361" s="1069">
        <v>0</v>
      </c>
      <c r="I361" s="854"/>
      <c r="J361" s="875"/>
      <c r="K361" s="854"/>
      <c r="L361" s="187"/>
      <c r="M361" s="187"/>
    </row>
    <row r="362" spans="1:13" ht="12.75">
      <c r="A362" s="1182" t="s">
        <v>700</v>
      </c>
      <c r="B362" s="961"/>
      <c r="C362" s="961" t="s">
        <v>702</v>
      </c>
      <c r="D362" s="1172">
        <v>12426</v>
      </c>
      <c r="E362" s="962">
        <v>14500</v>
      </c>
      <c r="F362" s="963">
        <v>14500</v>
      </c>
      <c r="G362" s="963">
        <v>14500</v>
      </c>
      <c r="H362" s="1183">
        <v>14500</v>
      </c>
      <c r="I362" s="917"/>
      <c r="J362" s="964"/>
      <c r="K362" s="965"/>
      <c r="L362" s="966"/>
      <c r="M362" s="965"/>
    </row>
    <row r="363" spans="1:13" s="969" customFormat="1" ht="12.75">
      <c r="A363" s="1184" t="s">
        <v>700</v>
      </c>
      <c r="B363" s="1117"/>
      <c r="C363" s="1117" t="s">
        <v>703</v>
      </c>
      <c r="D363" s="1173">
        <v>880</v>
      </c>
      <c r="E363" s="1185">
        <v>1350</v>
      </c>
      <c r="F363" s="1186">
        <v>1350</v>
      </c>
      <c r="G363" s="1186">
        <v>1350</v>
      </c>
      <c r="H363" s="1187">
        <v>1350</v>
      </c>
      <c r="I363" s="917"/>
      <c r="J363" s="954"/>
      <c r="K363" s="967"/>
      <c r="L363" s="968"/>
      <c r="M363" s="967"/>
    </row>
    <row r="364" spans="1:13" ht="13.5" thickBot="1">
      <c r="A364" s="1174" t="s">
        <v>392</v>
      </c>
      <c r="B364" s="1175"/>
      <c r="C364" s="1176" t="s">
        <v>704</v>
      </c>
      <c r="D364" s="970">
        <f>SUM(D348)</f>
        <v>38335</v>
      </c>
      <c r="E364" s="970">
        <f>SUM(E348)</f>
        <v>40650</v>
      </c>
      <c r="F364" s="970">
        <f>SUM(F348)</f>
        <v>37350</v>
      </c>
      <c r="G364" s="970">
        <f>SUM(G348)</f>
        <v>40350</v>
      </c>
      <c r="H364" s="1188">
        <f>SUM(H348)</f>
        <v>40350</v>
      </c>
      <c r="I364" s="188"/>
      <c r="J364" s="246"/>
      <c r="K364" s="805"/>
      <c r="L364" s="805"/>
      <c r="M364" s="805"/>
    </row>
    <row r="365" spans="1:14" ht="12.75">
      <c r="A365" s="971" t="s">
        <v>705</v>
      </c>
      <c r="B365" s="972"/>
      <c r="C365" s="973"/>
      <c r="D365" s="974">
        <f>SUM(D89,D101,D141,D190,D218,D236,D250,D305,D343,D364)</f>
        <v>1275506</v>
      </c>
      <c r="E365" s="974">
        <f>SUM(E89,E101,E141,E190,E218,E236,E250,E305,E343,E364)</f>
        <v>1266695.7200000002</v>
      </c>
      <c r="F365" s="975">
        <f>F89+F101+F141+F190+F218+F236+F250+F305+F343+F364</f>
        <v>1265892</v>
      </c>
      <c r="G365" s="975">
        <f>G89+G101+G141+G190+G218+G236+G250+G305+G343+G364</f>
        <v>1280864</v>
      </c>
      <c r="H365" s="976">
        <f>H89+H101+H141+H190+H218+H236+H250+H305+H343+H364</f>
        <v>1184805</v>
      </c>
      <c r="I365" s="188"/>
      <c r="J365" s="58"/>
      <c r="K365" s="805"/>
      <c r="L365" s="805"/>
      <c r="M365" s="805"/>
      <c r="N365" s="880"/>
    </row>
    <row r="366" spans="1:8" ht="12.75">
      <c r="A366" s="270"/>
      <c r="B366" s="57"/>
      <c r="C366" s="270"/>
      <c r="D366" s="270"/>
      <c r="E366" s="271"/>
      <c r="F366" s="271"/>
      <c r="G366" s="271"/>
      <c r="H366" s="876"/>
    </row>
    <row r="367" spans="1:8" ht="12.75" hidden="1">
      <c r="A367" s="270"/>
      <c r="B367" s="57"/>
      <c r="C367" s="270"/>
      <c r="D367" s="270"/>
      <c r="E367" s="271"/>
      <c r="F367" s="271"/>
      <c r="G367" s="271"/>
      <c r="H367" s="876"/>
    </row>
    <row r="368" spans="1:8" ht="12.75" hidden="1">
      <c r="A368" s="270"/>
      <c r="B368" s="57"/>
      <c r="C368" s="270"/>
      <c r="D368" s="270"/>
      <c r="E368" s="271"/>
      <c r="F368" s="271"/>
      <c r="G368" s="271"/>
      <c r="H368" s="876"/>
    </row>
    <row r="369" spans="1:8" ht="12.75" hidden="1">
      <c r="A369" s="270"/>
      <c r="B369" s="57"/>
      <c r="C369" s="270"/>
      <c r="D369" s="270"/>
      <c r="E369" s="271"/>
      <c r="F369" s="271"/>
      <c r="G369" s="977"/>
      <c r="H369" s="876"/>
    </row>
    <row r="370" spans="1:8" ht="12.75">
      <c r="A370" s="270"/>
      <c r="B370" s="57"/>
      <c r="C370" s="270"/>
      <c r="D370" s="270"/>
      <c r="E370" s="271"/>
      <c r="F370" s="271"/>
      <c r="G370" s="271"/>
      <c r="H370" s="876"/>
    </row>
    <row r="371" spans="1:8" ht="12.75" hidden="1">
      <c r="A371" s="270"/>
      <c r="B371" s="57"/>
      <c r="C371" s="270"/>
      <c r="D371" s="270"/>
      <c r="E371" s="271"/>
      <c r="F371" s="271"/>
      <c r="G371" s="271"/>
      <c r="H371" s="876"/>
    </row>
    <row r="372" spans="1:8" ht="12.75" hidden="1">
      <c r="A372" s="270"/>
      <c r="B372" s="57"/>
      <c r="C372" s="270"/>
      <c r="D372" s="270"/>
      <c r="E372" s="271"/>
      <c r="F372" s="271"/>
      <c r="G372" s="271"/>
      <c r="H372" s="876"/>
    </row>
    <row r="373" spans="1:8" ht="12.75" hidden="1">
      <c r="A373" s="270"/>
      <c r="B373" s="57"/>
      <c r="C373" s="270"/>
      <c r="D373" s="270"/>
      <c r="E373" s="271"/>
      <c r="F373" s="271"/>
      <c r="G373" s="271"/>
      <c r="H373" s="876"/>
    </row>
    <row r="374" spans="1:8" ht="12.75" hidden="1">
      <c r="A374" s="270"/>
      <c r="B374" s="57"/>
      <c r="C374" s="270"/>
      <c r="D374" s="270"/>
      <c r="E374" s="271"/>
      <c r="F374" s="271"/>
      <c r="G374" s="271"/>
      <c r="H374" s="876"/>
    </row>
    <row r="375" spans="1:8" ht="12.75" hidden="1">
      <c r="A375" s="270"/>
      <c r="B375" s="57"/>
      <c r="C375" s="270"/>
      <c r="D375" s="270"/>
      <c r="E375" s="271"/>
      <c r="F375" s="271"/>
      <c r="G375" s="271"/>
      <c r="H375" s="876"/>
    </row>
    <row r="376" spans="1:8" ht="12.75" hidden="1">
      <c r="A376" s="270"/>
      <c r="B376" s="57"/>
      <c r="C376" s="270"/>
      <c r="D376" s="270"/>
      <c r="E376" s="271"/>
      <c r="F376" s="271"/>
      <c r="G376" s="271"/>
      <c r="H376" s="876"/>
    </row>
    <row r="377" spans="1:8" ht="12.75" hidden="1">
      <c r="A377" s="270"/>
      <c r="B377" s="57"/>
      <c r="C377" s="270"/>
      <c r="D377" s="270"/>
      <c r="E377" s="271"/>
      <c r="F377" s="271"/>
      <c r="G377" s="271"/>
      <c r="H377" s="876"/>
    </row>
    <row r="378" spans="1:8" ht="12.75" hidden="1">
      <c r="A378" s="270"/>
      <c r="B378" s="57"/>
      <c r="C378" s="270"/>
      <c r="D378" s="270"/>
      <c r="E378" s="271"/>
      <c r="F378" s="271"/>
      <c r="G378" s="271"/>
      <c r="H378" s="876"/>
    </row>
    <row r="379" spans="1:8" ht="12.75" hidden="1">
      <c r="A379" s="270"/>
      <c r="B379" s="57"/>
      <c r="C379" s="270"/>
      <c r="D379" s="270"/>
      <c r="E379" s="271"/>
      <c r="F379" s="271"/>
      <c r="G379" s="271"/>
      <c r="H379" s="876"/>
    </row>
    <row r="380" spans="1:8" ht="12.75" hidden="1">
      <c r="A380" s="270"/>
      <c r="B380" s="57"/>
      <c r="C380" s="270"/>
      <c r="D380" s="270"/>
      <c r="E380" s="271"/>
      <c r="F380" s="271"/>
      <c r="G380" s="271"/>
      <c r="H380" s="876"/>
    </row>
    <row r="381" spans="1:8" ht="12.75" hidden="1">
      <c r="A381" s="270"/>
      <c r="B381" s="57"/>
      <c r="C381" s="270"/>
      <c r="D381" s="270"/>
      <c r="E381" s="271"/>
      <c r="F381" s="271"/>
      <c r="G381" s="271"/>
      <c r="H381" s="876"/>
    </row>
    <row r="382" spans="1:8" ht="12.75">
      <c r="A382" s="270"/>
      <c r="B382" s="57"/>
      <c r="C382" s="795" t="s">
        <v>472</v>
      </c>
      <c r="D382" s="795"/>
      <c r="E382" s="271"/>
      <c r="F382" s="271"/>
      <c r="G382" s="271"/>
      <c r="H382" s="876"/>
    </row>
    <row r="383" spans="1:8" ht="12.75">
      <c r="A383" s="270"/>
      <c r="B383" s="57"/>
      <c r="C383" s="270"/>
      <c r="D383" s="270"/>
      <c r="E383" s="271"/>
      <c r="F383" s="271"/>
      <c r="G383" s="271"/>
      <c r="H383" s="876"/>
    </row>
    <row r="384" spans="1:13" s="867" customFormat="1" ht="12.75">
      <c r="A384" s="1018" t="s">
        <v>472</v>
      </c>
      <c r="B384" s="1019"/>
      <c r="C384" s="1189"/>
      <c r="D384" s="1020">
        <v>2011</v>
      </c>
      <c r="E384" s="1022">
        <v>2012</v>
      </c>
      <c r="F384" s="1079">
        <v>2013</v>
      </c>
      <c r="G384" s="1079">
        <v>2014</v>
      </c>
      <c r="H384" s="1080">
        <v>2015</v>
      </c>
      <c r="I384" s="864"/>
      <c r="J384" s="865"/>
      <c r="K384" s="866"/>
      <c r="L384" s="798"/>
      <c r="M384" s="799"/>
    </row>
    <row r="385" spans="1:13" s="278" customFormat="1" ht="11.25">
      <c r="A385" s="1190" t="s">
        <v>511</v>
      </c>
      <c r="B385" s="978"/>
      <c r="C385" s="979"/>
      <c r="D385" s="980">
        <v>0</v>
      </c>
      <c r="E385" s="980">
        <v>3200</v>
      </c>
      <c r="F385" s="980">
        <v>0</v>
      </c>
      <c r="G385" s="980">
        <v>0</v>
      </c>
      <c r="H385" s="1191">
        <v>0</v>
      </c>
      <c r="I385" s="159"/>
      <c r="J385" s="871"/>
      <c r="K385" s="871"/>
      <c r="L385" s="871"/>
      <c r="M385" s="871"/>
    </row>
    <row r="386" spans="1:12" ht="12.75">
      <c r="A386" s="1058">
        <v>711</v>
      </c>
      <c r="B386" s="88" t="s">
        <v>106</v>
      </c>
      <c r="C386" s="89" t="s">
        <v>242</v>
      </c>
      <c r="D386" s="118">
        <v>0</v>
      </c>
      <c r="E386" s="118">
        <v>3200</v>
      </c>
      <c r="F386" s="118">
        <v>0</v>
      </c>
      <c r="G386" s="118">
        <v>0</v>
      </c>
      <c r="H386" s="1070">
        <v>0</v>
      </c>
      <c r="I386" s="158"/>
      <c r="K386" s="150"/>
      <c r="L386" s="150"/>
    </row>
    <row r="387" spans="1:12" ht="12.75">
      <c r="A387" s="1090"/>
      <c r="B387" s="150"/>
      <c r="C387" s="150"/>
      <c r="D387" s="981"/>
      <c r="E387" s="981"/>
      <c r="F387" s="981"/>
      <c r="G387" s="981"/>
      <c r="H387" s="1192"/>
      <c r="I387" s="158"/>
      <c r="K387" s="150"/>
      <c r="L387" s="150"/>
    </row>
    <row r="388" spans="1:13" ht="12.75">
      <c r="A388" s="1193" t="s">
        <v>590</v>
      </c>
      <c r="B388" s="978"/>
      <c r="C388" s="979"/>
      <c r="D388" s="980">
        <v>55213</v>
      </c>
      <c r="E388" s="980">
        <v>6960</v>
      </c>
      <c r="F388" s="980">
        <f>F389</f>
        <v>0</v>
      </c>
      <c r="G388" s="980">
        <f>G389</f>
        <v>0</v>
      </c>
      <c r="H388" s="1191">
        <f>H389</f>
        <v>0</v>
      </c>
      <c r="I388" s="159"/>
      <c r="J388" s="871"/>
      <c r="K388" s="871"/>
      <c r="L388" s="871"/>
      <c r="M388" s="871"/>
    </row>
    <row r="389" spans="1:12" ht="12.75">
      <c r="A389" s="1071">
        <v>713</v>
      </c>
      <c r="B389" s="141" t="s">
        <v>125</v>
      </c>
      <c r="C389" s="142" t="s">
        <v>706</v>
      </c>
      <c r="D389" s="218"/>
      <c r="E389" s="218"/>
      <c r="F389" s="218">
        <v>0</v>
      </c>
      <c r="G389" s="218">
        <v>0</v>
      </c>
      <c r="H389" s="1194">
        <v>0</v>
      </c>
      <c r="I389" s="158"/>
      <c r="K389" s="150"/>
      <c r="L389" s="150"/>
    </row>
    <row r="390" spans="1:13" ht="12.75">
      <c r="A390" s="1195">
        <v>713</v>
      </c>
      <c r="B390" s="982" t="s">
        <v>125</v>
      </c>
      <c r="C390" s="983" t="s">
        <v>707</v>
      </c>
      <c r="D390" s="219"/>
      <c r="E390" s="219"/>
      <c r="F390" s="939">
        <v>0</v>
      </c>
      <c r="G390" s="939">
        <v>0</v>
      </c>
      <c r="H390" s="1158">
        <v>0</v>
      </c>
      <c r="I390" s="839"/>
      <c r="J390" s="828"/>
      <c r="K390" s="838"/>
      <c r="L390" s="838"/>
      <c r="M390" s="828"/>
    </row>
    <row r="391" spans="1:14" s="86" customFormat="1" ht="12.75">
      <c r="A391" s="1050"/>
      <c r="B391" s="121"/>
      <c r="C391" s="121"/>
      <c r="D391" s="792"/>
      <c r="E391" s="792"/>
      <c r="F391" s="792"/>
      <c r="G391" s="792"/>
      <c r="H391" s="1196"/>
      <c r="I391" s="158"/>
      <c r="J391" s="57"/>
      <c r="K391" s="57"/>
      <c r="L391" s="150"/>
      <c r="M391" s="57"/>
      <c r="N391" s="53"/>
    </row>
    <row r="392" spans="1:13" s="278" customFormat="1" ht="11.25">
      <c r="A392" s="1301" t="s">
        <v>708</v>
      </c>
      <c r="B392" s="1302"/>
      <c r="C392" s="1302"/>
      <c r="D392" s="984">
        <v>0</v>
      </c>
      <c r="E392" s="984">
        <v>0</v>
      </c>
      <c r="F392" s="984">
        <v>0</v>
      </c>
      <c r="G392" s="984">
        <v>0</v>
      </c>
      <c r="H392" s="1197">
        <v>0</v>
      </c>
      <c r="I392" s="159"/>
      <c r="J392" s="871"/>
      <c r="K392" s="871"/>
      <c r="L392" s="871"/>
      <c r="M392" s="871"/>
    </row>
    <row r="393" spans="1:14" s="86" customFormat="1" ht="12.75">
      <c r="A393" s="1029">
        <v>717</v>
      </c>
      <c r="B393" s="100" t="s">
        <v>109</v>
      </c>
      <c r="C393" s="101" t="s">
        <v>709</v>
      </c>
      <c r="D393" s="219"/>
      <c r="E393" s="219"/>
      <c r="F393" s="219"/>
      <c r="G393" s="219"/>
      <c r="H393" s="1069"/>
      <c r="I393" s="158"/>
      <c r="J393" s="57"/>
      <c r="K393" s="879"/>
      <c r="L393" s="150"/>
      <c r="M393" s="57"/>
      <c r="N393" s="53"/>
    </row>
    <row r="394" spans="1:12" ht="12.75">
      <c r="A394" s="1050"/>
      <c r="B394" s="121"/>
      <c r="C394" s="121"/>
      <c r="D394" s="792"/>
      <c r="H394" s="1196"/>
      <c r="I394" s="158"/>
      <c r="L394" s="150"/>
    </row>
    <row r="395" spans="1:13" s="278" customFormat="1" ht="11.25">
      <c r="A395" s="1198" t="s">
        <v>710</v>
      </c>
      <c r="B395" s="986"/>
      <c r="C395" s="987"/>
      <c r="D395" s="984">
        <v>0</v>
      </c>
      <c r="E395" s="984">
        <v>0</v>
      </c>
      <c r="F395" s="984">
        <v>0</v>
      </c>
      <c r="G395" s="984">
        <v>0</v>
      </c>
      <c r="H395" s="1197">
        <v>0</v>
      </c>
      <c r="I395" s="159"/>
      <c r="J395" s="871"/>
      <c r="K395" s="871"/>
      <c r="L395" s="871"/>
      <c r="M395" s="871"/>
    </row>
    <row r="396" spans="1:12" ht="12.75">
      <c r="A396" s="1029"/>
      <c r="B396" s="100"/>
      <c r="C396" s="101"/>
      <c r="D396" s="847"/>
      <c r="E396" s="847"/>
      <c r="F396" s="847"/>
      <c r="G396" s="847"/>
      <c r="H396" s="1051"/>
      <c r="I396" s="158"/>
      <c r="J396" s="135"/>
      <c r="L396" s="150"/>
    </row>
    <row r="397" spans="1:14" s="86" customFormat="1" ht="12.75">
      <c r="A397" s="1050"/>
      <c r="B397" s="121"/>
      <c r="C397" s="121"/>
      <c r="D397" s="792"/>
      <c r="E397" s="792"/>
      <c r="F397" s="792"/>
      <c r="G397" s="792"/>
      <c r="H397" s="1196"/>
      <c r="I397" s="158"/>
      <c r="J397" s="135"/>
      <c r="K397" s="57"/>
      <c r="L397" s="150"/>
      <c r="M397" s="57"/>
      <c r="N397" s="53"/>
    </row>
    <row r="398" spans="1:14" s="989" customFormat="1" ht="11.25">
      <c r="A398" s="1190" t="s">
        <v>631</v>
      </c>
      <c r="B398" s="978"/>
      <c r="C398" s="979"/>
      <c r="D398" s="988">
        <v>2400</v>
      </c>
      <c r="E398" s="988">
        <v>0</v>
      </c>
      <c r="F398" s="988">
        <f>F399+F400</f>
        <v>500000</v>
      </c>
      <c r="G398" s="988">
        <f>G399+G400</f>
        <v>0</v>
      </c>
      <c r="H398" s="1199">
        <f>H399+H400</f>
        <v>0</v>
      </c>
      <c r="I398" s="159"/>
      <c r="J398" s="871"/>
      <c r="K398" s="159"/>
      <c r="L398" s="871"/>
      <c r="M398" s="871"/>
      <c r="N398" s="278"/>
    </row>
    <row r="399" spans="1:14" s="86" customFormat="1" ht="12.75">
      <c r="A399" s="1029">
        <v>717</v>
      </c>
      <c r="B399" s="100" t="s">
        <v>106</v>
      </c>
      <c r="C399" s="101" t="s">
        <v>711</v>
      </c>
      <c r="D399" s="219"/>
      <c r="E399" s="219"/>
      <c r="F399" s="219">
        <v>0</v>
      </c>
      <c r="G399" s="219">
        <v>0</v>
      </c>
      <c r="H399" s="1069">
        <v>0</v>
      </c>
      <c r="I399" s="854"/>
      <c r="J399" s="57"/>
      <c r="K399" s="854"/>
      <c r="L399" s="879"/>
      <c r="M399" s="57"/>
      <c r="N399" s="53"/>
    </row>
    <row r="400" spans="1:14" s="86" customFormat="1" ht="12.75">
      <c r="A400" s="1029">
        <v>717</v>
      </c>
      <c r="B400" s="100" t="s">
        <v>106</v>
      </c>
      <c r="C400" s="101" t="s">
        <v>712</v>
      </c>
      <c r="D400" s="219">
        <v>2400</v>
      </c>
      <c r="E400" s="219"/>
      <c r="F400" s="219">
        <v>500000</v>
      </c>
      <c r="G400" s="219">
        <v>0</v>
      </c>
      <c r="H400" s="1069">
        <v>0</v>
      </c>
      <c r="I400" s="854"/>
      <c r="J400" s="57"/>
      <c r="K400" s="854"/>
      <c r="L400" s="879"/>
      <c r="M400" s="57"/>
      <c r="N400" s="53"/>
    </row>
    <row r="401" spans="1:14" s="86" customFormat="1" ht="12.75">
      <c r="A401" s="1050"/>
      <c r="B401" s="121"/>
      <c r="C401" s="121"/>
      <c r="D401" s="981"/>
      <c r="E401" s="981"/>
      <c r="F401" s="981"/>
      <c r="G401" s="981"/>
      <c r="H401" s="1192"/>
      <c r="I401" s="854"/>
      <c r="J401" s="57"/>
      <c r="K401" s="854"/>
      <c r="L401" s="879"/>
      <c r="M401" s="57"/>
      <c r="N401" s="53"/>
    </row>
    <row r="402" spans="1:13" s="278" customFormat="1" ht="11.25">
      <c r="A402" s="1190" t="s">
        <v>713</v>
      </c>
      <c r="B402" s="978"/>
      <c r="C402" s="979"/>
      <c r="D402" s="984">
        <f>SUM(D403,D404,D405,D406,D407,D408,D409)</f>
        <v>707253</v>
      </c>
      <c r="E402" s="984">
        <f>SUM(E403,E404,E405,E406,E407,E409)</f>
        <v>147454.05</v>
      </c>
      <c r="F402" s="984">
        <f>SUM(F403,F404,F405,F406,F407,F409)</f>
        <v>65000</v>
      </c>
      <c r="G402" s="984">
        <f>SUM(G403,G404,G405,G406,G407,G409)</f>
        <v>0</v>
      </c>
      <c r="H402" s="1197">
        <f>SUM(H403,H404,H405,H406,H407,H409)</f>
        <v>0</v>
      </c>
      <c r="I402" s="159"/>
      <c r="J402" s="871"/>
      <c r="K402" s="159"/>
      <c r="L402" s="159"/>
      <c r="M402" s="159"/>
    </row>
    <row r="403" spans="1:13" s="86" customFormat="1" ht="12.75">
      <c r="A403" s="1029">
        <v>717</v>
      </c>
      <c r="B403" s="100" t="s">
        <v>106</v>
      </c>
      <c r="C403" s="101" t="s">
        <v>91</v>
      </c>
      <c r="D403" s="219">
        <v>0</v>
      </c>
      <c r="E403" s="219">
        <v>0</v>
      </c>
      <c r="F403" s="219">
        <v>65000</v>
      </c>
      <c r="G403" s="219">
        <v>0</v>
      </c>
      <c r="H403" s="1069">
        <v>0</v>
      </c>
      <c r="I403" s="158"/>
      <c r="J403" s="57"/>
      <c r="K403" s="150"/>
      <c r="L403" s="150"/>
      <c r="M403" s="150"/>
    </row>
    <row r="404" spans="1:13" ht="12.75">
      <c r="A404" s="1029">
        <v>716</v>
      </c>
      <c r="B404" s="100"/>
      <c r="C404" s="101" t="s">
        <v>361</v>
      </c>
      <c r="D404" s="219">
        <v>2892</v>
      </c>
      <c r="E404" s="219">
        <v>4500</v>
      </c>
      <c r="F404" s="219">
        <v>0</v>
      </c>
      <c r="G404" s="219">
        <v>0</v>
      </c>
      <c r="H404" s="1069">
        <v>0</v>
      </c>
      <c r="I404" s="158"/>
      <c r="J404" s="135"/>
      <c r="K404" s="158"/>
      <c r="L404" s="150"/>
      <c r="M404" s="150"/>
    </row>
    <row r="405" spans="1:13" ht="12.75">
      <c r="A405" s="1029">
        <v>717</v>
      </c>
      <c r="B405" s="100" t="s">
        <v>106</v>
      </c>
      <c r="C405" s="101" t="s">
        <v>668</v>
      </c>
      <c r="D405" s="219">
        <v>0</v>
      </c>
      <c r="E405" s="219">
        <v>0</v>
      </c>
      <c r="F405" s="219">
        <v>0</v>
      </c>
      <c r="G405" s="219">
        <v>0</v>
      </c>
      <c r="H405" s="1069">
        <v>0</v>
      </c>
      <c r="I405" s="158"/>
      <c r="J405" s="135"/>
      <c r="K405" s="150"/>
      <c r="L405" s="150"/>
      <c r="M405" s="150"/>
    </row>
    <row r="406" spans="1:14" s="86" customFormat="1" ht="12.75">
      <c r="A406" s="1029">
        <v>717</v>
      </c>
      <c r="B406" s="100" t="s">
        <v>106</v>
      </c>
      <c r="C406" s="101" t="s">
        <v>714</v>
      </c>
      <c r="D406" s="219">
        <v>0</v>
      </c>
      <c r="E406" s="219">
        <v>0</v>
      </c>
      <c r="F406" s="219">
        <v>0</v>
      </c>
      <c r="G406" s="219">
        <v>0</v>
      </c>
      <c r="H406" s="1069">
        <v>0</v>
      </c>
      <c r="I406" s="158"/>
      <c r="J406" s="135"/>
      <c r="K406" s="150"/>
      <c r="L406" s="158"/>
      <c r="M406" s="158"/>
      <c r="N406" s="53"/>
    </row>
    <row r="407" spans="1:14" s="86" customFormat="1" ht="12.75">
      <c r="A407" s="1029">
        <v>717</v>
      </c>
      <c r="B407" s="100" t="s">
        <v>106</v>
      </c>
      <c r="C407" s="101" t="s">
        <v>715</v>
      </c>
      <c r="D407" s="219">
        <v>515565</v>
      </c>
      <c r="E407" s="219">
        <v>142954.05</v>
      </c>
      <c r="F407" s="219">
        <v>0</v>
      </c>
      <c r="G407" s="219">
        <v>0</v>
      </c>
      <c r="H407" s="1069">
        <v>0</v>
      </c>
      <c r="I407" s="158"/>
      <c r="J407" s="150"/>
      <c r="K407" s="158"/>
      <c r="L407" s="150"/>
      <c r="M407" s="150"/>
      <c r="N407" s="53"/>
    </row>
    <row r="408" spans="1:14" s="86" customFormat="1" ht="12.75">
      <c r="A408" s="1200">
        <v>717</v>
      </c>
      <c r="B408" s="990" t="s">
        <v>106</v>
      </c>
      <c r="C408" s="991" t="s">
        <v>716</v>
      </c>
      <c r="D408" s="992">
        <v>188796</v>
      </c>
      <c r="E408" s="992"/>
      <c r="F408" s="992"/>
      <c r="G408" s="992"/>
      <c r="H408" s="1201"/>
      <c r="I408" s="993"/>
      <c r="J408" s="968"/>
      <c r="K408" s="993"/>
      <c r="L408" s="968"/>
      <c r="M408" s="968"/>
      <c r="N408" s="53"/>
    </row>
    <row r="409" spans="1:14" s="86" customFormat="1" ht="12.75">
      <c r="A409" s="1029">
        <v>717</v>
      </c>
      <c r="B409" s="100" t="s">
        <v>106</v>
      </c>
      <c r="C409" s="101" t="s">
        <v>717</v>
      </c>
      <c r="D409" s="219">
        <v>0</v>
      </c>
      <c r="E409" s="219">
        <v>0</v>
      </c>
      <c r="F409" s="219">
        <v>0</v>
      </c>
      <c r="G409" s="219">
        <v>0</v>
      </c>
      <c r="H409" s="1069">
        <v>0</v>
      </c>
      <c r="I409" s="158"/>
      <c r="J409" s="150"/>
      <c r="K409" s="150"/>
      <c r="L409" s="150"/>
      <c r="M409" s="150"/>
      <c r="N409" s="53"/>
    </row>
    <row r="410" spans="1:14" s="121" customFormat="1" ht="12.75">
      <c r="A410" s="1050"/>
      <c r="D410" s="792"/>
      <c r="E410" s="792"/>
      <c r="F410" s="792"/>
      <c r="G410" s="792"/>
      <c r="H410" s="1196"/>
      <c r="I410" s="158"/>
      <c r="J410" s="150"/>
      <c r="K410" s="57"/>
      <c r="L410" s="150"/>
      <c r="M410" s="57"/>
      <c r="N410" s="53"/>
    </row>
    <row r="411" spans="1:13" s="278" customFormat="1" ht="11.25">
      <c r="A411" s="1190" t="s">
        <v>645</v>
      </c>
      <c r="B411" s="978"/>
      <c r="C411" s="979"/>
      <c r="D411" s="984">
        <v>0</v>
      </c>
      <c r="E411" s="984">
        <v>0</v>
      </c>
      <c r="F411" s="984">
        <v>0</v>
      </c>
      <c r="G411" s="984">
        <v>0</v>
      </c>
      <c r="H411" s="1197">
        <v>0</v>
      </c>
      <c r="I411" s="159"/>
      <c r="J411" s="871"/>
      <c r="K411" s="871"/>
      <c r="L411" s="871"/>
      <c r="M411" s="871"/>
    </row>
    <row r="412" spans="1:12" ht="12.75">
      <c r="A412" s="1029">
        <v>717</v>
      </c>
      <c r="B412" s="100" t="s">
        <v>106</v>
      </c>
      <c r="C412" s="101" t="s">
        <v>718</v>
      </c>
      <c r="D412" s="219"/>
      <c r="E412" s="219"/>
      <c r="F412" s="219"/>
      <c r="G412" s="219"/>
      <c r="H412" s="1069"/>
      <c r="I412" s="854"/>
      <c r="J412" s="135"/>
      <c r="K412" s="150"/>
      <c r="L412" s="150"/>
    </row>
    <row r="413" spans="1:12" ht="12.75">
      <c r="A413" s="1050"/>
      <c r="B413" s="121"/>
      <c r="C413" s="121"/>
      <c r="D413" s="792"/>
      <c r="H413" s="1196"/>
      <c r="I413" s="854"/>
      <c r="J413" s="135"/>
      <c r="K413" s="150"/>
      <c r="L413" s="150"/>
    </row>
    <row r="414" spans="1:13" s="278" customFormat="1" ht="11.25">
      <c r="A414" s="1202" t="s">
        <v>667</v>
      </c>
      <c r="B414" s="994"/>
      <c r="C414" s="995"/>
      <c r="D414" s="985">
        <v>3600</v>
      </c>
      <c r="E414" s="985">
        <v>0</v>
      </c>
      <c r="F414" s="985">
        <f>F415</f>
        <v>0</v>
      </c>
      <c r="G414" s="985">
        <f>G415</f>
        <v>0</v>
      </c>
      <c r="H414" s="1197">
        <f>H415</f>
        <v>0</v>
      </c>
      <c r="I414" s="996"/>
      <c r="J414" s="996"/>
      <c r="K414" s="996"/>
      <c r="L414" s="996"/>
      <c r="M414" s="997"/>
    </row>
    <row r="415" spans="1:13" ht="12.75">
      <c r="A415" s="1029">
        <v>717</v>
      </c>
      <c r="B415" s="100" t="s">
        <v>109</v>
      </c>
      <c r="C415" s="100" t="s">
        <v>719</v>
      </c>
      <c r="D415" s="895">
        <v>3600</v>
      </c>
      <c r="E415" s="895"/>
      <c r="F415" s="219">
        <v>0</v>
      </c>
      <c r="G415" s="219">
        <v>0</v>
      </c>
      <c r="H415" s="1069">
        <v>0</v>
      </c>
      <c r="I415" s="854"/>
      <c r="J415" s="135"/>
      <c r="K415" s="150"/>
      <c r="L415" s="150"/>
      <c r="M415" s="150"/>
    </row>
    <row r="416" spans="1:12" ht="12.75">
      <c r="A416" s="1050"/>
      <c r="B416" s="121"/>
      <c r="C416" s="121"/>
      <c r="D416" s="792"/>
      <c r="H416" s="1196"/>
      <c r="I416" s="854"/>
      <c r="J416" s="135"/>
      <c r="L416" s="150"/>
    </row>
    <row r="417" spans="1:14" s="989" customFormat="1" ht="11.25">
      <c r="A417" s="1190" t="s">
        <v>675</v>
      </c>
      <c r="B417" s="978"/>
      <c r="C417" s="979"/>
      <c r="D417" s="988">
        <v>0</v>
      </c>
      <c r="E417" s="988">
        <f>E419+E420</f>
        <v>436436</v>
      </c>
      <c r="F417" s="988">
        <f>F419+F420</f>
        <v>0</v>
      </c>
      <c r="G417" s="988">
        <f>G419+G420</f>
        <v>0</v>
      </c>
      <c r="H417" s="1199">
        <f>H419+H420</f>
        <v>0</v>
      </c>
      <c r="I417" s="996"/>
      <c r="J417" s="996"/>
      <c r="K417" s="996"/>
      <c r="L417" s="996"/>
      <c r="M417" s="996"/>
      <c r="N417" s="278"/>
    </row>
    <row r="418" spans="1:14" s="121" customFormat="1" ht="12.75">
      <c r="A418" s="1029">
        <v>716</v>
      </c>
      <c r="B418" s="998"/>
      <c r="C418" s="101" t="s">
        <v>720</v>
      </c>
      <c r="D418" s="219">
        <v>0</v>
      </c>
      <c r="E418" s="219"/>
      <c r="F418" s="219"/>
      <c r="G418" s="219"/>
      <c r="H418" s="1069"/>
      <c r="I418" s="999"/>
      <c r="J418" s="57"/>
      <c r="K418" s="150"/>
      <c r="L418" s="150"/>
      <c r="M418" s="150"/>
      <c r="N418" s="53"/>
    </row>
    <row r="419" spans="1:13" ht="12.75">
      <c r="A419" s="1029">
        <v>717</v>
      </c>
      <c r="B419" s="100" t="s">
        <v>106</v>
      </c>
      <c r="C419" s="101" t="s">
        <v>721</v>
      </c>
      <c r="D419" s="219"/>
      <c r="E419" s="219"/>
      <c r="F419" s="219"/>
      <c r="G419" s="219"/>
      <c r="H419" s="1069"/>
      <c r="I419" s="1000"/>
      <c r="J419" s="135"/>
      <c r="K419" s="150"/>
      <c r="L419" s="150"/>
      <c r="M419" s="150"/>
    </row>
    <row r="420" spans="1:13" ht="12.75">
      <c r="A420" s="1045">
        <v>717</v>
      </c>
      <c r="B420" s="178" t="s">
        <v>109</v>
      </c>
      <c r="C420" s="263" t="s">
        <v>719</v>
      </c>
      <c r="D420" s="218">
        <v>0</v>
      </c>
      <c r="E420" s="218">
        <v>436436</v>
      </c>
      <c r="F420" s="218">
        <v>0</v>
      </c>
      <c r="G420" s="218">
        <v>0</v>
      </c>
      <c r="H420" s="1194">
        <v>0</v>
      </c>
      <c r="I420" s="1000"/>
      <c r="J420" s="135"/>
      <c r="K420" s="150"/>
      <c r="L420" s="150"/>
      <c r="M420" s="150"/>
    </row>
    <row r="421" spans="1:13" ht="12.75">
      <c r="A421" s="1200">
        <v>717</v>
      </c>
      <c r="B421" s="1001" t="s">
        <v>109</v>
      </c>
      <c r="C421" s="1002" t="s">
        <v>722</v>
      </c>
      <c r="D421" s="219"/>
      <c r="E421" s="219"/>
      <c r="F421" s="219"/>
      <c r="G421" s="219"/>
      <c r="H421" s="1069"/>
      <c r="I421" s="1000"/>
      <c r="J421" s="135"/>
      <c r="K421" s="150"/>
      <c r="L421" s="150"/>
      <c r="M421" s="150"/>
    </row>
    <row r="422" spans="1:13" ht="12.75">
      <c r="A422" s="1050"/>
      <c r="B422" s="121"/>
      <c r="C422" s="121"/>
      <c r="D422" s="981"/>
      <c r="E422" s="981"/>
      <c r="F422" s="981"/>
      <c r="G422" s="981"/>
      <c r="H422" s="1192"/>
      <c r="I422" s="1000"/>
      <c r="J422" s="135"/>
      <c r="K422" s="150"/>
      <c r="L422" s="150"/>
      <c r="M422" s="150"/>
    </row>
    <row r="423" spans="1:13" s="872" customFormat="1" ht="12.75">
      <c r="A423" s="1202" t="s">
        <v>723</v>
      </c>
      <c r="B423" s="994"/>
      <c r="C423" s="995"/>
      <c r="D423" s="254">
        <v>0</v>
      </c>
      <c r="E423" s="254">
        <v>0</v>
      </c>
      <c r="F423" s="254">
        <f>F424</f>
        <v>0</v>
      </c>
      <c r="G423" s="254">
        <f>G424</f>
        <v>0</v>
      </c>
      <c r="H423" s="1203">
        <f>H424</f>
        <v>0</v>
      </c>
      <c r="I423" s="1003"/>
      <c r="J423" s="1004"/>
      <c r="K423" s="857"/>
      <c r="L423" s="857"/>
      <c r="M423" s="857"/>
    </row>
    <row r="424" spans="1:13" ht="12.75">
      <c r="A424" s="1045">
        <v>717</v>
      </c>
      <c r="B424" s="178" t="s">
        <v>106</v>
      </c>
      <c r="C424" s="263" t="s">
        <v>456</v>
      </c>
      <c r="D424" s="218"/>
      <c r="E424" s="218"/>
      <c r="F424" s="218">
        <v>0</v>
      </c>
      <c r="G424" s="218">
        <v>0</v>
      </c>
      <c r="H424" s="1194">
        <v>0</v>
      </c>
      <c r="I424" s="1000"/>
      <c r="J424" s="135"/>
      <c r="K424" s="150"/>
      <c r="L424" s="150"/>
      <c r="M424" s="150"/>
    </row>
    <row r="425" spans="1:13" ht="13.5" thickBot="1">
      <c r="A425" s="1045"/>
      <c r="B425" s="178"/>
      <c r="C425" s="263"/>
      <c r="D425" s="218"/>
      <c r="E425" s="218"/>
      <c r="F425" s="218"/>
      <c r="G425" s="218"/>
      <c r="H425" s="1194"/>
      <c r="I425" s="1000"/>
      <c r="J425" s="135"/>
      <c r="K425" s="150"/>
      <c r="L425" s="150"/>
      <c r="M425" s="150"/>
    </row>
    <row r="426" spans="1:14" s="86" customFormat="1" ht="12.75">
      <c r="A426" s="1204" t="s">
        <v>724</v>
      </c>
      <c r="B426" s="1205"/>
      <c r="C426" s="1206"/>
      <c r="D426" s="1207">
        <f>D385+D388+D392+D395+D398+D402+D411+D414+D417+D423</f>
        <v>768466</v>
      </c>
      <c r="E426" s="1207">
        <f>E385+E388+E392+E395+E398+E402+E411+E414+E417+E423</f>
        <v>594050.05</v>
      </c>
      <c r="F426" s="1208">
        <f>F385+F388+F392+F395+F398+F402+F411+F414+F417+F423</f>
        <v>565000</v>
      </c>
      <c r="G426" s="1208">
        <f>G385+G388+G392+G395+G398+G402+G411+G414+G417+G423</f>
        <v>0</v>
      </c>
      <c r="H426" s="1209">
        <f>H385+H388+H392+H395+H398+H402+H411+H414+H417+H423</f>
        <v>0</v>
      </c>
      <c r="I426" s="1005"/>
      <c r="J426" s="57"/>
      <c r="K426" s="805"/>
      <c r="L426" s="805"/>
      <c r="M426" s="805"/>
      <c r="N426" s="289"/>
    </row>
    <row r="427" spans="1:14" s="86" customFormat="1" ht="12.75">
      <c r="A427" s="53"/>
      <c r="B427" s="53"/>
      <c r="C427" s="53"/>
      <c r="D427" s="53"/>
      <c r="E427" s="792"/>
      <c r="F427" s="792"/>
      <c r="G427" s="792"/>
      <c r="H427" s="793"/>
      <c r="I427" s="150"/>
      <c r="J427" s="150"/>
      <c r="K427" s="57"/>
      <c r="L427" s="57"/>
      <c r="M427" s="57"/>
      <c r="N427" s="53"/>
    </row>
    <row r="428" spans="1:14" s="86" customFormat="1" ht="12.75" hidden="1">
      <c r="A428" s="53"/>
      <c r="B428" s="53"/>
      <c r="C428" s="53"/>
      <c r="D428" s="53"/>
      <c r="E428" s="792"/>
      <c r="F428" s="792"/>
      <c r="G428" s="792"/>
      <c r="H428" s="793"/>
      <c r="I428" s="150"/>
      <c r="J428" s="150"/>
      <c r="K428" s="57"/>
      <c r="L428" s="57"/>
      <c r="M428" s="57"/>
      <c r="N428" s="53"/>
    </row>
    <row r="429" spans="1:14" s="86" customFormat="1" ht="12.75" hidden="1">
      <c r="A429" s="53"/>
      <c r="B429" s="53"/>
      <c r="C429" s="53"/>
      <c r="D429" s="53"/>
      <c r="E429" s="792"/>
      <c r="F429" s="792"/>
      <c r="G429" s="792"/>
      <c r="H429" s="793"/>
      <c r="I429" s="150"/>
      <c r="J429" s="150"/>
      <c r="K429" s="57"/>
      <c r="L429" s="57"/>
      <c r="M429" s="57"/>
      <c r="N429" s="53"/>
    </row>
    <row r="430" spans="1:14" s="86" customFormat="1" ht="12.75">
      <c r="A430" s="53"/>
      <c r="B430" s="53"/>
      <c r="C430" s="53"/>
      <c r="D430" s="53"/>
      <c r="E430" s="792"/>
      <c r="F430" s="792"/>
      <c r="G430" s="792"/>
      <c r="H430" s="793"/>
      <c r="I430" s="150"/>
      <c r="J430" s="150"/>
      <c r="K430" s="57"/>
      <c r="L430" s="57"/>
      <c r="M430" s="57"/>
      <c r="N430" s="53"/>
    </row>
    <row r="431" spans="1:14" s="86" customFormat="1" ht="12.75">
      <c r="A431" s="53"/>
      <c r="B431" s="53"/>
      <c r="C431" s="795" t="s">
        <v>725</v>
      </c>
      <c r="D431" s="795"/>
      <c r="E431" s="792"/>
      <c r="F431" s="792"/>
      <c r="G431" s="792"/>
      <c r="H431" s="793"/>
      <c r="I431" s="150"/>
      <c r="J431" s="150"/>
      <c r="K431" s="57"/>
      <c r="L431" s="57"/>
      <c r="M431" s="57"/>
      <c r="N431" s="53"/>
    </row>
    <row r="432" spans="1:14" s="86" customFormat="1" ht="12.75">
      <c r="A432" s="53"/>
      <c r="B432" s="53"/>
      <c r="C432" s="53"/>
      <c r="D432" s="53"/>
      <c r="E432" s="792"/>
      <c r="F432" s="792"/>
      <c r="G432" s="792"/>
      <c r="H432" s="793"/>
      <c r="I432" s="150"/>
      <c r="J432" s="150"/>
      <c r="K432" s="57"/>
      <c r="L432" s="57"/>
      <c r="M432" s="57"/>
      <c r="N432" s="53"/>
    </row>
    <row r="433" spans="1:13" s="867" customFormat="1" ht="12.75">
      <c r="A433" s="1018" t="s">
        <v>478</v>
      </c>
      <c r="B433" s="1019"/>
      <c r="C433" s="1020"/>
      <c r="D433" s="1020">
        <v>2011</v>
      </c>
      <c r="E433" s="1022">
        <v>2012</v>
      </c>
      <c r="F433" s="1079">
        <v>2013</v>
      </c>
      <c r="G433" s="1079">
        <v>2014</v>
      </c>
      <c r="H433" s="1080">
        <v>2015</v>
      </c>
      <c r="I433" s="864"/>
      <c r="J433" s="865"/>
      <c r="K433" s="866"/>
      <c r="L433" s="798"/>
      <c r="M433" s="799"/>
    </row>
    <row r="434" spans="1:14" s="121" customFormat="1" ht="12.75">
      <c r="A434" s="1029">
        <v>824</v>
      </c>
      <c r="B434" s="100"/>
      <c r="C434" s="101" t="s">
        <v>726</v>
      </c>
      <c r="D434" s="218">
        <v>6161</v>
      </c>
      <c r="E434" s="218">
        <v>6000</v>
      </c>
      <c r="F434" s="219">
        <v>0</v>
      </c>
      <c r="G434" s="219">
        <v>0</v>
      </c>
      <c r="H434" s="1069">
        <v>0</v>
      </c>
      <c r="I434" s="158"/>
      <c r="J434" s="57"/>
      <c r="K434" s="158"/>
      <c r="L434" s="150"/>
      <c r="M434" s="150"/>
      <c r="N434" s="53"/>
    </row>
    <row r="435" spans="1:14" s="121" customFormat="1" ht="13.5" thickBot="1">
      <c r="A435" s="1029">
        <v>821</v>
      </c>
      <c r="B435" s="100"/>
      <c r="C435" s="101" t="s">
        <v>727</v>
      </c>
      <c r="D435" s="218">
        <v>135333</v>
      </c>
      <c r="E435" s="218">
        <v>188795.17</v>
      </c>
      <c r="F435" s="219">
        <v>160000</v>
      </c>
      <c r="G435" s="219">
        <v>150000</v>
      </c>
      <c r="H435" s="1069">
        <v>0</v>
      </c>
      <c r="I435" s="158"/>
      <c r="J435" s="57"/>
      <c r="K435" s="158"/>
      <c r="L435" s="158"/>
      <c r="M435" s="158"/>
      <c r="N435" s="53"/>
    </row>
    <row r="436" spans="1:13" ht="12.75">
      <c r="A436" s="1204" t="s">
        <v>728</v>
      </c>
      <c r="B436" s="1205"/>
      <c r="C436" s="1210"/>
      <c r="D436" s="1207">
        <f>SUM(D434,D435)</f>
        <v>141494</v>
      </c>
      <c r="E436" s="1207">
        <f>SUM(E434,E435)</f>
        <v>194795.17</v>
      </c>
      <c r="F436" s="1211">
        <f>F434+F435</f>
        <v>160000</v>
      </c>
      <c r="G436" s="1211">
        <f>G434+G435</f>
        <v>150000</v>
      </c>
      <c r="H436" s="1212">
        <f>H434+H435</f>
        <v>0</v>
      </c>
      <c r="I436" s="159"/>
      <c r="J436" s="857"/>
      <c r="K436" s="805"/>
      <c r="L436" s="805"/>
      <c r="M436" s="805"/>
    </row>
    <row r="437" spans="1:8" ht="12.75">
      <c r="A437" s="121"/>
      <c r="B437" s="121"/>
      <c r="C437" s="121"/>
      <c r="D437" s="121"/>
      <c r="E437" s="981"/>
      <c r="F437" s="981"/>
      <c r="G437" s="981"/>
      <c r="H437" s="125"/>
    </row>
    <row r="438" spans="1:8" ht="12.75">
      <c r="A438" s="121"/>
      <c r="B438" s="121"/>
      <c r="C438" s="121"/>
      <c r="D438" s="121"/>
      <c r="E438" s="981"/>
      <c r="F438" s="981"/>
      <c r="G438" s="981"/>
      <c r="H438" s="125"/>
    </row>
    <row r="439" spans="1:8" ht="12.75">
      <c r="A439" s="121"/>
      <c r="B439" s="121"/>
      <c r="C439" s="121"/>
      <c r="D439" s="121"/>
      <c r="E439" s="981"/>
      <c r="F439" s="981"/>
      <c r="G439" s="981"/>
      <c r="H439" s="125"/>
    </row>
    <row r="440" spans="1:13" s="867" customFormat="1" ht="12">
      <c r="A440" s="1213" t="s">
        <v>507</v>
      </c>
      <c r="B440" s="1214"/>
      <c r="C440" s="1215"/>
      <c r="D440" s="1216">
        <v>2011</v>
      </c>
      <c r="E440" s="1217">
        <v>2012</v>
      </c>
      <c r="F440" s="1218">
        <v>2013</v>
      </c>
      <c r="G440" s="1218">
        <v>2014</v>
      </c>
      <c r="H440" s="1219">
        <v>2015</v>
      </c>
      <c r="I440" s="865"/>
      <c r="J440" s="865"/>
      <c r="K440" s="1006"/>
      <c r="L440" s="1007"/>
      <c r="M440" s="799"/>
    </row>
    <row r="441" spans="1:14" ht="14.25">
      <c r="A441" s="1220" t="s">
        <v>729</v>
      </c>
      <c r="B441" s="1008"/>
      <c r="C441" s="1008"/>
      <c r="D441" s="218">
        <f>SUM(D365)</f>
        <v>1275506</v>
      </c>
      <c r="E441" s="1009">
        <f>SUM(E365)</f>
        <v>1266695.7200000002</v>
      </c>
      <c r="F441" s="177">
        <f>F365</f>
        <v>1265892</v>
      </c>
      <c r="G441" s="177">
        <f>SUM(G89,G101,G141,G190,G218,G236,G250,G305,G343,G364)</f>
        <v>1280864</v>
      </c>
      <c r="H441" s="1221">
        <f>SUM(H365)</f>
        <v>1184805</v>
      </c>
      <c r="I441" s="158"/>
      <c r="J441" s="1010"/>
      <c r="K441" s="158"/>
      <c r="L441" s="158"/>
      <c r="M441" s="158"/>
      <c r="N441" s="1011"/>
    </row>
    <row r="442" spans="1:14" ht="14.25">
      <c r="A442" s="1220" t="s">
        <v>730</v>
      </c>
      <c r="B442" s="1008"/>
      <c r="C442" s="1008"/>
      <c r="D442" s="219">
        <f>SUM(D426)</f>
        <v>768466</v>
      </c>
      <c r="E442" s="895">
        <f>SUM(E426)</f>
        <v>594050.05</v>
      </c>
      <c r="F442" s="163">
        <f>F426</f>
        <v>565000</v>
      </c>
      <c r="G442" s="163">
        <f>G426</f>
        <v>0</v>
      </c>
      <c r="H442" s="1222">
        <f>SUM(H426)</f>
        <v>0</v>
      </c>
      <c r="I442" s="158"/>
      <c r="J442" s="1010"/>
      <c r="K442" s="150"/>
      <c r="L442" s="150"/>
      <c r="M442" s="150"/>
      <c r="N442" s="289"/>
    </row>
    <row r="443" spans="1:14" ht="14.25">
      <c r="A443" s="1220" t="s">
        <v>478</v>
      </c>
      <c r="B443" s="1008"/>
      <c r="C443" s="1008"/>
      <c r="D443" s="252">
        <f>D436</f>
        <v>141494</v>
      </c>
      <c r="E443" s="1012">
        <f>E436</f>
        <v>194795.17</v>
      </c>
      <c r="F443" s="116">
        <f>F436</f>
        <v>160000</v>
      </c>
      <c r="G443" s="116">
        <f>G436</f>
        <v>150000</v>
      </c>
      <c r="H443" s="1061">
        <f>SUM(H436)</f>
        <v>0</v>
      </c>
      <c r="I443" s="158"/>
      <c r="J443" s="1010"/>
      <c r="K443" s="158"/>
      <c r="L443" s="158"/>
      <c r="M443" s="158"/>
      <c r="N443" s="1013"/>
    </row>
    <row r="444" spans="1:13" ht="15">
      <c r="A444" s="1223" t="s">
        <v>731</v>
      </c>
      <c r="B444" s="1224"/>
      <c r="C444" s="1224"/>
      <c r="D444" s="1225">
        <f>SUM(D441,D442,D443)</f>
        <v>2185466</v>
      </c>
      <c r="E444" s="1226">
        <f>SUM(E441,E442,E443)</f>
        <v>2055540.9400000002</v>
      </c>
      <c r="F444" s="1227">
        <f>F441+F442+F443</f>
        <v>1990892</v>
      </c>
      <c r="G444" s="1227">
        <f>G441+G442+G443</f>
        <v>1430864</v>
      </c>
      <c r="H444" s="1228">
        <f>SUM(H441,H442,H443)</f>
        <v>1184805</v>
      </c>
      <c r="I444" s="158"/>
      <c r="J444" s="1010"/>
      <c r="K444" s="158"/>
      <c r="L444" s="158"/>
      <c r="M444" s="158"/>
    </row>
    <row r="445" spans="1:10" ht="14.25">
      <c r="A445" s="1014"/>
      <c r="B445" s="1015"/>
      <c r="C445" s="1015"/>
      <c r="D445" s="792"/>
      <c r="F445" s="253"/>
      <c r="G445" s="253"/>
      <c r="H445" s="125"/>
      <c r="J445" s="1016"/>
    </row>
    <row r="446" spans="1:14" ht="14.25">
      <c r="A446" s="1229" t="s">
        <v>1</v>
      </c>
      <c r="B446" s="1230"/>
      <c r="C446" s="1230"/>
      <c r="D446" s="1231">
        <v>1291907</v>
      </c>
      <c r="E446" s="1232">
        <f>príjmy!K165</f>
        <v>1370550.23</v>
      </c>
      <c r="F446" s="1233">
        <f>príjmy!L165</f>
        <v>1402752</v>
      </c>
      <c r="G446" s="1233">
        <f>príjmy!M165</f>
        <v>1396877</v>
      </c>
      <c r="H446" s="1234">
        <f>SUM(príjmy!N87)</f>
        <v>1296877</v>
      </c>
      <c r="I446" s="187"/>
      <c r="J446" s="153"/>
      <c r="K446" s="158"/>
      <c r="L446" s="158"/>
      <c r="M446" s="158"/>
      <c r="N446" s="288"/>
    </row>
    <row r="447" spans="1:14" ht="14.25">
      <c r="A447" s="1220" t="s">
        <v>85</v>
      </c>
      <c r="B447" s="1008"/>
      <c r="C447" s="1008"/>
      <c r="D447" s="218">
        <v>720865</v>
      </c>
      <c r="E447" s="1009">
        <f>príjmy!K166</f>
        <v>421774.89</v>
      </c>
      <c r="F447" s="116">
        <f>príjmy!L166</f>
        <v>640000</v>
      </c>
      <c r="G447" s="116">
        <f>príjmy!M166</f>
        <v>0</v>
      </c>
      <c r="H447" s="1061">
        <f>SUM(príjmy!N118)</f>
        <v>0</v>
      </c>
      <c r="I447" s="187"/>
      <c r="J447" s="153"/>
      <c r="K447" s="158"/>
      <c r="L447" s="158"/>
      <c r="M447" s="158"/>
      <c r="N447" s="792"/>
    </row>
    <row r="448" spans="1:14" ht="14.25">
      <c r="A448" s="1220" t="s">
        <v>96</v>
      </c>
      <c r="B448" s="1008"/>
      <c r="C448" s="1008"/>
      <c r="D448" s="219">
        <v>246629</v>
      </c>
      <c r="E448" s="895">
        <f>príjmy!K167</f>
        <v>310000</v>
      </c>
      <c r="F448" s="116">
        <f>príjmy!L167</f>
        <v>0</v>
      </c>
      <c r="G448" s="116">
        <f>príjmy!M167</f>
        <v>33987</v>
      </c>
      <c r="H448" s="1061">
        <f>SUM(príjmy!N145)</f>
        <v>0</v>
      </c>
      <c r="I448" s="187"/>
      <c r="J448" s="153"/>
      <c r="K448" s="158"/>
      <c r="L448" s="158"/>
      <c r="M448" s="158"/>
      <c r="N448" s="289"/>
    </row>
    <row r="449" spans="1:13" ht="14.25">
      <c r="A449" s="1220" t="s">
        <v>193</v>
      </c>
      <c r="B449" s="1008"/>
      <c r="C449" s="1008"/>
      <c r="D449" s="252">
        <f>príjmy!I168</f>
        <v>0</v>
      </c>
      <c r="E449" s="1012">
        <f>príjmy!K168</f>
        <v>0</v>
      </c>
      <c r="F449" s="116">
        <f>príjmy!L168</f>
        <v>0</v>
      </c>
      <c r="G449" s="116">
        <f>príjmy!M168</f>
        <v>0</v>
      </c>
      <c r="H449" s="1061">
        <f>SUM(príjmy!N156)</f>
        <v>0</v>
      </c>
      <c r="I449" s="187"/>
      <c r="J449" s="153"/>
      <c r="K449" s="158"/>
      <c r="L449" s="158"/>
      <c r="M449" s="158"/>
    </row>
    <row r="450" spans="1:13" ht="15">
      <c r="A450" s="1223" t="s">
        <v>198</v>
      </c>
      <c r="B450" s="1224"/>
      <c r="C450" s="1224"/>
      <c r="D450" s="1235">
        <f>SUM(D446,D447,D448,D449)</f>
        <v>2259401</v>
      </c>
      <c r="E450" s="1236">
        <f>SUM(E446,E447,E448,E449)</f>
        <v>2102325.12</v>
      </c>
      <c r="F450" s="1227">
        <f>F446+F447+F448+F449</f>
        <v>2042752</v>
      </c>
      <c r="G450" s="1227">
        <f>G446+G447+G448+G449</f>
        <v>1430864</v>
      </c>
      <c r="H450" s="1228">
        <f>SUM(H446,H447,H448,H449)</f>
        <v>1296877</v>
      </c>
      <c r="I450" s="187"/>
      <c r="J450" s="153"/>
      <c r="K450" s="158"/>
      <c r="L450" s="158"/>
      <c r="M450" s="158"/>
    </row>
    <row r="452" ht="12.75">
      <c r="M452" s="203"/>
    </row>
  </sheetData>
  <mergeCells count="13">
    <mergeCell ref="A392:C392"/>
    <mergeCell ref="G239:H239"/>
    <mergeCell ref="E256:H256"/>
    <mergeCell ref="F309:H309"/>
    <mergeCell ref="F345:H345"/>
    <mergeCell ref="G104:H104"/>
    <mergeCell ref="E149:H149"/>
    <mergeCell ref="F192:H192"/>
    <mergeCell ref="F222:H222"/>
    <mergeCell ref="A1:H1"/>
    <mergeCell ref="F4:H4"/>
    <mergeCell ref="A5:E5"/>
    <mergeCell ref="G95:H95"/>
  </mergeCells>
  <printOptions/>
  <pageMargins left="0.7874015748031497" right="0.1968503937007874" top="0.3937007874015748" bottom="0.3937007874015748" header="0.11811023622047245" footer="0.11811023622047245"/>
  <pageSetup horizontalDpi="300" verticalDpi="300" orientation="portrait" paperSize="9" scale="90" r:id="rId1"/>
  <headerFooter alignWithMargins="0">
    <oddHeader>&amp;CROZPOČET OBCE TEKOVSKÉ LUŽANY NA ROK 2013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U169"/>
  <sheetViews>
    <sheetView workbookViewId="0" topLeftCell="A49">
      <selection activeCell="L149" sqref="L149"/>
    </sheetView>
  </sheetViews>
  <sheetFormatPr defaultColWidth="9.140625" defaultRowHeight="12.75"/>
  <cols>
    <col min="1" max="1" width="8.57421875" style="53" customWidth="1"/>
    <col min="2" max="2" width="7.00390625" style="53" customWidth="1"/>
    <col min="3" max="3" width="32.421875" style="53" customWidth="1"/>
    <col min="4" max="6" width="0" style="53" hidden="1" customWidth="1"/>
    <col min="7" max="7" width="0" style="54" hidden="1" customWidth="1"/>
    <col min="8" max="9" width="0" style="53" hidden="1" customWidth="1"/>
    <col min="10" max="10" width="9.8515625" style="53" customWidth="1"/>
    <col min="11" max="11" width="9.8515625" style="55" customWidth="1"/>
    <col min="12" max="13" width="9.8515625" style="53" customWidth="1"/>
    <col min="14" max="14" width="9.8515625" style="56" customWidth="1"/>
    <col min="15" max="15" width="11.00390625" style="57" customWidth="1"/>
    <col min="16" max="17" width="10.00390625" style="57" customWidth="1"/>
    <col min="18" max="18" width="9.7109375" style="58" customWidth="1"/>
    <col min="19" max="19" width="18.140625" style="53" customWidth="1"/>
    <col min="20" max="16384" width="9.00390625" style="53" customWidth="1"/>
  </cols>
  <sheetData>
    <row r="2" spans="1:18" ht="15.75">
      <c r="A2" s="1265" t="s">
        <v>101</v>
      </c>
      <c r="B2" s="1265"/>
      <c r="C2" s="1265"/>
      <c r="D2" s="1265"/>
      <c r="E2" s="1265"/>
      <c r="F2" s="1265"/>
      <c r="G2" s="1265"/>
      <c r="H2" s="1265"/>
      <c r="I2" s="1265"/>
      <c r="J2" s="1265"/>
      <c r="K2" s="1265"/>
      <c r="L2" s="1265"/>
      <c r="M2" s="1265"/>
      <c r="N2" s="1265"/>
      <c r="O2" s="59"/>
      <c r="P2" s="59"/>
      <c r="Q2" s="59"/>
      <c r="R2" s="59"/>
    </row>
    <row r="4" ht="15.75">
      <c r="C4" s="60" t="s">
        <v>1</v>
      </c>
    </row>
    <row r="5" spans="1:18" ht="15.75">
      <c r="A5" s="1266"/>
      <c r="B5" s="1266"/>
      <c r="C5" s="1266"/>
      <c r="D5" s="1266"/>
      <c r="E5" s="1266"/>
      <c r="F5" s="62"/>
      <c r="G5" s="62"/>
      <c r="H5" s="54"/>
      <c r="I5" s="54"/>
      <c r="J5" s="54"/>
      <c r="K5" s="1267" t="s">
        <v>102</v>
      </c>
      <c r="L5" s="1267"/>
      <c r="M5" s="1267"/>
      <c r="N5" s="1267"/>
      <c r="O5" s="63"/>
      <c r="P5" s="63"/>
      <c r="Q5" s="63"/>
      <c r="R5" s="63"/>
    </row>
    <row r="6" spans="1:18" ht="15.75">
      <c r="A6" s="61"/>
      <c r="B6" s="61"/>
      <c r="C6" s="61"/>
      <c r="D6" s="61"/>
      <c r="E6" s="61"/>
      <c r="F6" s="62"/>
      <c r="G6" s="62"/>
      <c r="H6" s="54"/>
      <c r="I6" s="54"/>
      <c r="J6" s="54"/>
      <c r="K6" s="64"/>
      <c r="L6" s="64"/>
      <c r="M6" s="64"/>
      <c r="N6" s="65"/>
      <c r="O6" s="64"/>
      <c r="P6" s="64"/>
      <c r="Q6" s="64"/>
      <c r="R6" s="66"/>
    </row>
    <row r="8" spans="1:18" s="57" customFormat="1" ht="39.75" customHeight="1">
      <c r="A8" s="67" t="s">
        <v>1</v>
      </c>
      <c r="B8" s="68"/>
      <c r="C8" s="69"/>
      <c r="D8" s="70"/>
      <c r="E8" s="71"/>
      <c r="F8" s="70"/>
      <c r="G8" s="71"/>
      <c r="H8" s="70"/>
      <c r="I8" s="71"/>
      <c r="J8" s="71">
        <v>2011</v>
      </c>
      <c r="K8" s="72">
        <v>2012</v>
      </c>
      <c r="L8" s="73">
        <v>2013</v>
      </c>
      <c r="M8" s="74">
        <v>214</v>
      </c>
      <c r="N8" s="72">
        <v>215</v>
      </c>
      <c r="O8" s="75"/>
      <c r="P8" s="75"/>
      <c r="Q8" s="75"/>
      <c r="R8" s="76"/>
    </row>
    <row r="9" spans="1:18" s="86" customFormat="1" ht="12.75">
      <c r="A9" s="77" t="s">
        <v>103</v>
      </c>
      <c r="B9" s="78"/>
      <c r="C9" s="79"/>
      <c r="D9" s="80"/>
      <c r="E9" s="81"/>
      <c r="F9" s="80"/>
      <c r="G9" s="81"/>
      <c r="H9" s="80"/>
      <c r="I9" s="81"/>
      <c r="J9" s="82">
        <f>SUM(J10,J11)</f>
        <v>672791</v>
      </c>
      <c r="K9" s="82">
        <f>SUM(K10,K11)</f>
        <v>643981</v>
      </c>
      <c r="L9" s="82">
        <f>L10+L11</f>
        <v>666192</v>
      </c>
      <c r="M9" s="83">
        <f>SUM(M10,M11)</f>
        <v>666192</v>
      </c>
      <c r="N9" s="81">
        <f>SUM(N10,N11)</f>
        <v>666192</v>
      </c>
      <c r="O9" s="84"/>
      <c r="P9" s="84"/>
      <c r="Q9" s="84"/>
      <c r="R9" s="85"/>
    </row>
    <row r="10" spans="1:19" s="57" customFormat="1" ht="12.75">
      <c r="A10" s="87">
        <v>111</v>
      </c>
      <c r="B10" s="88" t="s">
        <v>104</v>
      </c>
      <c r="C10" s="89" t="s">
        <v>105</v>
      </c>
      <c r="D10" s="90"/>
      <c r="E10" s="91"/>
      <c r="F10" s="90"/>
      <c r="G10" s="90"/>
      <c r="H10" s="90"/>
      <c r="I10" s="90"/>
      <c r="J10" s="92">
        <v>522837</v>
      </c>
      <c r="K10" s="92">
        <v>497500</v>
      </c>
      <c r="L10" s="93">
        <v>500000</v>
      </c>
      <c r="M10" s="94">
        <v>500000</v>
      </c>
      <c r="N10" s="90">
        <v>500000</v>
      </c>
      <c r="O10" s="95"/>
      <c r="P10" s="95"/>
      <c r="Q10" s="95"/>
      <c r="R10" s="96"/>
      <c r="S10" s="97"/>
    </row>
    <row r="11" spans="1:18" s="57" customFormat="1" ht="12.75">
      <c r="A11" s="87">
        <v>121</v>
      </c>
      <c r="B11" s="88"/>
      <c r="C11" s="89" t="s">
        <v>7</v>
      </c>
      <c r="D11" s="90"/>
      <c r="E11" s="91"/>
      <c r="F11" s="90"/>
      <c r="G11" s="90"/>
      <c r="H11" s="90"/>
      <c r="I11" s="90"/>
      <c r="J11" s="92">
        <f>SUM(J12,J14,J16)</f>
        <v>149954</v>
      </c>
      <c r="K11" s="92">
        <f>SUM(K12,K14,K16)</f>
        <v>146481</v>
      </c>
      <c r="L11" s="93">
        <f>L12+L14+L16</f>
        <v>166192</v>
      </c>
      <c r="M11" s="98">
        <f>M12+M14+M16</f>
        <v>166192</v>
      </c>
      <c r="N11" s="93">
        <f>N12+N14+N16</f>
        <v>166192</v>
      </c>
      <c r="O11" s="95"/>
      <c r="P11" s="95"/>
      <c r="Q11" s="95"/>
      <c r="R11" s="96"/>
    </row>
    <row r="12" spans="1:18" s="57" customFormat="1" ht="12.75">
      <c r="A12" s="99">
        <v>121</v>
      </c>
      <c r="B12" s="100" t="s">
        <v>106</v>
      </c>
      <c r="C12" s="101" t="s">
        <v>107</v>
      </c>
      <c r="D12" s="102"/>
      <c r="E12" s="102"/>
      <c r="F12" s="102"/>
      <c r="G12" s="103"/>
      <c r="H12" s="102"/>
      <c r="I12" s="102"/>
      <c r="J12" s="104">
        <v>125963</v>
      </c>
      <c r="K12" s="104">
        <v>122722</v>
      </c>
      <c r="L12" s="105">
        <v>139422</v>
      </c>
      <c r="M12" s="106">
        <v>139422</v>
      </c>
      <c r="N12" s="105">
        <v>139422</v>
      </c>
      <c r="O12" s="107"/>
      <c r="P12" s="107"/>
      <c r="Q12" s="107"/>
      <c r="R12" s="108"/>
    </row>
    <row r="13" spans="1:18" ht="12.75">
      <c r="A13" s="99">
        <v>121</v>
      </c>
      <c r="B13" s="100" t="s">
        <v>106</v>
      </c>
      <c r="C13" s="101" t="s">
        <v>108</v>
      </c>
      <c r="D13" s="102"/>
      <c r="E13" s="102"/>
      <c r="F13" s="102"/>
      <c r="G13" s="103"/>
      <c r="H13" s="102"/>
      <c r="I13" s="102"/>
      <c r="J13" s="109">
        <v>4786</v>
      </c>
      <c r="K13" s="109">
        <v>17000</v>
      </c>
      <c r="L13" s="110">
        <v>10000</v>
      </c>
      <c r="M13" s="111">
        <v>10000</v>
      </c>
      <c r="N13" s="110">
        <v>10000</v>
      </c>
      <c r="O13" s="112"/>
      <c r="P13" s="112"/>
      <c r="Q13" s="112"/>
      <c r="R13" s="112"/>
    </row>
    <row r="14" spans="1:18" ht="12.75">
      <c r="A14" s="99">
        <v>121</v>
      </c>
      <c r="B14" s="100" t="s">
        <v>109</v>
      </c>
      <c r="C14" s="101" t="s">
        <v>110</v>
      </c>
      <c r="D14" s="113"/>
      <c r="E14" s="114"/>
      <c r="F14" s="113"/>
      <c r="G14" s="115"/>
      <c r="H14" s="114"/>
      <c r="I14" s="114"/>
      <c r="J14" s="104">
        <v>23691</v>
      </c>
      <c r="K14" s="104">
        <v>23500</v>
      </c>
      <c r="L14" s="116">
        <v>26511</v>
      </c>
      <c r="M14" s="117">
        <v>26511</v>
      </c>
      <c r="N14" s="116">
        <v>26511</v>
      </c>
      <c r="O14" s="107"/>
      <c r="P14" s="107"/>
      <c r="Q14" s="107"/>
      <c r="R14" s="108"/>
    </row>
    <row r="15" spans="1:18" ht="12.75">
      <c r="A15" s="99">
        <v>121</v>
      </c>
      <c r="B15" s="100" t="s">
        <v>109</v>
      </c>
      <c r="C15" s="101" t="s">
        <v>111</v>
      </c>
      <c r="D15" s="113"/>
      <c r="E15" s="114"/>
      <c r="F15" s="113"/>
      <c r="G15" s="115"/>
      <c r="H15" s="114"/>
      <c r="I15" s="114"/>
      <c r="J15" s="109">
        <v>2944</v>
      </c>
      <c r="K15" s="109">
        <v>3000</v>
      </c>
      <c r="L15" s="118">
        <v>3000</v>
      </c>
      <c r="M15" s="119">
        <v>3000</v>
      </c>
      <c r="N15" s="118">
        <v>3000</v>
      </c>
      <c r="O15" s="112"/>
      <c r="P15" s="112"/>
      <c r="Q15" s="112"/>
      <c r="R15" s="112"/>
    </row>
    <row r="16" spans="1:19" ht="12.75">
      <c r="A16" s="99">
        <v>121</v>
      </c>
      <c r="B16" s="100" t="s">
        <v>104</v>
      </c>
      <c r="C16" s="101" t="s">
        <v>112</v>
      </c>
      <c r="D16" s="113"/>
      <c r="E16" s="114"/>
      <c r="F16" s="113"/>
      <c r="G16" s="115"/>
      <c r="H16" s="114"/>
      <c r="I16" s="114"/>
      <c r="J16" s="104">
        <v>300</v>
      </c>
      <c r="K16" s="104">
        <v>259</v>
      </c>
      <c r="L16" s="116">
        <v>259</v>
      </c>
      <c r="M16" s="117">
        <v>259</v>
      </c>
      <c r="N16" s="116">
        <v>259</v>
      </c>
      <c r="O16" s="107"/>
      <c r="P16" s="107"/>
      <c r="Q16" s="107"/>
      <c r="R16" s="108"/>
      <c r="S16" s="120"/>
    </row>
    <row r="17" spans="1:18" ht="12.75">
      <c r="A17" s="121"/>
      <c r="B17" s="121"/>
      <c r="C17" s="121"/>
      <c r="D17" s="122"/>
      <c r="E17" s="123"/>
      <c r="F17" s="122"/>
      <c r="G17" s="124"/>
      <c r="H17" s="123"/>
      <c r="I17" s="123"/>
      <c r="J17" s="125"/>
      <c r="K17" s="125"/>
      <c r="L17" s="125"/>
      <c r="M17" s="123"/>
      <c r="N17" s="126"/>
      <c r="O17" s="108"/>
      <c r="P17" s="108"/>
      <c r="Q17" s="108"/>
      <c r="R17" s="108"/>
    </row>
    <row r="18" spans="1:18" s="135" customFormat="1" ht="12.75">
      <c r="A18" s="127" t="s">
        <v>113</v>
      </c>
      <c r="B18" s="128"/>
      <c r="C18" s="129"/>
      <c r="D18" s="130"/>
      <c r="E18" s="131"/>
      <c r="F18" s="130"/>
      <c r="G18" s="131"/>
      <c r="H18" s="130"/>
      <c r="I18" s="131"/>
      <c r="J18" s="132">
        <f>SUM(J19,J21,J22,J23,J25)</f>
        <v>56821</v>
      </c>
      <c r="K18" s="132">
        <f>SUM(K19,K21,K22,K23,K25)</f>
        <v>77045.92</v>
      </c>
      <c r="L18" s="132">
        <f>L19+L21+L22+L23+L25</f>
        <v>64980</v>
      </c>
      <c r="M18" s="133">
        <f>SUM(M19,M21,M22,M23,M25)</f>
        <v>64980</v>
      </c>
      <c r="N18" s="131">
        <f>SUM(N19,N21,N22,N23,N25)</f>
        <v>64980</v>
      </c>
      <c r="O18" s="134"/>
      <c r="P18" s="134"/>
      <c r="Q18" s="134"/>
      <c r="R18" s="134"/>
    </row>
    <row r="19" spans="1:18" ht="12.75">
      <c r="A19" s="87">
        <v>133</v>
      </c>
      <c r="B19" s="88" t="s">
        <v>106</v>
      </c>
      <c r="C19" s="89" t="s">
        <v>13</v>
      </c>
      <c r="D19" s="114"/>
      <c r="E19" s="114"/>
      <c r="F19" s="114"/>
      <c r="G19" s="136"/>
      <c r="H19" s="114"/>
      <c r="I19" s="114"/>
      <c r="J19" s="137">
        <v>2748</v>
      </c>
      <c r="K19" s="137">
        <v>2450</v>
      </c>
      <c r="L19" s="116">
        <v>2450</v>
      </c>
      <c r="M19" s="117">
        <v>2450</v>
      </c>
      <c r="N19" s="116">
        <v>2450</v>
      </c>
      <c r="O19" s="107"/>
      <c r="P19" s="107"/>
      <c r="Q19" s="107"/>
      <c r="R19" s="108"/>
    </row>
    <row r="20" spans="1:18" ht="12.75">
      <c r="A20" s="87">
        <v>133</v>
      </c>
      <c r="B20" s="88" t="s">
        <v>106</v>
      </c>
      <c r="C20" s="89" t="s">
        <v>114</v>
      </c>
      <c r="D20" s="114"/>
      <c r="E20" s="114"/>
      <c r="F20" s="114"/>
      <c r="G20" s="136"/>
      <c r="H20" s="114"/>
      <c r="I20" s="114"/>
      <c r="J20" s="138">
        <v>321</v>
      </c>
      <c r="K20" s="138">
        <v>250</v>
      </c>
      <c r="L20" s="118">
        <v>250</v>
      </c>
      <c r="M20" s="119">
        <v>250</v>
      </c>
      <c r="N20" s="118">
        <v>250</v>
      </c>
      <c r="O20" s="112"/>
      <c r="P20" s="112"/>
      <c r="Q20" s="112"/>
      <c r="R20" s="112"/>
    </row>
    <row r="21" spans="1:18" ht="12.75">
      <c r="A21" s="99">
        <v>133</v>
      </c>
      <c r="B21" s="88" t="s">
        <v>104</v>
      </c>
      <c r="C21" s="89" t="s">
        <v>16</v>
      </c>
      <c r="D21" s="114"/>
      <c r="E21" s="114"/>
      <c r="F21" s="114"/>
      <c r="G21" s="136"/>
      <c r="H21" s="114"/>
      <c r="I21" s="114"/>
      <c r="J21" s="137">
        <v>0</v>
      </c>
      <c r="K21" s="137">
        <v>0</v>
      </c>
      <c r="L21" s="116">
        <v>80</v>
      </c>
      <c r="M21" s="117">
        <v>80</v>
      </c>
      <c r="N21" s="116">
        <v>80</v>
      </c>
      <c r="O21" s="107"/>
      <c r="P21" s="107"/>
      <c r="Q21" s="107"/>
      <c r="R21" s="108"/>
    </row>
    <row r="22" spans="1:18" ht="12.75">
      <c r="A22" s="99">
        <v>133</v>
      </c>
      <c r="B22" s="88" t="s">
        <v>115</v>
      </c>
      <c r="C22" s="89" t="s">
        <v>10</v>
      </c>
      <c r="D22" s="114"/>
      <c r="E22" s="114"/>
      <c r="F22" s="114"/>
      <c r="G22" s="136"/>
      <c r="H22" s="114"/>
      <c r="I22" s="114"/>
      <c r="J22" s="137">
        <v>1428</v>
      </c>
      <c r="K22" s="137">
        <v>1450</v>
      </c>
      <c r="L22" s="116">
        <v>1450</v>
      </c>
      <c r="M22" s="117">
        <v>1450</v>
      </c>
      <c r="N22" s="116">
        <v>1450</v>
      </c>
      <c r="O22" s="107"/>
      <c r="P22" s="107"/>
      <c r="Q22" s="107"/>
      <c r="R22" s="108"/>
    </row>
    <row r="23" spans="1:19" ht="12.75">
      <c r="A23" s="99">
        <v>133</v>
      </c>
      <c r="B23" s="88" t="s">
        <v>116</v>
      </c>
      <c r="C23" s="89" t="s">
        <v>117</v>
      </c>
      <c r="D23" s="114"/>
      <c r="E23" s="114"/>
      <c r="F23" s="114"/>
      <c r="G23" s="136"/>
      <c r="H23" s="114"/>
      <c r="I23" s="114"/>
      <c r="J23" s="137">
        <v>38068</v>
      </c>
      <c r="K23" s="137">
        <v>35000</v>
      </c>
      <c r="L23" s="116">
        <v>35000</v>
      </c>
      <c r="M23" s="117">
        <v>35000</v>
      </c>
      <c r="N23" s="116">
        <v>35000</v>
      </c>
      <c r="O23" s="107"/>
      <c r="P23" s="107"/>
      <c r="Q23" s="107"/>
      <c r="R23" s="108"/>
      <c r="S23" s="139"/>
    </row>
    <row r="24" spans="1:18" ht="12.75">
      <c r="A24" s="99">
        <v>133</v>
      </c>
      <c r="B24" s="88" t="s">
        <v>116</v>
      </c>
      <c r="C24" s="89" t="s">
        <v>118</v>
      </c>
      <c r="D24" s="114"/>
      <c r="E24" s="114"/>
      <c r="F24" s="114"/>
      <c r="G24" s="136"/>
      <c r="H24" s="114"/>
      <c r="I24" s="114"/>
      <c r="J24" s="137">
        <v>14577</v>
      </c>
      <c r="K24" s="137">
        <v>4000</v>
      </c>
      <c r="L24" s="118">
        <v>4000</v>
      </c>
      <c r="M24" s="119">
        <v>4000</v>
      </c>
      <c r="N24" s="118">
        <v>4000</v>
      </c>
      <c r="O24" s="112"/>
      <c r="P24" s="112"/>
      <c r="Q24" s="112"/>
      <c r="R24" s="108"/>
    </row>
    <row r="25" spans="1:19" ht="12.75">
      <c r="A25" s="140">
        <v>133</v>
      </c>
      <c r="B25" s="141" t="s">
        <v>119</v>
      </c>
      <c r="C25" s="142" t="s">
        <v>120</v>
      </c>
      <c r="D25" s="102"/>
      <c r="E25" s="102"/>
      <c r="F25" s="102"/>
      <c r="G25" s="103"/>
      <c r="H25" s="102"/>
      <c r="I25" s="102"/>
      <c r="J25" s="137">
        <v>14577</v>
      </c>
      <c r="K25" s="137">
        <v>38145.92</v>
      </c>
      <c r="L25" s="143">
        <v>26000</v>
      </c>
      <c r="M25" s="144">
        <v>26000</v>
      </c>
      <c r="N25" s="143">
        <v>26000</v>
      </c>
      <c r="O25" s="107"/>
      <c r="P25" s="107"/>
      <c r="Q25" s="107"/>
      <c r="R25" s="108"/>
      <c r="S25" s="120"/>
    </row>
    <row r="26" spans="1:18" ht="12.75">
      <c r="A26" s="1268" t="s">
        <v>121</v>
      </c>
      <c r="B26" s="1268"/>
      <c r="C26" s="1268"/>
      <c r="D26" s="145"/>
      <c r="E26" s="146"/>
      <c r="F26" s="145"/>
      <c r="G26" s="146"/>
      <c r="H26" s="145"/>
      <c r="I26" s="146"/>
      <c r="J26" s="147">
        <f>SUM(J9,J18)</f>
        <v>729612</v>
      </c>
      <c r="K26" s="147">
        <f>SUM(K9,K18)</f>
        <v>721026.92</v>
      </c>
      <c r="L26" s="147">
        <f>L9+L18</f>
        <v>731172</v>
      </c>
      <c r="M26" s="148">
        <f>SUM(M9,M18)</f>
        <v>731172</v>
      </c>
      <c r="N26" s="149">
        <f>SUM(N9,N18)</f>
        <v>731172</v>
      </c>
      <c r="O26" s="134"/>
      <c r="P26" s="134"/>
      <c r="Q26" s="134"/>
      <c r="R26" s="134"/>
    </row>
    <row r="27" spans="1:18" ht="12.75">
      <c r="A27" s="121"/>
      <c r="B27" s="150"/>
      <c r="C27" s="150"/>
      <c r="D27" s="151"/>
      <c r="E27" s="126"/>
      <c r="F27" s="151"/>
      <c r="G27" s="151"/>
      <c r="H27" s="126"/>
      <c r="I27" s="126"/>
      <c r="J27" s="126"/>
      <c r="K27" s="152"/>
      <c r="L27" s="152"/>
      <c r="M27" s="152"/>
      <c r="N27" s="123"/>
      <c r="O27" s="153"/>
      <c r="P27" s="153"/>
      <c r="Q27" s="153"/>
      <c r="R27" s="108"/>
    </row>
    <row r="28" spans="1:18" ht="12.75">
      <c r="A28" s="121"/>
      <c r="B28" s="150"/>
      <c r="C28" s="150"/>
      <c r="D28" s="151"/>
      <c r="E28" s="126"/>
      <c r="F28" s="151"/>
      <c r="G28" s="151"/>
      <c r="H28" s="126"/>
      <c r="I28" s="126"/>
      <c r="J28" s="126"/>
      <c r="K28" s="152"/>
      <c r="L28" s="152"/>
      <c r="M28" s="152"/>
      <c r="N28" s="123"/>
      <c r="O28" s="153"/>
      <c r="P28" s="153"/>
      <c r="Q28" s="153"/>
      <c r="R28" s="108"/>
    </row>
    <row r="29" spans="1:18" ht="15.75">
      <c r="A29" s="121"/>
      <c r="B29" s="150"/>
      <c r="C29" s="150"/>
      <c r="D29" s="151"/>
      <c r="E29" s="126"/>
      <c r="F29" s="151"/>
      <c r="G29" s="151"/>
      <c r="H29" s="126"/>
      <c r="I29" s="126"/>
      <c r="J29" s="126"/>
      <c r="K29" s="1267" t="s">
        <v>122</v>
      </c>
      <c r="L29" s="1267"/>
      <c r="M29" s="1267"/>
      <c r="N29" s="1267"/>
      <c r="O29" s="63"/>
      <c r="P29" s="63"/>
      <c r="Q29" s="63"/>
      <c r="R29" s="63"/>
    </row>
    <row r="30" spans="1:18" ht="15.75">
      <c r="A30" s="121"/>
      <c r="B30" s="150"/>
      <c r="C30" s="150"/>
      <c r="D30" s="151"/>
      <c r="E30" s="126"/>
      <c r="F30" s="151"/>
      <c r="G30" s="151"/>
      <c r="H30" s="126"/>
      <c r="I30" s="126"/>
      <c r="J30" s="126"/>
      <c r="K30" s="64"/>
      <c r="L30" s="64"/>
      <c r="M30" s="64"/>
      <c r="N30" s="65"/>
      <c r="O30" s="64"/>
      <c r="P30" s="64"/>
      <c r="Q30" s="64"/>
      <c r="R30" s="66"/>
    </row>
    <row r="31" spans="1:18" s="57" customFormat="1" ht="15.75">
      <c r="A31" s="67" t="s">
        <v>1</v>
      </c>
      <c r="B31" s="68"/>
      <c r="C31" s="69"/>
      <c r="D31" s="70"/>
      <c r="E31" s="71"/>
      <c r="F31" s="70"/>
      <c r="G31" s="71"/>
      <c r="H31" s="70"/>
      <c r="I31" s="71"/>
      <c r="J31" s="72">
        <v>2011</v>
      </c>
      <c r="K31" s="72">
        <v>2012</v>
      </c>
      <c r="L31" s="73">
        <v>2013</v>
      </c>
      <c r="M31" s="74">
        <v>2014</v>
      </c>
      <c r="N31" s="72">
        <v>2015</v>
      </c>
      <c r="O31" s="154"/>
      <c r="P31" s="154"/>
      <c r="Q31" s="154"/>
      <c r="R31" s="155"/>
    </row>
    <row r="32" spans="1:18" s="86" customFormat="1" ht="12.75">
      <c r="A32" s="127" t="s">
        <v>123</v>
      </c>
      <c r="B32" s="128"/>
      <c r="C32" s="129"/>
      <c r="D32" s="130"/>
      <c r="E32" s="131"/>
      <c r="F32" s="130"/>
      <c r="G32" s="131"/>
      <c r="H32" s="130"/>
      <c r="I32" s="131"/>
      <c r="J32" s="131">
        <f>SUM(J33,J34,J35,J36,J37)</f>
        <v>35166</v>
      </c>
      <c r="K32" s="131">
        <f>SUM(K33,K34,K35,K36,K37)</f>
        <v>37000</v>
      </c>
      <c r="L32" s="131">
        <f>L33+L34+L35+L36+L37</f>
        <v>40000</v>
      </c>
      <c r="M32" s="133">
        <f>M33+M34+M35+M36+M37</f>
        <v>45000</v>
      </c>
      <c r="N32" s="131">
        <f>N33+N34+N35+N36+N37</f>
        <v>45000</v>
      </c>
      <c r="O32" s="156"/>
      <c r="P32" s="156"/>
      <c r="Q32" s="156"/>
      <c r="R32" s="156"/>
    </row>
    <row r="33" spans="1:18" ht="12.75">
      <c r="A33" s="99">
        <v>211</v>
      </c>
      <c r="B33" s="88" t="s">
        <v>104</v>
      </c>
      <c r="C33" s="89" t="s">
        <v>124</v>
      </c>
      <c r="D33" s="91"/>
      <c r="E33" s="114"/>
      <c r="F33" s="91"/>
      <c r="G33" s="90"/>
      <c r="H33" s="114"/>
      <c r="I33" s="114"/>
      <c r="J33" s="116">
        <v>0</v>
      </c>
      <c r="K33" s="116">
        <v>0</v>
      </c>
      <c r="L33" s="116">
        <v>0</v>
      </c>
      <c r="M33" s="117">
        <v>0</v>
      </c>
      <c r="N33" s="116">
        <v>0</v>
      </c>
      <c r="O33" s="107"/>
      <c r="P33" s="107"/>
      <c r="Q33" s="107"/>
      <c r="R33" s="107"/>
    </row>
    <row r="34" spans="1:18" ht="12.75">
      <c r="A34" s="99">
        <v>212</v>
      </c>
      <c r="B34" s="88" t="s">
        <v>109</v>
      </c>
      <c r="C34" s="89" t="s">
        <v>26</v>
      </c>
      <c r="D34" s="91"/>
      <c r="E34" s="114"/>
      <c r="F34" s="91"/>
      <c r="G34" s="90"/>
      <c r="H34" s="114"/>
      <c r="I34" s="114"/>
      <c r="J34" s="116">
        <v>7704</v>
      </c>
      <c r="K34" s="116">
        <v>8000</v>
      </c>
      <c r="L34" s="116">
        <v>8000</v>
      </c>
      <c r="M34" s="117">
        <v>8000</v>
      </c>
      <c r="N34" s="116">
        <v>8000</v>
      </c>
      <c r="O34" s="107"/>
      <c r="P34" s="107"/>
      <c r="Q34" s="107"/>
      <c r="R34" s="107"/>
    </row>
    <row r="35" spans="1:19" ht="12.75">
      <c r="A35" s="99">
        <v>212</v>
      </c>
      <c r="B35" s="88" t="s">
        <v>104</v>
      </c>
      <c r="C35" s="89" t="s">
        <v>29</v>
      </c>
      <c r="D35" s="91"/>
      <c r="E35" s="114"/>
      <c r="F35" s="91"/>
      <c r="G35" s="90"/>
      <c r="H35" s="114"/>
      <c r="I35" s="114"/>
      <c r="J35" s="116">
        <v>16729</v>
      </c>
      <c r="K35" s="116">
        <v>17000</v>
      </c>
      <c r="L35" s="116">
        <v>17000</v>
      </c>
      <c r="M35" s="117">
        <v>17000</v>
      </c>
      <c r="N35" s="116">
        <v>17000</v>
      </c>
      <c r="O35" s="107"/>
      <c r="P35" s="107"/>
      <c r="Q35" s="107"/>
      <c r="R35" s="107"/>
      <c r="S35" s="139"/>
    </row>
    <row r="36" spans="1:18" ht="12.75">
      <c r="A36" s="99">
        <v>212</v>
      </c>
      <c r="B36" s="88" t="s">
        <v>125</v>
      </c>
      <c r="C36" s="89" t="s">
        <v>126</v>
      </c>
      <c r="D36" s="91"/>
      <c r="E36" s="114"/>
      <c r="F36" s="91"/>
      <c r="G36" s="90"/>
      <c r="H36" s="114"/>
      <c r="I36" s="114"/>
      <c r="J36" s="116">
        <v>10733</v>
      </c>
      <c r="K36" s="116">
        <v>12000</v>
      </c>
      <c r="L36" s="116">
        <v>15000</v>
      </c>
      <c r="M36" s="117">
        <v>20000</v>
      </c>
      <c r="N36" s="116">
        <v>20000</v>
      </c>
      <c r="O36" s="107"/>
      <c r="P36" s="107"/>
      <c r="Q36" s="107"/>
      <c r="R36" s="107"/>
    </row>
    <row r="37" spans="1:19" ht="12.75">
      <c r="A37" s="99">
        <v>212</v>
      </c>
      <c r="B37" s="88" t="s">
        <v>125</v>
      </c>
      <c r="C37" s="89" t="s">
        <v>127</v>
      </c>
      <c r="D37" s="91"/>
      <c r="E37" s="114"/>
      <c r="F37" s="91"/>
      <c r="G37" s="90"/>
      <c r="H37" s="114"/>
      <c r="I37" s="114"/>
      <c r="J37" s="116"/>
      <c r="K37" s="116"/>
      <c r="L37" s="116">
        <v>0</v>
      </c>
      <c r="M37" s="117">
        <v>0</v>
      </c>
      <c r="N37" s="116">
        <v>0</v>
      </c>
      <c r="O37" s="107"/>
      <c r="P37" s="107"/>
      <c r="Q37" s="107"/>
      <c r="R37" s="107"/>
      <c r="S37" s="157"/>
    </row>
    <row r="38" spans="1:18" ht="12.75">
      <c r="A38" s="121"/>
      <c r="B38" s="150"/>
      <c r="C38" s="150"/>
      <c r="D38" s="158"/>
      <c r="E38" s="123"/>
      <c r="F38" s="158"/>
      <c r="G38" s="159"/>
      <c r="H38" s="123"/>
      <c r="I38" s="123"/>
      <c r="J38" s="125"/>
      <c r="K38" s="125"/>
      <c r="L38" s="125"/>
      <c r="M38" s="123"/>
      <c r="N38" s="123"/>
      <c r="O38" s="108"/>
      <c r="P38" s="108"/>
      <c r="Q38" s="108"/>
      <c r="R38" s="108"/>
    </row>
    <row r="39" spans="1:18" s="135" customFormat="1" ht="12.75">
      <c r="A39" s="127" t="s">
        <v>128</v>
      </c>
      <c r="B39" s="128"/>
      <c r="C39" s="129"/>
      <c r="D39" s="130"/>
      <c r="E39" s="131"/>
      <c r="F39" s="130"/>
      <c r="G39" s="131"/>
      <c r="H39" s="130"/>
      <c r="I39" s="131"/>
      <c r="J39" s="131">
        <f>SUM(J40,J41,J42,J43,J44,J45,J46,J47,J48,J49)</f>
        <v>68192</v>
      </c>
      <c r="K39" s="131">
        <f>SUM(K40,K41,K42,K43,K44,K45,K46,K47,K48,K49)</f>
        <v>69740</v>
      </c>
      <c r="L39" s="131">
        <f>L40+L41+L42+L43+L44+L45+L46+L47+L48+L49</f>
        <v>70500</v>
      </c>
      <c r="M39" s="133">
        <f>M40+M41+M42+M43+M44+M45+M46+M47+M48+M49</f>
        <v>60500</v>
      </c>
      <c r="N39" s="131">
        <f>N40+N41+N42+N43+N44+N45+N46+N47+N48+N49</f>
        <v>60500</v>
      </c>
      <c r="O39" s="156"/>
      <c r="P39" s="156"/>
      <c r="Q39" s="156"/>
      <c r="R39" s="156"/>
    </row>
    <row r="40" spans="1:18" ht="12.75">
      <c r="A40" s="99">
        <v>221</v>
      </c>
      <c r="B40" s="88" t="s">
        <v>125</v>
      </c>
      <c r="C40" s="89" t="s">
        <v>129</v>
      </c>
      <c r="D40" s="160"/>
      <c r="E40" s="161"/>
      <c r="F40" s="160"/>
      <c r="G40" s="162"/>
      <c r="H40" s="161"/>
      <c r="I40" s="161"/>
      <c r="J40" s="163">
        <v>19349</v>
      </c>
      <c r="K40" s="163">
        <v>19240</v>
      </c>
      <c r="L40" s="163">
        <v>20000</v>
      </c>
      <c r="M40" s="164">
        <v>10000</v>
      </c>
      <c r="N40" s="163">
        <v>10000</v>
      </c>
      <c r="O40" s="107"/>
      <c r="P40" s="107"/>
      <c r="Q40" s="107"/>
      <c r="R40" s="107"/>
    </row>
    <row r="41" spans="1:18" ht="12.75">
      <c r="A41" s="99">
        <v>222</v>
      </c>
      <c r="B41" s="88" t="s">
        <v>104</v>
      </c>
      <c r="C41" s="89" t="s">
        <v>130</v>
      </c>
      <c r="D41" s="91"/>
      <c r="E41" s="114"/>
      <c r="F41" s="91"/>
      <c r="G41" s="90"/>
      <c r="H41" s="114"/>
      <c r="I41" s="114"/>
      <c r="J41" s="163">
        <v>2286</v>
      </c>
      <c r="K41" s="163">
        <v>2500</v>
      </c>
      <c r="L41" s="116">
        <v>2500</v>
      </c>
      <c r="M41" s="117">
        <v>2500</v>
      </c>
      <c r="N41" s="116">
        <v>2500</v>
      </c>
      <c r="O41" s="107"/>
      <c r="P41" s="107"/>
      <c r="Q41" s="107"/>
      <c r="R41" s="107"/>
    </row>
    <row r="42" spans="1:18" ht="12.75">
      <c r="A42" s="99">
        <v>223</v>
      </c>
      <c r="B42" s="88" t="s">
        <v>106</v>
      </c>
      <c r="C42" s="89" t="s">
        <v>131</v>
      </c>
      <c r="D42" s="91"/>
      <c r="E42" s="114"/>
      <c r="F42" s="91"/>
      <c r="G42" s="90"/>
      <c r="H42" s="114"/>
      <c r="I42" s="114"/>
      <c r="J42" s="163">
        <v>680</v>
      </c>
      <c r="K42" s="163">
        <v>1000</v>
      </c>
      <c r="L42" s="116">
        <v>1000</v>
      </c>
      <c r="M42" s="117">
        <v>1000</v>
      </c>
      <c r="N42" s="116">
        <v>1000</v>
      </c>
      <c r="O42" s="107"/>
      <c r="P42" s="107"/>
      <c r="Q42" s="107"/>
      <c r="R42" s="107"/>
    </row>
    <row r="43" spans="1:18" ht="12.75">
      <c r="A43" s="99">
        <v>223</v>
      </c>
      <c r="B43" s="100" t="s">
        <v>106</v>
      </c>
      <c r="C43" s="89" t="s">
        <v>43</v>
      </c>
      <c r="D43" s="91"/>
      <c r="E43" s="114"/>
      <c r="F43" s="91"/>
      <c r="G43" s="90"/>
      <c r="H43" s="114"/>
      <c r="I43" s="114"/>
      <c r="J43" s="163">
        <v>4023</v>
      </c>
      <c r="K43" s="163">
        <v>7000</v>
      </c>
      <c r="L43" s="116">
        <v>7000</v>
      </c>
      <c r="M43" s="117">
        <v>7000</v>
      </c>
      <c r="N43" s="116">
        <v>7000</v>
      </c>
      <c r="O43" s="107"/>
      <c r="P43" s="107"/>
      <c r="Q43" s="107"/>
      <c r="R43" s="107"/>
    </row>
    <row r="44" spans="1:18" ht="12.75">
      <c r="A44" s="99">
        <v>222</v>
      </c>
      <c r="B44" s="100" t="s">
        <v>104</v>
      </c>
      <c r="C44" s="89" t="s">
        <v>132</v>
      </c>
      <c r="D44" s="91"/>
      <c r="E44" s="114"/>
      <c r="F44" s="91"/>
      <c r="G44" s="90"/>
      <c r="H44" s="114"/>
      <c r="I44" s="114"/>
      <c r="J44" s="163">
        <v>0</v>
      </c>
      <c r="K44" s="163">
        <v>0</v>
      </c>
      <c r="L44" s="116">
        <v>0</v>
      </c>
      <c r="M44" s="117">
        <v>0</v>
      </c>
      <c r="N44" s="116">
        <v>0</v>
      </c>
      <c r="O44" s="107"/>
      <c r="P44" s="107"/>
      <c r="Q44" s="107"/>
      <c r="R44" s="107"/>
    </row>
    <row r="45" spans="1:20" ht="12.75">
      <c r="A45" s="99">
        <v>223</v>
      </c>
      <c r="B45" s="100" t="s">
        <v>109</v>
      </c>
      <c r="C45" s="89" t="s">
        <v>133</v>
      </c>
      <c r="D45" s="91"/>
      <c r="E45" s="114"/>
      <c r="F45" s="91"/>
      <c r="G45" s="90"/>
      <c r="H45" s="114"/>
      <c r="I45" s="114"/>
      <c r="J45" s="163">
        <v>0</v>
      </c>
      <c r="K45" s="163">
        <v>2000</v>
      </c>
      <c r="L45" s="116">
        <v>2000</v>
      </c>
      <c r="M45" s="117">
        <v>2000</v>
      </c>
      <c r="N45" s="116">
        <v>2000</v>
      </c>
      <c r="O45" s="107"/>
      <c r="P45" s="107"/>
      <c r="Q45" s="107"/>
      <c r="R45" s="107"/>
      <c r="S45" s="165"/>
      <c r="T45" s="121"/>
    </row>
    <row r="46" spans="1:19" ht="12.75">
      <c r="A46" s="99">
        <v>223</v>
      </c>
      <c r="B46" s="100" t="s">
        <v>104</v>
      </c>
      <c r="C46" s="89" t="s">
        <v>134</v>
      </c>
      <c r="D46" s="91"/>
      <c r="E46" s="114"/>
      <c r="F46" s="91"/>
      <c r="G46" s="90"/>
      <c r="H46" s="114"/>
      <c r="I46" s="114"/>
      <c r="J46" s="163">
        <v>12319</v>
      </c>
      <c r="K46" s="163">
        <v>10000</v>
      </c>
      <c r="L46" s="116">
        <v>10000</v>
      </c>
      <c r="M46" s="117">
        <v>10000</v>
      </c>
      <c r="N46" s="116">
        <v>10000</v>
      </c>
      <c r="O46" s="107"/>
      <c r="P46" s="107"/>
      <c r="Q46" s="107"/>
      <c r="R46" s="107"/>
      <c r="S46" s="166"/>
    </row>
    <row r="47" spans="1:18" ht="12.75">
      <c r="A47" s="99">
        <v>223</v>
      </c>
      <c r="B47" s="100" t="s">
        <v>104</v>
      </c>
      <c r="C47" s="89" t="s">
        <v>135</v>
      </c>
      <c r="D47" s="114"/>
      <c r="E47" s="167"/>
      <c r="F47" s="114"/>
      <c r="G47" s="136"/>
      <c r="H47" s="167"/>
      <c r="I47" s="167"/>
      <c r="J47" s="163">
        <v>5535</v>
      </c>
      <c r="K47" s="163">
        <v>5000</v>
      </c>
      <c r="L47" s="116">
        <v>5000</v>
      </c>
      <c r="M47" s="117">
        <v>5000</v>
      </c>
      <c r="N47" s="116">
        <v>5000</v>
      </c>
      <c r="O47" s="107"/>
      <c r="P47" s="107"/>
      <c r="Q47" s="107"/>
      <c r="R47" s="107"/>
    </row>
    <row r="48" spans="1:18" ht="12.75">
      <c r="A48" s="99">
        <v>223</v>
      </c>
      <c r="B48" s="100" t="s">
        <v>104</v>
      </c>
      <c r="C48" s="89" t="s">
        <v>136</v>
      </c>
      <c r="D48" s="114"/>
      <c r="E48" s="114"/>
      <c r="F48" s="114"/>
      <c r="G48" s="136"/>
      <c r="H48" s="114"/>
      <c r="I48" s="114"/>
      <c r="J48" s="163">
        <v>24000</v>
      </c>
      <c r="K48" s="163">
        <v>23000</v>
      </c>
      <c r="L48" s="116">
        <v>23000</v>
      </c>
      <c r="M48" s="117">
        <v>23000</v>
      </c>
      <c r="N48" s="116">
        <v>23000</v>
      </c>
      <c r="O48" s="107"/>
      <c r="P48" s="107"/>
      <c r="Q48" s="107"/>
      <c r="R48" s="107"/>
    </row>
    <row r="49" spans="1:19" ht="12.75">
      <c r="A49" s="99">
        <v>229</v>
      </c>
      <c r="B49" s="88" t="s">
        <v>137</v>
      </c>
      <c r="C49" s="89" t="s">
        <v>138</v>
      </c>
      <c r="D49" s="114"/>
      <c r="E49" s="114"/>
      <c r="F49" s="114"/>
      <c r="G49" s="136"/>
      <c r="H49" s="114"/>
      <c r="I49" s="114"/>
      <c r="J49" s="163">
        <v>0</v>
      </c>
      <c r="K49" s="163">
        <v>0</v>
      </c>
      <c r="L49" s="116">
        <v>0</v>
      </c>
      <c r="M49" s="117">
        <v>0</v>
      </c>
      <c r="N49" s="116">
        <v>0</v>
      </c>
      <c r="O49" s="107"/>
      <c r="P49" s="107"/>
      <c r="Q49" s="107"/>
      <c r="R49" s="107"/>
      <c r="S49" s="168"/>
    </row>
    <row r="50" spans="1:18" ht="12.75">
      <c r="A50" s="121"/>
      <c r="B50" s="150"/>
      <c r="C50" s="150"/>
      <c r="D50" s="122"/>
      <c r="E50" s="123"/>
      <c r="F50" s="122"/>
      <c r="G50" s="124"/>
      <c r="H50" s="123"/>
      <c r="I50" s="123"/>
      <c r="J50" s="125"/>
      <c r="K50" s="125"/>
      <c r="L50" s="152"/>
      <c r="M50" s="123"/>
      <c r="N50" s="123"/>
      <c r="O50" s="108"/>
      <c r="P50" s="108"/>
      <c r="Q50" s="108"/>
      <c r="R50" s="108"/>
    </row>
    <row r="51" spans="1:18" s="135" customFormat="1" ht="12.75">
      <c r="A51" s="127" t="s">
        <v>139</v>
      </c>
      <c r="B51" s="128"/>
      <c r="C51" s="129"/>
      <c r="D51" s="130"/>
      <c r="E51" s="131"/>
      <c r="F51" s="130"/>
      <c r="G51" s="131"/>
      <c r="H51" s="130"/>
      <c r="I51" s="131"/>
      <c r="J51" s="169">
        <f>SUM(J52,J53,J54,J55,J56,J57)</f>
        <v>4262</v>
      </c>
      <c r="K51" s="169">
        <f>SUM(K52,K53,K54,K55,K56,K57)</f>
        <v>1412</v>
      </c>
      <c r="L51" s="131">
        <f>L52+L53+L54+L55+L56+L57</f>
        <v>1392</v>
      </c>
      <c r="M51" s="133">
        <f>M52+M53+M54+M55+M56+M57</f>
        <v>1392</v>
      </c>
      <c r="N51" s="131">
        <f>N52+N53+N54+N55+N56+N57</f>
        <v>1392</v>
      </c>
      <c r="O51" s="156"/>
      <c r="P51" s="156"/>
      <c r="Q51" s="156"/>
      <c r="R51" s="156"/>
    </row>
    <row r="52" spans="1:18" s="57" customFormat="1" ht="12.75">
      <c r="A52" s="87">
        <v>242</v>
      </c>
      <c r="B52" s="88"/>
      <c r="C52" s="89" t="s">
        <v>140</v>
      </c>
      <c r="D52" s="170"/>
      <c r="E52" s="170"/>
      <c r="F52" s="170"/>
      <c r="G52" s="171"/>
      <c r="H52" s="170"/>
      <c r="I52" s="170"/>
      <c r="J52" s="172">
        <v>49</v>
      </c>
      <c r="K52" s="172">
        <v>150</v>
      </c>
      <c r="L52" s="173">
        <v>150</v>
      </c>
      <c r="M52" s="173">
        <v>150</v>
      </c>
      <c r="N52" s="174">
        <v>150</v>
      </c>
      <c r="O52" s="107"/>
      <c r="P52" s="107"/>
      <c r="Q52" s="107"/>
      <c r="R52" s="107"/>
    </row>
    <row r="53" spans="1:18" s="57" customFormat="1" ht="12.75">
      <c r="A53" s="175">
        <v>242</v>
      </c>
      <c r="B53" s="141"/>
      <c r="C53" s="141" t="s">
        <v>141</v>
      </c>
      <c r="D53" s="91"/>
      <c r="E53" s="91"/>
      <c r="F53" s="91"/>
      <c r="G53" s="90"/>
      <c r="H53" s="91"/>
      <c r="I53" s="91"/>
      <c r="J53" s="172">
        <v>68</v>
      </c>
      <c r="K53" s="172"/>
      <c r="L53" s="176">
        <v>0</v>
      </c>
      <c r="M53" s="176">
        <v>0</v>
      </c>
      <c r="N53" s="177">
        <v>0</v>
      </c>
      <c r="O53" s="107"/>
      <c r="P53" s="107"/>
      <c r="Q53" s="107"/>
      <c r="R53" s="107"/>
    </row>
    <row r="54" spans="1:18" s="57" customFormat="1" ht="12.75">
      <c r="A54" s="175">
        <v>292</v>
      </c>
      <c r="B54" s="141" t="s">
        <v>142</v>
      </c>
      <c r="C54" s="142" t="s">
        <v>143</v>
      </c>
      <c r="D54" s="170"/>
      <c r="E54" s="170"/>
      <c r="F54" s="170"/>
      <c r="G54" s="171"/>
      <c r="H54" s="170"/>
      <c r="I54" s="170"/>
      <c r="J54" s="172">
        <v>328</v>
      </c>
      <c r="K54" s="172"/>
      <c r="L54" s="173">
        <v>0</v>
      </c>
      <c r="M54" s="173">
        <v>0</v>
      </c>
      <c r="N54" s="174">
        <v>0</v>
      </c>
      <c r="O54" s="107"/>
      <c r="P54" s="107"/>
      <c r="Q54" s="107"/>
      <c r="R54" s="107"/>
    </row>
    <row r="55" spans="1:18" ht="12.75">
      <c r="A55" s="140">
        <v>292</v>
      </c>
      <c r="B55" s="178" t="s">
        <v>144</v>
      </c>
      <c r="C55" s="142" t="s">
        <v>145</v>
      </c>
      <c r="D55" s="179"/>
      <c r="E55" s="102"/>
      <c r="F55" s="179"/>
      <c r="G55" s="180"/>
      <c r="H55" s="102"/>
      <c r="I55" s="102"/>
      <c r="J55" s="172">
        <v>3576</v>
      </c>
      <c r="K55" s="172">
        <v>1000</v>
      </c>
      <c r="L55" s="144">
        <v>1000</v>
      </c>
      <c r="M55" s="144">
        <v>1000</v>
      </c>
      <c r="N55" s="143">
        <v>1000</v>
      </c>
      <c r="O55" s="107"/>
      <c r="P55" s="107"/>
      <c r="Q55" s="107"/>
      <c r="R55" s="107"/>
    </row>
    <row r="56" spans="1:18" ht="12.75">
      <c r="A56" s="140">
        <v>292</v>
      </c>
      <c r="B56" s="178" t="s">
        <v>146</v>
      </c>
      <c r="C56" s="142" t="s">
        <v>147</v>
      </c>
      <c r="D56" s="179"/>
      <c r="E56" s="102"/>
      <c r="F56" s="179"/>
      <c r="G56" s="180"/>
      <c r="H56" s="102"/>
      <c r="I56" s="102"/>
      <c r="J56" s="172">
        <v>241</v>
      </c>
      <c r="K56" s="172">
        <v>242</v>
      </c>
      <c r="L56" s="144">
        <v>242</v>
      </c>
      <c r="M56" s="144">
        <v>242</v>
      </c>
      <c r="N56" s="143">
        <v>242</v>
      </c>
      <c r="O56" s="107"/>
      <c r="P56" s="107"/>
      <c r="Q56" s="107"/>
      <c r="R56" s="107"/>
    </row>
    <row r="57" spans="1:19" ht="12.75">
      <c r="A57" s="181">
        <v>292</v>
      </c>
      <c r="B57" s="182" t="s">
        <v>148</v>
      </c>
      <c r="C57" s="142" t="s">
        <v>149</v>
      </c>
      <c r="D57" s="179"/>
      <c r="E57" s="102"/>
      <c r="F57" s="179"/>
      <c r="G57" s="180"/>
      <c r="H57" s="102"/>
      <c r="I57" s="102"/>
      <c r="J57" s="172">
        <v>0</v>
      </c>
      <c r="K57" s="172">
        <v>20</v>
      </c>
      <c r="L57" s="144">
        <v>0</v>
      </c>
      <c r="M57" s="144">
        <v>0</v>
      </c>
      <c r="N57" s="143">
        <v>0</v>
      </c>
      <c r="O57" s="107"/>
      <c r="P57" s="107"/>
      <c r="Q57" s="107"/>
      <c r="R57" s="107"/>
      <c r="S57" s="157"/>
    </row>
    <row r="58" spans="1:18" ht="12.75">
      <c r="A58" s="1268" t="s">
        <v>150</v>
      </c>
      <c r="B58" s="1268"/>
      <c r="C58" s="1268"/>
      <c r="D58" s="183"/>
      <c r="E58" s="146"/>
      <c r="F58" s="183"/>
      <c r="G58" s="146"/>
      <c r="H58" s="183"/>
      <c r="I58" s="146"/>
      <c r="J58" s="184">
        <f>SUM(J32,J39,J51)</f>
        <v>107620</v>
      </c>
      <c r="K58" s="184">
        <f>SUM(K32,K39,K51)</f>
        <v>108152</v>
      </c>
      <c r="L58" s="146">
        <f>L32+L39+L51</f>
        <v>111892</v>
      </c>
      <c r="M58" s="185">
        <f>SUM(M32,M39,M51)</f>
        <v>106892</v>
      </c>
      <c r="N58" s="146">
        <f>SUM(N32,N39,N51)</f>
        <v>106892</v>
      </c>
      <c r="O58" s="156"/>
      <c r="P58" s="156"/>
      <c r="Q58" s="156"/>
      <c r="R58" s="156"/>
    </row>
    <row r="59" spans="1:18" ht="12.75">
      <c r="A59" s="186"/>
      <c r="B59" s="186"/>
      <c r="C59" s="150"/>
      <c r="D59" s="187"/>
      <c r="E59" s="126"/>
      <c r="F59" s="187"/>
      <c r="G59" s="188"/>
      <c r="H59" s="126"/>
      <c r="I59" s="126"/>
      <c r="J59" s="126"/>
      <c r="K59" s="152"/>
      <c r="L59" s="152"/>
      <c r="M59" s="152"/>
      <c r="N59" s="123"/>
      <c r="O59" s="153"/>
      <c r="P59" s="153"/>
      <c r="Q59" s="153"/>
      <c r="R59" s="108"/>
    </row>
    <row r="60" spans="1:18" ht="12.75">
      <c r="A60" s="186"/>
      <c r="B60" s="186"/>
      <c r="C60" s="150"/>
      <c r="D60" s="187"/>
      <c r="E60" s="126"/>
      <c r="F60" s="187"/>
      <c r="G60" s="188"/>
      <c r="H60" s="126"/>
      <c r="I60" s="126"/>
      <c r="J60" s="126"/>
      <c r="K60" s="152"/>
      <c r="L60" s="152"/>
      <c r="M60" s="152"/>
      <c r="N60" s="123"/>
      <c r="O60" s="153"/>
      <c r="P60" s="153"/>
      <c r="Q60" s="153"/>
      <c r="R60" s="108"/>
    </row>
    <row r="61" spans="1:18" ht="15.75">
      <c r="A61" s="186"/>
      <c r="B61" s="186"/>
      <c r="C61" s="150"/>
      <c r="D61" s="187"/>
      <c r="E61" s="126"/>
      <c r="F61" s="187"/>
      <c r="G61" s="188"/>
      <c r="H61" s="126"/>
      <c r="I61" s="189" t="s">
        <v>151</v>
      </c>
      <c r="J61" s="189"/>
      <c r="K61" s="1269" t="s">
        <v>151</v>
      </c>
      <c r="L61" s="1269"/>
      <c r="M61" s="1269"/>
      <c r="N61" s="1269"/>
      <c r="O61" s="190"/>
      <c r="P61" s="190"/>
      <c r="Q61" s="190"/>
      <c r="R61" s="190"/>
    </row>
    <row r="62" spans="1:18" ht="12.75">
      <c r="A62" s="186"/>
      <c r="B62" s="186"/>
      <c r="C62" s="150"/>
      <c r="D62" s="187"/>
      <c r="E62" s="126"/>
      <c r="F62" s="187"/>
      <c r="G62" s="188"/>
      <c r="H62" s="126"/>
      <c r="I62" s="126"/>
      <c r="J62" s="126"/>
      <c r="K62" s="152"/>
      <c r="L62" s="152"/>
      <c r="M62" s="152"/>
      <c r="N62" s="123"/>
      <c r="O62" s="153"/>
      <c r="P62" s="153"/>
      <c r="Q62" s="153"/>
      <c r="R62" s="108"/>
    </row>
    <row r="63" spans="1:18" ht="15.75">
      <c r="A63" s="67" t="s">
        <v>1</v>
      </c>
      <c r="B63" s="68"/>
      <c r="C63" s="69"/>
      <c r="D63" s="70"/>
      <c r="E63" s="71"/>
      <c r="F63" s="70"/>
      <c r="G63" s="71"/>
      <c r="H63" s="70"/>
      <c r="I63" s="71"/>
      <c r="J63" s="71">
        <v>2011</v>
      </c>
      <c r="K63" s="72">
        <v>2012</v>
      </c>
      <c r="L63" s="191">
        <v>2013</v>
      </c>
      <c r="M63" s="74">
        <v>2014</v>
      </c>
      <c r="N63" s="72">
        <v>2015</v>
      </c>
      <c r="O63" s="75"/>
      <c r="P63" s="75"/>
      <c r="Q63" s="75"/>
      <c r="R63" s="76"/>
    </row>
    <row r="64" spans="1:18" s="86" customFormat="1" ht="12.75">
      <c r="A64" s="127" t="s">
        <v>152</v>
      </c>
      <c r="B64" s="128"/>
      <c r="C64" s="129"/>
      <c r="D64" s="130"/>
      <c r="E64" s="131"/>
      <c r="F64" s="130"/>
      <c r="G64" s="131"/>
      <c r="H64" s="130"/>
      <c r="I64" s="131"/>
      <c r="J64" s="131">
        <f>SUM(J65,J66,J67,J68,J69,J70,J71,J72,J73,J74,J75,J76,J77,J78,J79)</f>
        <v>449675</v>
      </c>
      <c r="K64" s="131">
        <f>SUM(K65,K66,K67,K68,K69,K70,K71,K72,K73,K74,K75,K76,K77,K78,K79)</f>
        <v>517697.79</v>
      </c>
      <c r="L64" s="131">
        <f>L65+L66+L67+L68+L69+L70+L71+L72+L73+L74+L75+L76+L77+L78+L79</f>
        <v>559688</v>
      </c>
      <c r="M64" s="133">
        <f>M65+M66+M67+M68+M69+M70+M71+M72+M73+M74+M75+M76+M77+M78+M79</f>
        <v>558813</v>
      </c>
      <c r="N64" s="131">
        <f>N65+N66+N67+N68+N69+N70+N71+N72+N73+N74+N75+N76+N77+N78+N79</f>
        <v>458813</v>
      </c>
      <c r="O64" s="156"/>
      <c r="P64" s="156"/>
      <c r="Q64" s="156"/>
      <c r="R64" s="156"/>
    </row>
    <row r="65" spans="1:18" s="86" customFormat="1" ht="12.75">
      <c r="A65" s="87">
        <v>312</v>
      </c>
      <c r="B65" s="88" t="s">
        <v>106</v>
      </c>
      <c r="C65" s="89" t="s">
        <v>153</v>
      </c>
      <c r="D65" s="192"/>
      <c r="E65" s="91"/>
      <c r="F65" s="91"/>
      <c r="G65" s="193"/>
      <c r="H65" s="91"/>
      <c r="I65" s="91"/>
      <c r="J65" s="177">
        <v>650</v>
      </c>
      <c r="K65" s="177">
        <v>400</v>
      </c>
      <c r="L65" s="177">
        <v>400</v>
      </c>
      <c r="M65" s="176">
        <v>400</v>
      </c>
      <c r="N65" s="177">
        <v>400</v>
      </c>
      <c r="O65" s="107"/>
      <c r="P65" s="107"/>
      <c r="Q65" s="107"/>
      <c r="R65" s="107"/>
    </row>
    <row r="66" spans="1:18" s="86" customFormat="1" ht="12.75">
      <c r="A66" s="87">
        <v>312</v>
      </c>
      <c r="B66" s="88" t="s">
        <v>106</v>
      </c>
      <c r="C66" s="89" t="s">
        <v>154</v>
      </c>
      <c r="D66" s="91"/>
      <c r="E66" s="91"/>
      <c r="F66" s="91"/>
      <c r="G66" s="90"/>
      <c r="H66" s="91"/>
      <c r="I66" s="91"/>
      <c r="J66" s="177">
        <v>390969</v>
      </c>
      <c r="K66" s="177">
        <v>403046</v>
      </c>
      <c r="L66" s="177">
        <v>401513</v>
      </c>
      <c r="M66" s="176">
        <v>401513</v>
      </c>
      <c r="N66" s="177">
        <v>401513</v>
      </c>
      <c r="O66" s="107"/>
      <c r="P66" s="107"/>
      <c r="Q66" s="107"/>
      <c r="R66" s="107"/>
    </row>
    <row r="67" spans="1:18" s="86" customFormat="1" ht="12.75">
      <c r="A67" s="87">
        <v>312</v>
      </c>
      <c r="B67" s="88" t="s">
        <v>106</v>
      </c>
      <c r="C67" s="89" t="s">
        <v>155</v>
      </c>
      <c r="D67" s="192"/>
      <c r="E67" s="91"/>
      <c r="F67" s="192"/>
      <c r="G67" s="193"/>
      <c r="H67" s="91"/>
      <c r="I67" s="91"/>
      <c r="J67" s="177">
        <v>3000</v>
      </c>
      <c r="K67" s="177">
        <v>2857.47</v>
      </c>
      <c r="L67" s="177">
        <v>0</v>
      </c>
      <c r="M67" s="176">
        <v>0</v>
      </c>
      <c r="N67" s="177">
        <v>0</v>
      </c>
      <c r="O67" s="107"/>
      <c r="P67" s="107"/>
      <c r="Q67" s="107"/>
      <c r="R67" s="107"/>
    </row>
    <row r="68" spans="1:18" ht="12.75">
      <c r="A68" s="99">
        <v>312</v>
      </c>
      <c r="B68" s="100" t="s">
        <v>106</v>
      </c>
      <c r="C68" s="89" t="s">
        <v>156</v>
      </c>
      <c r="D68" s="114"/>
      <c r="E68" s="114"/>
      <c r="F68" s="114"/>
      <c r="G68" s="136"/>
      <c r="H68" s="114"/>
      <c r="I68" s="114"/>
      <c r="J68" s="177">
        <v>3080</v>
      </c>
      <c r="K68" s="177">
        <v>4617</v>
      </c>
      <c r="L68" s="116">
        <v>4500</v>
      </c>
      <c r="M68" s="117">
        <v>4500</v>
      </c>
      <c r="N68" s="116">
        <v>4500</v>
      </c>
      <c r="O68" s="107"/>
      <c r="P68" s="107"/>
      <c r="Q68" s="107"/>
      <c r="R68" s="107"/>
    </row>
    <row r="69" spans="1:18" ht="12.75">
      <c r="A69" s="99">
        <v>312</v>
      </c>
      <c r="B69" s="100" t="s">
        <v>106</v>
      </c>
      <c r="C69" s="89" t="s">
        <v>157</v>
      </c>
      <c r="D69" s="114"/>
      <c r="E69" s="114"/>
      <c r="F69" s="114"/>
      <c r="G69" s="136"/>
      <c r="H69" s="114"/>
      <c r="I69" s="114"/>
      <c r="J69" s="177">
        <v>4775</v>
      </c>
      <c r="K69" s="177">
        <v>4771.95</v>
      </c>
      <c r="L69" s="116">
        <v>4800</v>
      </c>
      <c r="M69" s="117">
        <v>4800</v>
      </c>
      <c r="N69" s="116">
        <v>4800</v>
      </c>
      <c r="O69" s="107"/>
      <c r="P69" s="107"/>
      <c r="Q69" s="107"/>
      <c r="R69" s="107"/>
    </row>
    <row r="70" spans="1:21" ht="12.75">
      <c r="A70" s="99">
        <v>312</v>
      </c>
      <c r="B70" s="100" t="s">
        <v>106</v>
      </c>
      <c r="C70" s="89" t="s">
        <v>158</v>
      </c>
      <c r="D70" s="161"/>
      <c r="E70" s="161"/>
      <c r="F70" s="114"/>
      <c r="G70" s="194"/>
      <c r="H70" s="161"/>
      <c r="I70" s="161"/>
      <c r="J70" s="177">
        <v>13159</v>
      </c>
      <c r="K70" s="177">
        <v>10050</v>
      </c>
      <c r="L70" s="163">
        <v>10000</v>
      </c>
      <c r="M70" s="164">
        <v>10000</v>
      </c>
      <c r="N70" s="163">
        <v>10000</v>
      </c>
      <c r="O70" s="107"/>
      <c r="P70" s="107"/>
      <c r="Q70" s="107"/>
      <c r="R70" s="107"/>
      <c r="S70" s="195"/>
      <c r="T70" s="195"/>
      <c r="U70" s="195"/>
    </row>
    <row r="71" spans="1:21" s="57" customFormat="1" ht="12.75">
      <c r="A71" s="87">
        <v>312</v>
      </c>
      <c r="B71" s="88" t="s">
        <v>106</v>
      </c>
      <c r="C71" s="89" t="s">
        <v>159</v>
      </c>
      <c r="D71" s="196"/>
      <c r="E71" s="91"/>
      <c r="F71" s="196"/>
      <c r="G71" s="197"/>
      <c r="H71" s="91"/>
      <c r="I71" s="91"/>
      <c r="J71" s="177">
        <v>6120</v>
      </c>
      <c r="K71" s="177">
        <v>8033</v>
      </c>
      <c r="L71" s="177">
        <v>8000</v>
      </c>
      <c r="M71" s="176">
        <v>7000</v>
      </c>
      <c r="N71" s="177">
        <v>7000</v>
      </c>
      <c r="O71" s="107"/>
      <c r="P71" s="107"/>
      <c r="Q71" s="107"/>
      <c r="R71" s="107"/>
      <c r="S71" s="198"/>
      <c r="T71" s="198"/>
      <c r="U71" s="198"/>
    </row>
    <row r="72" spans="1:21" s="57" customFormat="1" ht="12.75">
      <c r="A72" s="87">
        <v>312</v>
      </c>
      <c r="B72" s="88" t="s">
        <v>160</v>
      </c>
      <c r="C72" s="89" t="s">
        <v>161</v>
      </c>
      <c r="D72" s="199"/>
      <c r="E72" s="179"/>
      <c r="F72" s="199"/>
      <c r="G72" s="200"/>
      <c r="H72" s="179"/>
      <c r="I72" s="179"/>
      <c r="J72" s="177">
        <v>48</v>
      </c>
      <c r="K72" s="177"/>
      <c r="L72" s="105">
        <v>250</v>
      </c>
      <c r="M72" s="106">
        <v>250</v>
      </c>
      <c r="N72" s="105">
        <v>250</v>
      </c>
      <c r="O72" s="107"/>
      <c r="P72" s="107"/>
      <c r="Q72" s="107"/>
      <c r="R72" s="107"/>
      <c r="S72" s="198"/>
      <c r="T72" s="198"/>
      <c r="U72" s="198"/>
    </row>
    <row r="73" spans="1:21" s="57" customFormat="1" ht="12.75">
      <c r="A73" s="87">
        <v>312</v>
      </c>
      <c r="B73" s="88" t="s">
        <v>106</v>
      </c>
      <c r="C73" s="89" t="s">
        <v>69</v>
      </c>
      <c r="D73" s="199"/>
      <c r="E73" s="179"/>
      <c r="F73" s="199"/>
      <c r="G73" s="200"/>
      <c r="H73" s="179"/>
      <c r="I73" s="179"/>
      <c r="J73" s="177">
        <v>3740</v>
      </c>
      <c r="K73" s="177">
        <v>3394</v>
      </c>
      <c r="L73" s="105">
        <v>3500</v>
      </c>
      <c r="M73" s="106">
        <v>3500</v>
      </c>
      <c r="N73" s="105">
        <v>3500</v>
      </c>
      <c r="O73" s="107"/>
      <c r="P73" s="107"/>
      <c r="Q73" s="107"/>
      <c r="R73" s="107"/>
      <c r="S73" s="198"/>
      <c r="T73" s="198"/>
      <c r="U73" s="198"/>
    </row>
    <row r="74" spans="1:21" s="57" customFormat="1" ht="12.75" customHeight="1">
      <c r="A74" s="87">
        <v>312</v>
      </c>
      <c r="B74" s="88" t="s">
        <v>106</v>
      </c>
      <c r="C74" s="89" t="s">
        <v>71</v>
      </c>
      <c r="D74" s="199"/>
      <c r="E74" s="179"/>
      <c r="F74" s="199"/>
      <c r="G74" s="200"/>
      <c r="H74" s="179"/>
      <c r="I74" s="179"/>
      <c r="J74" s="177">
        <v>7693</v>
      </c>
      <c r="K74" s="177">
        <v>7813</v>
      </c>
      <c r="L74" s="105">
        <v>8000</v>
      </c>
      <c r="M74" s="106">
        <v>8000</v>
      </c>
      <c r="N74" s="105">
        <v>8000</v>
      </c>
      <c r="O74" s="107"/>
      <c r="P74" s="107"/>
      <c r="Q74" s="107"/>
      <c r="R74" s="107"/>
      <c r="S74" s="201"/>
      <c r="T74" s="198"/>
      <c r="U74" s="202"/>
    </row>
    <row r="75" spans="1:21" s="57" customFormat="1" ht="12.75">
      <c r="A75" s="87">
        <v>312</v>
      </c>
      <c r="B75" s="88" t="s">
        <v>106</v>
      </c>
      <c r="C75" s="89" t="s">
        <v>162</v>
      </c>
      <c r="D75" s="196"/>
      <c r="E75" s="91"/>
      <c r="F75" s="196"/>
      <c r="G75" s="197"/>
      <c r="H75" s="91"/>
      <c r="I75" s="91"/>
      <c r="J75" s="177">
        <v>891</v>
      </c>
      <c r="K75" s="177">
        <v>1350</v>
      </c>
      <c r="L75" s="177">
        <v>1350</v>
      </c>
      <c r="M75" s="176">
        <v>1350</v>
      </c>
      <c r="N75" s="177">
        <v>1350</v>
      </c>
      <c r="O75" s="107"/>
      <c r="P75" s="107"/>
      <c r="Q75" s="107"/>
      <c r="R75" s="107"/>
      <c r="S75" s="203"/>
      <c r="T75" s="203"/>
      <c r="U75" s="203"/>
    </row>
    <row r="76" spans="1:18" s="57" customFormat="1" ht="12.75">
      <c r="A76" s="87">
        <v>312</v>
      </c>
      <c r="B76" s="88" t="s">
        <v>106</v>
      </c>
      <c r="C76" s="89" t="s">
        <v>163</v>
      </c>
      <c r="D76" s="196"/>
      <c r="E76" s="91"/>
      <c r="F76" s="196"/>
      <c r="G76" s="197"/>
      <c r="H76" s="91"/>
      <c r="I76" s="91"/>
      <c r="J76" s="177">
        <v>12562</v>
      </c>
      <c r="K76" s="177">
        <v>14500</v>
      </c>
      <c r="L76" s="177">
        <v>14500</v>
      </c>
      <c r="M76" s="176">
        <v>14500</v>
      </c>
      <c r="N76" s="177">
        <v>14500</v>
      </c>
      <c r="O76" s="107"/>
      <c r="P76" s="107"/>
      <c r="Q76" s="107"/>
      <c r="R76" s="107"/>
    </row>
    <row r="77" spans="1:19" s="57" customFormat="1" ht="12.75">
      <c r="A77" s="175">
        <v>312</v>
      </c>
      <c r="B77" s="141" t="s">
        <v>106</v>
      </c>
      <c r="C77" s="142" t="s">
        <v>73</v>
      </c>
      <c r="D77" s="196"/>
      <c r="E77" s="91"/>
      <c r="F77" s="196"/>
      <c r="G77" s="197"/>
      <c r="H77" s="91"/>
      <c r="I77" s="91"/>
      <c r="J77" s="105">
        <v>2988</v>
      </c>
      <c r="K77" s="105">
        <v>3000</v>
      </c>
      <c r="L77" s="105">
        <v>3000</v>
      </c>
      <c r="M77" s="106">
        <v>3000</v>
      </c>
      <c r="N77" s="105">
        <v>3000</v>
      </c>
      <c r="O77" s="107"/>
      <c r="P77" s="107"/>
      <c r="Q77" s="107"/>
      <c r="R77" s="107"/>
      <c r="S77" s="204"/>
    </row>
    <row r="78" spans="1:19" s="57" customFormat="1" ht="12.75">
      <c r="A78" s="87">
        <v>312</v>
      </c>
      <c r="B78" s="88" t="s">
        <v>106</v>
      </c>
      <c r="C78" s="89" t="s">
        <v>164</v>
      </c>
      <c r="D78" s="158"/>
      <c r="E78" s="187"/>
      <c r="F78" s="158"/>
      <c r="G78" s="159"/>
      <c r="H78" s="187"/>
      <c r="I78" s="187"/>
      <c r="J78" s="177">
        <v>0</v>
      </c>
      <c r="K78" s="177">
        <v>3990.37</v>
      </c>
      <c r="L78" s="177">
        <v>10000</v>
      </c>
      <c r="M78" s="176">
        <v>10000</v>
      </c>
      <c r="N78" s="177">
        <v>0</v>
      </c>
      <c r="O78" s="107"/>
      <c r="P78" s="107"/>
      <c r="Q78" s="107"/>
      <c r="R78" s="107"/>
      <c r="S78" s="204"/>
    </row>
    <row r="79" spans="1:19" s="57" customFormat="1" ht="12.75">
      <c r="A79" s="175">
        <v>312</v>
      </c>
      <c r="B79" s="141" t="s">
        <v>106</v>
      </c>
      <c r="C79" s="142" t="s">
        <v>165</v>
      </c>
      <c r="D79" s="158"/>
      <c r="E79" s="187"/>
      <c r="F79" s="158"/>
      <c r="G79" s="159"/>
      <c r="H79" s="187"/>
      <c r="I79" s="187"/>
      <c r="J79" s="105">
        <v>0</v>
      </c>
      <c r="K79" s="105">
        <v>49875</v>
      </c>
      <c r="L79" s="105">
        <v>89875</v>
      </c>
      <c r="M79" s="106">
        <v>90000</v>
      </c>
      <c r="N79" s="105">
        <v>0</v>
      </c>
      <c r="O79" s="107"/>
      <c r="P79" s="107"/>
      <c r="Q79" s="107"/>
      <c r="R79" s="107"/>
      <c r="S79" s="204"/>
    </row>
    <row r="80" spans="1:19" s="57" customFormat="1" ht="12.75">
      <c r="A80" s="87">
        <v>312</v>
      </c>
      <c r="B80" s="88" t="s">
        <v>106</v>
      </c>
      <c r="C80" s="89" t="s">
        <v>84</v>
      </c>
      <c r="D80" s="158"/>
      <c r="E80" s="187"/>
      <c r="F80" s="158"/>
      <c r="G80" s="159"/>
      <c r="H80" s="187"/>
      <c r="I80" s="187"/>
      <c r="J80" s="177">
        <v>0</v>
      </c>
      <c r="K80" s="177"/>
      <c r="L80" s="205">
        <v>44000</v>
      </c>
      <c r="M80" s="206"/>
      <c r="N80" s="205">
        <v>0</v>
      </c>
      <c r="O80" s="107"/>
      <c r="P80" s="107"/>
      <c r="Q80" s="107"/>
      <c r="R80" s="107"/>
      <c r="S80" s="204"/>
    </row>
    <row r="81" spans="1:18" s="57" customFormat="1" ht="12.75">
      <c r="A81" s="150"/>
      <c r="B81" s="150"/>
      <c r="C81" s="150"/>
      <c r="D81" s="158"/>
      <c r="E81" s="187"/>
      <c r="F81" s="158"/>
      <c r="G81" s="159"/>
      <c r="H81" s="187"/>
      <c r="I81" s="187"/>
      <c r="J81" s="207"/>
      <c r="K81" s="207"/>
      <c r="L81" s="207"/>
      <c r="M81" s="208"/>
      <c r="N81" s="209"/>
      <c r="O81" s="207"/>
      <c r="P81" s="207"/>
      <c r="Q81" s="207"/>
      <c r="R81" s="207"/>
    </row>
    <row r="82" spans="1:18" s="135" customFormat="1" ht="12.75">
      <c r="A82" s="127" t="s">
        <v>166</v>
      </c>
      <c r="B82" s="128"/>
      <c r="C82" s="129"/>
      <c r="D82" s="210"/>
      <c r="E82" s="211"/>
      <c r="F82" s="210"/>
      <c r="G82" s="210"/>
      <c r="H82" s="211"/>
      <c r="I82" s="211"/>
      <c r="J82" s="212">
        <f>J83+J84</f>
        <v>5000</v>
      </c>
      <c r="K82" s="212">
        <f>K83+K84</f>
        <v>23673.52</v>
      </c>
      <c r="L82" s="212">
        <f>L83+L84</f>
        <v>0</v>
      </c>
      <c r="M82" s="213">
        <f>SUM(M83,M84)</f>
        <v>0</v>
      </c>
      <c r="N82" s="214">
        <f>SUM(N83,N84)</f>
        <v>0</v>
      </c>
      <c r="O82" s="107"/>
      <c r="P82" s="107"/>
      <c r="Q82" s="107"/>
      <c r="R82" s="107"/>
    </row>
    <row r="83" spans="1:18" s="135" customFormat="1" ht="12.75">
      <c r="A83" s="87">
        <v>311</v>
      </c>
      <c r="B83" s="88"/>
      <c r="C83" s="101" t="s">
        <v>167</v>
      </c>
      <c r="D83" s="215"/>
      <c r="E83" s="215"/>
      <c r="F83" s="215"/>
      <c r="G83" s="216"/>
      <c r="H83" s="215"/>
      <c r="I83" s="217"/>
      <c r="J83" s="218">
        <v>0</v>
      </c>
      <c r="K83" s="218">
        <v>2100</v>
      </c>
      <c r="L83" s="219">
        <v>0</v>
      </c>
      <c r="M83" s="215">
        <v>0</v>
      </c>
      <c r="N83" s="218">
        <v>0</v>
      </c>
      <c r="O83" s="220"/>
      <c r="P83" s="220"/>
      <c r="Q83" s="220"/>
      <c r="R83" s="220"/>
    </row>
    <row r="84" spans="1:19" s="57" customFormat="1" ht="12.75">
      <c r="A84" s="87">
        <v>311</v>
      </c>
      <c r="B84" s="88"/>
      <c r="C84" s="89" t="s">
        <v>168</v>
      </c>
      <c r="D84" s="91"/>
      <c r="E84" s="91"/>
      <c r="F84" s="91"/>
      <c r="G84" s="90"/>
      <c r="H84" s="91"/>
      <c r="I84" s="91"/>
      <c r="J84" s="177">
        <v>5000</v>
      </c>
      <c r="K84" s="177">
        <v>21573.52</v>
      </c>
      <c r="L84" s="177">
        <v>0</v>
      </c>
      <c r="M84" s="221">
        <v>0</v>
      </c>
      <c r="N84" s="177">
        <v>0</v>
      </c>
      <c r="O84" s="222"/>
      <c r="P84" s="107"/>
      <c r="Q84" s="107"/>
      <c r="R84" s="107"/>
      <c r="S84" s="204"/>
    </row>
    <row r="85" spans="1:18" s="57" customFormat="1" ht="12.75">
      <c r="A85" s="150"/>
      <c r="B85" s="150"/>
      <c r="C85" s="150"/>
      <c r="D85" s="187"/>
      <c r="E85" s="187"/>
      <c r="F85" s="187"/>
      <c r="G85" s="188"/>
      <c r="H85" s="187"/>
      <c r="I85" s="187"/>
      <c r="J85" s="177"/>
      <c r="K85" s="177"/>
      <c r="L85" s="223"/>
      <c r="M85" s="224"/>
      <c r="N85" s="223"/>
      <c r="O85" s="207"/>
      <c r="P85" s="207"/>
      <c r="Q85" s="207"/>
      <c r="R85" s="107"/>
    </row>
    <row r="86" spans="1:18" s="57" customFormat="1" ht="12.75">
      <c r="A86" s="1270" t="s">
        <v>169</v>
      </c>
      <c r="B86" s="1270"/>
      <c r="C86" s="1270"/>
      <c r="D86" s="183"/>
      <c r="E86" s="145"/>
      <c r="F86" s="183"/>
      <c r="G86" s="145"/>
      <c r="H86" s="183"/>
      <c r="I86" s="145"/>
      <c r="J86" s="225">
        <f>SUM(J64,J82)</f>
        <v>454675</v>
      </c>
      <c r="K86" s="225">
        <f>SUM(K64,K82)</f>
        <v>541371.3099999999</v>
      </c>
      <c r="L86" s="225">
        <f>L64+L82</f>
        <v>559688</v>
      </c>
      <c r="M86" s="226">
        <f>SUM(M64,M82)</f>
        <v>558813</v>
      </c>
      <c r="N86" s="225">
        <f>SUM(N64,N82)</f>
        <v>458813</v>
      </c>
      <c r="O86" s="156"/>
      <c r="P86" s="156"/>
      <c r="Q86" s="156"/>
      <c r="R86" s="156"/>
    </row>
    <row r="87" spans="1:18" s="54" customFormat="1" ht="12.75">
      <c r="A87" s="227" t="s">
        <v>170</v>
      </c>
      <c r="B87" s="228"/>
      <c r="C87" s="229"/>
      <c r="D87" s="230"/>
      <c r="E87" s="230"/>
      <c r="F87" s="230"/>
      <c r="G87" s="230"/>
      <c r="H87" s="230"/>
      <c r="I87" s="231"/>
      <c r="J87" s="232">
        <f>SUM(J26,J86,J58)</f>
        <v>1291907</v>
      </c>
      <c r="K87" s="232">
        <f>SUM(K26,K86,K58)</f>
        <v>1370550.23</v>
      </c>
      <c r="L87" s="233">
        <f>L26+L58+L86</f>
        <v>1402752</v>
      </c>
      <c r="M87" s="234">
        <f>SUM(M26,M58,M86)</f>
        <v>1396877</v>
      </c>
      <c r="N87" s="232">
        <f>SUM(N26,N58,N86)</f>
        <v>1296877</v>
      </c>
      <c r="O87" s="95"/>
      <c r="P87" s="95"/>
      <c r="Q87" s="95"/>
      <c r="R87" s="95"/>
    </row>
    <row r="88" ht="12.75" customHeight="1">
      <c r="K88" s="235"/>
    </row>
    <row r="89" ht="12.75" customHeight="1" hidden="1"/>
    <row r="90" ht="12.75" customHeight="1" hidden="1"/>
    <row r="91" ht="12.75" customHeight="1" hidden="1"/>
    <row r="92" ht="12.75" customHeight="1"/>
    <row r="93" ht="12.75" customHeight="1"/>
    <row r="94" ht="12.75" customHeight="1"/>
    <row r="95" ht="12.75" customHeight="1">
      <c r="C95" s="60" t="s">
        <v>85</v>
      </c>
    </row>
    <row r="96" spans="11:18" ht="12.75" customHeight="1">
      <c r="K96" s="1267" t="s">
        <v>122</v>
      </c>
      <c r="L96" s="1267"/>
      <c r="M96" s="1267"/>
      <c r="N96" s="1267"/>
      <c r="O96" s="63"/>
      <c r="P96" s="63"/>
      <c r="Q96" s="63"/>
      <c r="R96" s="63"/>
    </row>
    <row r="97" ht="12.75" customHeight="1"/>
    <row r="98" spans="1:18" s="57" customFormat="1" ht="51" customHeight="1">
      <c r="A98" s="67" t="s">
        <v>85</v>
      </c>
      <c r="B98" s="236"/>
      <c r="C98" s="237"/>
      <c r="D98" s="238" t="s">
        <v>171</v>
      </c>
      <c r="E98" s="239" t="s">
        <v>172</v>
      </c>
      <c r="F98" s="238" t="s">
        <v>171</v>
      </c>
      <c r="G98" s="239" t="s">
        <v>172</v>
      </c>
      <c r="H98" s="238" t="s">
        <v>171</v>
      </c>
      <c r="I98" s="239" t="s">
        <v>172</v>
      </c>
      <c r="J98" s="72">
        <v>2011</v>
      </c>
      <c r="K98" s="72">
        <v>2012</v>
      </c>
      <c r="L98" s="240">
        <v>2013</v>
      </c>
      <c r="M98" s="74">
        <v>2014</v>
      </c>
      <c r="N98" s="72">
        <v>2015</v>
      </c>
      <c r="O98" s="75"/>
      <c r="P98" s="75"/>
      <c r="Q98" s="75"/>
      <c r="R98" s="76"/>
    </row>
    <row r="99" spans="1:18" ht="12.75">
      <c r="A99" s="99">
        <v>231</v>
      </c>
      <c r="B99" s="100"/>
      <c r="C99" s="241" t="s">
        <v>173</v>
      </c>
      <c r="D99" s="218">
        <v>0</v>
      </c>
      <c r="E99" s="218"/>
      <c r="F99" s="218">
        <v>0</v>
      </c>
      <c r="G99" s="218"/>
      <c r="H99" s="218">
        <v>0</v>
      </c>
      <c r="I99" s="218"/>
      <c r="J99" s="218">
        <v>100</v>
      </c>
      <c r="K99" s="218">
        <v>0</v>
      </c>
      <c r="L99" s="218">
        <v>0</v>
      </c>
      <c r="M99" s="117">
        <v>0</v>
      </c>
      <c r="N99" s="218">
        <v>0</v>
      </c>
      <c r="O99" s="220"/>
      <c r="P99" s="220"/>
      <c r="Q99" s="220"/>
      <c r="R99" s="220"/>
    </row>
    <row r="100" spans="1:18" ht="12.75">
      <c r="A100" s="140">
        <v>233</v>
      </c>
      <c r="B100" s="178"/>
      <c r="C100" s="242" t="s">
        <v>174</v>
      </c>
      <c r="D100" s="218">
        <v>3000</v>
      </c>
      <c r="E100" s="218"/>
      <c r="F100" s="218">
        <v>3000</v>
      </c>
      <c r="G100" s="218"/>
      <c r="H100" s="218">
        <v>3000</v>
      </c>
      <c r="I100" s="218"/>
      <c r="J100" s="218">
        <v>0</v>
      </c>
      <c r="K100" s="218">
        <v>3000</v>
      </c>
      <c r="L100" s="219">
        <v>0</v>
      </c>
      <c r="M100" s="243">
        <v>0</v>
      </c>
      <c r="N100" s="218">
        <v>0</v>
      </c>
      <c r="O100" s="220"/>
      <c r="P100" s="220"/>
      <c r="Q100" s="220"/>
      <c r="R100" s="220"/>
    </row>
    <row r="101" spans="1:18" ht="12.75">
      <c r="A101" s="1268" t="s">
        <v>150</v>
      </c>
      <c r="B101" s="1268"/>
      <c r="C101" s="1268"/>
      <c r="D101" s="244">
        <f>SUM(D99,D100)</f>
        <v>3000</v>
      </c>
      <c r="E101" s="244">
        <f>E99+E100</f>
        <v>0</v>
      </c>
      <c r="F101" s="244">
        <f>SUM(F99,F100)</f>
        <v>3000</v>
      </c>
      <c r="G101" s="244">
        <f>G99+G100</f>
        <v>0</v>
      </c>
      <c r="H101" s="244">
        <f>SUM(H99,H100)</f>
        <v>3000</v>
      </c>
      <c r="I101" s="244">
        <f>I99+I100</f>
        <v>0</v>
      </c>
      <c r="J101" s="244">
        <f>SUM(J99,J100)</f>
        <v>100</v>
      </c>
      <c r="K101" s="244">
        <f>SUM(K99,K100)</f>
        <v>3000</v>
      </c>
      <c r="L101" s="244">
        <f>L99+L100</f>
        <v>0</v>
      </c>
      <c r="M101" s="245">
        <v>0</v>
      </c>
      <c r="N101" s="244">
        <v>0</v>
      </c>
      <c r="O101" s="246"/>
      <c r="P101" s="246"/>
      <c r="Q101" s="246"/>
      <c r="R101" s="246"/>
    </row>
    <row r="102" spans="1:11" ht="12.75">
      <c r="A102" s="121"/>
      <c r="B102" s="121"/>
      <c r="C102" s="247"/>
      <c r="D102" s="122"/>
      <c r="E102" s="122"/>
      <c r="F102" s="122"/>
      <c r="G102" s="124"/>
      <c r="H102" s="122"/>
      <c r="I102" s="122"/>
      <c r="J102" s="122"/>
      <c r="K102" s="152"/>
    </row>
    <row r="103" spans="1:18" ht="15.75">
      <c r="A103" s="121"/>
      <c r="B103" s="121"/>
      <c r="C103" s="247"/>
      <c r="D103" s="122"/>
      <c r="E103" s="122"/>
      <c r="F103" s="122"/>
      <c r="G103" s="124"/>
      <c r="H103" s="122"/>
      <c r="I103" s="122"/>
      <c r="J103" s="122"/>
      <c r="K103" s="1267" t="s">
        <v>151</v>
      </c>
      <c r="L103" s="1267"/>
      <c r="M103" s="1267"/>
      <c r="N103" s="1267"/>
      <c r="O103" s="63"/>
      <c r="P103" s="63"/>
      <c r="Q103" s="63"/>
      <c r="R103" s="63"/>
    </row>
    <row r="104" spans="1:11" ht="12.75">
      <c r="A104" s="121"/>
      <c r="B104" s="121"/>
      <c r="C104" s="247"/>
      <c r="D104" s="122"/>
      <c r="E104" s="122"/>
      <c r="F104" s="122"/>
      <c r="G104" s="124"/>
      <c r="H104" s="122"/>
      <c r="I104" s="122"/>
      <c r="J104" s="122"/>
      <c r="K104" s="152"/>
    </row>
    <row r="105" spans="1:18" ht="38.25">
      <c r="A105" s="67" t="s">
        <v>85</v>
      </c>
      <c r="B105" s="236"/>
      <c r="C105" s="237"/>
      <c r="D105" s="238" t="s">
        <v>171</v>
      </c>
      <c r="E105" s="239" t="s">
        <v>172</v>
      </c>
      <c r="F105" s="238" t="s">
        <v>171</v>
      </c>
      <c r="G105" s="239" t="s">
        <v>172</v>
      </c>
      <c r="H105" s="238" t="s">
        <v>171</v>
      </c>
      <c r="I105" s="239" t="s">
        <v>172</v>
      </c>
      <c r="J105" s="71">
        <v>2011</v>
      </c>
      <c r="K105" s="72">
        <v>2012</v>
      </c>
      <c r="L105" s="240">
        <v>2013</v>
      </c>
      <c r="M105" s="74">
        <v>2014</v>
      </c>
      <c r="N105" s="72">
        <v>2015</v>
      </c>
      <c r="O105" s="154"/>
      <c r="P105" s="154"/>
      <c r="Q105" s="154"/>
      <c r="R105" s="155"/>
    </row>
    <row r="106" spans="1:18" ht="12.75">
      <c r="A106" s="99">
        <v>322</v>
      </c>
      <c r="B106" s="100"/>
      <c r="C106" s="241" t="s">
        <v>175</v>
      </c>
      <c r="D106" s="218">
        <v>0</v>
      </c>
      <c r="E106" s="218">
        <v>0</v>
      </c>
      <c r="F106" s="218">
        <v>0</v>
      </c>
      <c r="G106" s="218">
        <v>0</v>
      </c>
      <c r="H106" s="218">
        <v>0</v>
      </c>
      <c r="I106" s="218">
        <v>0</v>
      </c>
      <c r="J106" s="218">
        <v>0</v>
      </c>
      <c r="K106" s="218">
        <v>0</v>
      </c>
      <c r="L106" s="218">
        <v>0</v>
      </c>
      <c r="M106" s="248">
        <v>0</v>
      </c>
      <c r="N106" s="218">
        <v>0</v>
      </c>
      <c r="O106" s="220"/>
      <c r="P106" s="220"/>
      <c r="Q106" s="220"/>
      <c r="R106" s="220"/>
    </row>
    <row r="107" spans="1:20" ht="12.75">
      <c r="A107" s="99">
        <v>322</v>
      </c>
      <c r="B107" s="100"/>
      <c r="C107" s="241" t="s">
        <v>176</v>
      </c>
      <c r="D107" s="218">
        <v>0</v>
      </c>
      <c r="E107" s="218">
        <v>0</v>
      </c>
      <c r="F107" s="218">
        <v>0</v>
      </c>
      <c r="G107" s="218">
        <v>0</v>
      </c>
      <c r="H107" s="218">
        <v>0</v>
      </c>
      <c r="I107" s="218">
        <v>0</v>
      </c>
      <c r="J107" s="218">
        <v>179355</v>
      </c>
      <c r="K107" s="218">
        <v>0</v>
      </c>
      <c r="L107" s="219">
        <v>0</v>
      </c>
      <c r="M107" s="248">
        <v>0</v>
      </c>
      <c r="N107" s="218">
        <v>0</v>
      </c>
      <c r="O107" s="220"/>
      <c r="P107" s="220"/>
      <c r="Q107" s="220"/>
      <c r="R107" s="220"/>
      <c r="S107" s="249"/>
      <c r="T107" s="250"/>
    </row>
    <row r="108" spans="1:18" ht="12.75">
      <c r="A108" s="99">
        <v>322</v>
      </c>
      <c r="B108" s="100"/>
      <c r="C108" s="241" t="s">
        <v>91</v>
      </c>
      <c r="D108" s="218">
        <v>0</v>
      </c>
      <c r="E108" s="219">
        <v>0</v>
      </c>
      <c r="F108" s="218">
        <v>0</v>
      </c>
      <c r="G108" s="219">
        <v>0</v>
      </c>
      <c r="H108" s="218">
        <v>0</v>
      </c>
      <c r="I108" s="219">
        <v>0</v>
      </c>
      <c r="J108" s="218">
        <v>0</v>
      </c>
      <c r="K108" s="218">
        <v>0</v>
      </c>
      <c r="L108" s="251">
        <v>65000</v>
      </c>
      <c r="M108" s="248">
        <v>0</v>
      </c>
      <c r="N108" s="219">
        <v>0</v>
      </c>
      <c r="O108" s="220"/>
      <c r="P108" s="220"/>
      <c r="Q108" s="220"/>
      <c r="R108" s="220"/>
    </row>
    <row r="109" spans="1:18" ht="12.75">
      <c r="A109" s="99">
        <v>322</v>
      </c>
      <c r="B109" s="100"/>
      <c r="C109" s="241" t="s">
        <v>177</v>
      </c>
      <c r="D109" s="218">
        <v>179660.04</v>
      </c>
      <c r="E109" s="218">
        <v>179660.04</v>
      </c>
      <c r="F109" s="218">
        <v>179660.04</v>
      </c>
      <c r="G109" s="218">
        <v>179660.04</v>
      </c>
      <c r="H109" s="218">
        <v>179660.04</v>
      </c>
      <c r="I109" s="218">
        <v>179660.04</v>
      </c>
      <c r="J109" s="218">
        <v>489564</v>
      </c>
      <c r="K109" s="218">
        <v>179660.04</v>
      </c>
      <c r="L109" s="218">
        <v>0</v>
      </c>
      <c r="M109" s="248">
        <v>0</v>
      </c>
      <c r="N109" s="218">
        <v>0</v>
      </c>
      <c r="O109" s="220"/>
      <c r="P109" s="220"/>
      <c r="Q109" s="220"/>
      <c r="R109" s="220"/>
    </row>
    <row r="110" spans="1:18" ht="12.75">
      <c r="A110" s="99">
        <v>332</v>
      </c>
      <c r="B110" s="100"/>
      <c r="C110" s="241" t="s">
        <v>178</v>
      </c>
      <c r="D110" s="218">
        <v>200000</v>
      </c>
      <c r="E110" s="219">
        <v>119317.84</v>
      </c>
      <c r="F110" s="218">
        <v>200000</v>
      </c>
      <c r="G110" s="219">
        <v>119317.84</v>
      </c>
      <c r="H110" s="218">
        <v>200000</v>
      </c>
      <c r="I110" s="219">
        <v>119317.84</v>
      </c>
      <c r="J110" s="218">
        <v>0</v>
      </c>
      <c r="K110" s="218">
        <v>200000</v>
      </c>
      <c r="L110" s="219">
        <v>100000</v>
      </c>
      <c r="M110" s="248">
        <v>0</v>
      </c>
      <c r="N110" s="218">
        <v>0</v>
      </c>
      <c r="O110" s="220"/>
      <c r="P110" s="220"/>
      <c r="Q110" s="220"/>
      <c r="R110" s="220"/>
    </row>
    <row r="111" spans="1:18" ht="12.75">
      <c r="A111" s="99">
        <v>332</v>
      </c>
      <c r="B111" s="100"/>
      <c r="C111" s="101" t="s">
        <v>179</v>
      </c>
      <c r="D111" s="218">
        <v>34114.85</v>
      </c>
      <c r="E111" s="251">
        <v>34114.85</v>
      </c>
      <c r="F111" s="218">
        <v>34114.85</v>
      </c>
      <c r="G111" s="251">
        <v>34114.85</v>
      </c>
      <c r="H111" s="218">
        <v>34114.85</v>
      </c>
      <c r="I111" s="251">
        <v>34114.85</v>
      </c>
      <c r="J111" s="218">
        <v>51846</v>
      </c>
      <c r="K111" s="218">
        <v>34114.85</v>
      </c>
      <c r="L111" s="252">
        <v>0</v>
      </c>
      <c r="M111" s="117">
        <v>0</v>
      </c>
      <c r="N111" s="219">
        <v>0</v>
      </c>
      <c r="O111" s="220"/>
      <c r="P111" s="220"/>
      <c r="Q111" s="220"/>
      <c r="R111" s="220"/>
    </row>
    <row r="112" spans="1:18" ht="12.75">
      <c r="A112" s="99">
        <v>322</v>
      </c>
      <c r="B112" s="100"/>
      <c r="C112" s="101" t="s">
        <v>180</v>
      </c>
      <c r="D112" s="218">
        <v>5000</v>
      </c>
      <c r="E112" s="218">
        <v>5000</v>
      </c>
      <c r="F112" s="218">
        <v>5000</v>
      </c>
      <c r="G112" s="218">
        <v>5000</v>
      </c>
      <c r="H112" s="218">
        <v>5000</v>
      </c>
      <c r="I112" s="218">
        <v>5000</v>
      </c>
      <c r="J112" s="218">
        <v>0</v>
      </c>
      <c r="K112" s="218">
        <v>5000</v>
      </c>
      <c r="L112" s="219">
        <v>0</v>
      </c>
      <c r="M112" s="217">
        <v>0</v>
      </c>
      <c r="N112" s="218">
        <v>0</v>
      </c>
      <c r="O112" s="220"/>
      <c r="P112" s="220"/>
      <c r="Q112" s="220"/>
      <c r="R112" s="220"/>
    </row>
    <row r="113" spans="1:18" ht="12.75">
      <c r="A113" s="99">
        <v>332</v>
      </c>
      <c r="B113" s="100"/>
      <c r="C113" s="101" t="s">
        <v>181</v>
      </c>
      <c r="D113" s="218">
        <v>0</v>
      </c>
      <c r="E113" s="218"/>
      <c r="F113" s="218">
        <v>0</v>
      </c>
      <c r="G113" s="218"/>
      <c r="H113" s="218">
        <v>0</v>
      </c>
      <c r="I113" s="218"/>
      <c r="J113" s="218">
        <v>0</v>
      </c>
      <c r="K113" s="218">
        <v>0</v>
      </c>
      <c r="L113" s="219">
        <v>475000</v>
      </c>
      <c r="M113" s="217">
        <v>0</v>
      </c>
      <c r="N113" s="218">
        <v>0</v>
      </c>
      <c r="O113" s="220"/>
      <c r="P113" s="220"/>
      <c r="Q113" s="220"/>
      <c r="R113" s="220"/>
    </row>
    <row r="114" spans="1:18" ht="12.75">
      <c r="A114" s="99">
        <v>332</v>
      </c>
      <c r="B114" s="100"/>
      <c r="C114" s="101" t="s">
        <v>182</v>
      </c>
      <c r="D114" s="218">
        <v>49875</v>
      </c>
      <c r="E114" s="218"/>
      <c r="F114" s="218">
        <v>49875</v>
      </c>
      <c r="G114" s="218"/>
      <c r="H114" s="218">
        <v>49875</v>
      </c>
      <c r="I114" s="218"/>
      <c r="J114" s="218">
        <v>0</v>
      </c>
      <c r="K114" s="218">
        <v>0</v>
      </c>
      <c r="L114" s="219">
        <v>0</v>
      </c>
      <c r="M114" s="217">
        <v>0</v>
      </c>
      <c r="N114" s="218">
        <v>0</v>
      </c>
      <c r="O114" s="220"/>
      <c r="P114" s="220"/>
      <c r="Q114" s="220"/>
      <c r="R114" s="220"/>
    </row>
    <row r="115" spans="1:18" ht="12.75">
      <c r="A115" s="99">
        <v>332</v>
      </c>
      <c r="B115" s="100"/>
      <c r="C115" s="101" t="s">
        <v>183</v>
      </c>
      <c r="D115" s="218">
        <v>0</v>
      </c>
      <c r="E115" s="219"/>
      <c r="F115" s="218">
        <v>0</v>
      </c>
      <c r="G115" s="219"/>
      <c r="H115" s="218">
        <v>0</v>
      </c>
      <c r="I115" s="219"/>
      <c r="J115" s="218">
        <v>0</v>
      </c>
      <c r="K115" s="218">
        <v>0</v>
      </c>
      <c r="L115" s="219">
        <v>0</v>
      </c>
      <c r="M115" s="217">
        <v>0</v>
      </c>
      <c r="N115" s="218">
        <v>0</v>
      </c>
      <c r="O115" s="220"/>
      <c r="P115" s="220"/>
      <c r="Q115" s="220"/>
      <c r="R115" s="220"/>
    </row>
    <row r="116" spans="1:18" ht="12.75">
      <c r="A116" s="99">
        <v>332</v>
      </c>
      <c r="B116" s="100"/>
      <c r="C116" s="101"/>
      <c r="D116" s="218"/>
      <c r="E116" s="251"/>
      <c r="F116" s="218"/>
      <c r="G116" s="251"/>
      <c r="H116" s="218"/>
      <c r="I116" s="251"/>
      <c r="J116" s="218"/>
      <c r="K116" s="218"/>
      <c r="L116" s="251"/>
      <c r="M116" s="253"/>
      <c r="N116" s="218"/>
      <c r="O116" s="220"/>
      <c r="P116" s="220"/>
      <c r="Q116" s="220"/>
      <c r="R116" s="220"/>
    </row>
    <row r="117" spans="1:18" ht="12.75">
      <c r="A117" s="1271" t="s">
        <v>169</v>
      </c>
      <c r="B117" s="1271"/>
      <c r="C117" s="1271"/>
      <c r="D117" s="254">
        <f>D109+D110+D111+D112+D114</f>
        <v>468649.89</v>
      </c>
      <c r="E117" s="254">
        <f>SUM(E106:E116)</f>
        <v>338092.73</v>
      </c>
      <c r="F117" s="254">
        <f>F109+F110+F111+F112+F114</f>
        <v>468649.89</v>
      </c>
      <c r="G117" s="254">
        <f>SUM(G106:G116)</f>
        <v>338092.73</v>
      </c>
      <c r="H117" s="254">
        <f>H109+H110+H111+H112+H114</f>
        <v>468649.89</v>
      </c>
      <c r="I117" s="254">
        <f>SUM(I106:I116)</f>
        <v>338092.73</v>
      </c>
      <c r="J117" s="254">
        <f>J109+J110+J111+J112+J114+J107</f>
        <v>720765</v>
      </c>
      <c r="K117" s="254">
        <f>K109+K110+K111+K112+K114</f>
        <v>418774.89</v>
      </c>
      <c r="L117" s="254">
        <f>L106+L107+L108+L109+L110+L111+L112+L113+L114+L115</f>
        <v>640000</v>
      </c>
      <c r="M117" s="226">
        <f>SUM(M106,M107,M108,M109,M110,M111,M112,M113,M114,M115)</f>
        <v>0</v>
      </c>
      <c r="N117" s="254">
        <v>0</v>
      </c>
      <c r="O117" s="246"/>
      <c r="P117" s="246"/>
      <c r="Q117" s="246"/>
      <c r="R117" s="246"/>
    </row>
    <row r="118" spans="1:18" ht="12.75">
      <c r="A118" s="227" t="s">
        <v>184</v>
      </c>
      <c r="B118" s="255"/>
      <c r="C118" s="229"/>
      <c r="D118" s="256">
        <f>SUM(D101,D117)</f>
        <v>471649.89</v>
      </c>
      <c r="E118" s="256">
        <f>E117+E101</f>
        <v>338092.73</v>
      </c>
      <c r="F118" s="256">
        <f>SUM(F101,F117)</f>
        <v>471649.89</v>
      </c>
      <c r="G118" s="256">
        <f>G117+G101</f>
        <v>338092.73</v>
      </c>
      <c r="H118" s="256">
        <f>SUM(H101,H117)</f>
        <v>471649.89</v>
      </c>
      <c r="I118" s="256">
        <f>I117+I101</f>
        <v>338092.73</v>
      </c>
      <c r="J118" s="256">
        <f>SUM(J101,J117)</f>
        <v>720865</v>
      </c>
      <c r="K118" s="256">
        <f>SUM(K101,K117)</f>
        <v>421774.89</v>
      </c>
      <c r="L118" s="256">
        <f>L101+L117</f>
        <v>640000</v>
      </c>
      <c r="M118" s="234">
        <f>SUM(M101,M117)</f>
        <v>0</v>
      </c>
      <c r="N118" s="256">
        <v>0</v>
      </c>
      <c r="O118" s="257"/>
      <c r="P118" s="257"/>
      <c r="Q118" s="257"/>
      <c r="R118" s="257"/>
    </row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9" ht="15.75">
      <c r="C129" s="60" t="s">
        <v>96</v>
      </c>
    </row>
    <row r="130" ht="15.75">
      <c r="C130" s="258"/>
    </row>
    <row r="131" spans="3:18" ht="15.75">
      <c r="C131" s="258"/>
      <c r="H131" s="259" t="s">
        <v>185</v>
      </c>
      <c r="I131" s="259"/>
      <c r="J131" s="259"/>
      <c r="K131" s="1273" t="s">
        <v>185</v>
      </c>
      <c r="L131" s="1273"/>
      <c r="M131" s="1273"/>
      <c r="N131" s="1273"/>
      <c r="O131" s="260"/>
      <c r="P131" s="260"/>
      <c r="Q131" s="260"/>
      <c r="R131" s="260"/>
    </row>
    <row r="133" spans="1:18" ht="51" customHeight="1">
      <c r="A133" s="67" t="s">
        <v>96</v>
      </c>
      <c r="B133" s="236"/>
      <c r="C133" s="237"/>
      <c r="D133" s="238" t="s">
        <v>171</v>
      </c>
      <c r="E133" s="239" t="s">
        <v>172</v>
      </c>
      <c r="F133" s="238" t="s">
        <v>171</v>
      </c>
      <c r="G133" s="239" t="s">
        <v>172</v>
      </c>
      <c r="H133" s="238" t="s">
        <v>171</v>
      </c>
      <c r="I133" s="239" t="s">
        <v>172</v>
      </c>
      <c r="J133" s="71">
        <v>2011</v>
      </c>
      <c r="K133" s="72">
        <v>2012</v>
      </c>
      <c r="L133" s="240">
        <v>2013</v>
      </c>
      <c r="M133" s="74">
        <v>2014</v>
      </c>
      <c r="N133" s="72">
        <v>2015</v>
      </c>
      <c r="O133" s="154"/>
      <c r="P133" s="154"/>
      <c r="Q133" s="154"/>
      <c r="R133" s="155"/>
    </row>
    <row r="134" spans="1:18" ht="12.75">
      <c r="A134" s="99">
        <v>453</v>
      </c>
      <c r="B134" s="100"/>
      <c r="C134" s="101" t="s">
        <v>186</v>
      </c>
      <c r="D134" s="219"/>
      <c r="E134" s="261"/>
      <c r="F134" s="219"/>
      <c r="G134" s="261"/>
      <c r="H134" s="219"/>
      <c r="I134" s="261"/>
      <c r="J134" s="219"/>
      <c r="K134" s="219"/>
      <c r="L134" s="219">
        <v>0</v>
      </c>
      <c r="M134" s="117">
        <v>33987</v>
      </c>
      <c r="N134" s="219">
        <v>0</v>
      </c>
      <c r="O134" s="220"/>
      <c r="P134" s="220"/>
      <c r="Q134" s="220"/>
      <c r="R134" s="220"/>
    </row>
    <row r="135" spans="1:18" ht="12.75">
      <c r="A135" s="99">
        <v>454</v>
      </c>
      <c r="B135" s="100" t="s">
        <v>106</v>
      </c>
      <c r="C135" s="101" t="s">
        <v>187</v>
      </c>
      <c r="D135" s="219"/>
      <c r="E135" s="262"/>
      <c r="F135" s="219"/>
      <c r="G135" s="262"/>
      <c r="H135" s="219"/>
      <c r="I135" s="262"/>
      <c r="J135" s="219"/>
      <c r="K135" s="219"/>
      <c r="L135" s="252">
        <v>0</v>
      </c>
      <c r="M135" s="117">
        <v>0</v>
      </c>
      <c r="N135" s="252">
        <v>0</v>
      </c>
      <c r="O135" s="220"/>
      <c r="P135" s="220"/>
      <c r="Q135" s="220"/>
      <c r="R135" s="220"/>
    </row>
    <row r="136" spans="1:18" ht="12.75">
      <c r="A136" s="140">
        <v>454</v>
      </c>
      <c r="B136" s="178" t="s">
        <v>109</v>
      </c>
      <c r="C136" s="263" t="s">
        <v>188</v>
      </c>
      <c r="D136" s="219"/>
      <c r="E136" s="264"/>
      <c r="F136" s="219"/>
      <c r="G136" s="264"/>
      <c r="H136" s="219"/>
      <c r="I136" s="264"/>
      <c r="J136" s="219"/>
      <c r="K136" s="219"/>
      <c r="L136" s="251">
        <v>0</v>
      </c>
      <c r="M136" s="144">
        <v>0</v>
      </c>
      <c r="N136" s="251">
        <v>0</v>
      </c>
      <c r="O136" s="220"/>
      <c r="P136" s="220"/>
      <c r="Q136" s="220"/>
      <c r="R136" s="220"/>
    </row>
    <row r="137" spans="1:18" ht="12.75">
      <c r="A137" s="265" t="s">
        <v>189</v>
      </c>
      <c r="B137" s="266"/>
      <c r="C137" s="267"/>
      <c r="D137" s="244">
        <f>SUM(D134,D135,D136)</f>
        <v>0</v>
      </c>
      <c r="E137" s="268"/>
      <c r="F137" s="244">
        <f>SUM(F134,F135,F136)</f>
        <v>0</v>
      </c>
      <c r="G137" s="268"/>
      <c r="H137" s="244">
        <f>SUM(H134,H135,H136)</f>
        <v>0</v>
      </c>
      <c r="I137" s="268"/>
      <c r="J137" s="244">
        <f>SUM(J134,J135,J136)</f>
        <v>0</v>
      </c>
      <c r="K137" s="244">
        <f>SUM(K134,K135,K136)</f>
        <v>0</v>
      </c>
      <c r="L137" s="244">
        <f>L134+L135+L136</f>
        <v>0</v>
      </c>
      <c r="M137" s="245">
        <f>SUM(M134,M135,M136)</f>
        <v>33987</v>
      </c>
      <c r="N137" s="244">
        <f>SUM(N134,N135,N136)</f>
        <v>0</v>
      </c>
      <c r="O137" s="246"/>
      <c r="P137" s="246"/>
      <c r="Q137" s="246"/>
      <c r="R137" s="246"/>
    </row>
    <row r="138" spans="1:11" ht="12.75">
      <c r="A138" s="121"/>
      <c r="B138" s="121"/>
      <c r="C138" s="121"/>
      <c r="D138" s="247"/>
      <c r="E138" s="247"/>
      <c r="F138" s="247"/>
      <c r="G138" s="269"/>
      <c r="H138" s="247"/>
      <c r="I138" s="247"/>
      <c r="J138" s="247"/>
      <c r="K138" s="152"/>
    </row>
    <row r="139" spans="1:18" ht="12.75">
      <c r="A139" s="121"/>
      <c r="B139" s="121"/>
      <c r="C139" s="121"/>
      <c r="D139" s="1274" t="s">
        <v>190</v>
      </c>
      <c r="E139" s="1274"/>
      <c r="F139" s="1274"/>
      <c r="G139" s="1274"/>
      <c r="H139" s="1274"/>
      <c r="I139" s="1274"/>
      <c r="J139" s="1274"/>
      <c r="K139" s="1274"/>
      <c r="L139" s="1274"/>
      <c r="M139" s="1274"/>
      <c r="N139" s="1274"/>
      <c r="O139" s="270"/>
      <c r="P139" s="270"/>
      <c r="Q139" s="270"/>
      <c r="R139" s="271"/>
    </row>
    <row r="140" spans="1:11" ht="12.75">
      <c r="A140" s="121"/>
      <c r="B140" s="121"/>
      <c r="C140" s="121"/>
      <c r="D140" s="247"/>
      <c r="E140" s="247"/>
      <c r="F140" s="247"/>
      <c r="G140" s="269"/>
      <c r="H140" s="247"/>
      <c r="I140" s="247"/>
      <c r="J140" s="247"/>
      <c r="K140" s="152"/>
    </row>
    <row r="141" spans="1:18" ht="38.25">
      <c r="A141" s="67" t="s">
        <v>96</v>
      </c>
      <c r="B141" s="236"/>
      <c r="C141" s="237"/>
      <c r="D141" s="238" t="s">
        <v>171</v>
      </c>
      <c r="E141" s="239" t="s">
        <v>172</v>
      </c>
      <c r="F141" s="238" t="s">
        <v>171</v>
      </c>
      <c r="G141" s="239" t="s">
        <v>172</v>
      </c>
      <c r="H141" s="238" t="s">
        <v>171</v>
      </c>
      <c r="I141" s="239" t="s">
        <v>172</v>
      </c>
      <c r="J141" s="71">
        <v>2011</v>
      </c>
      <c r="K141" s="72">
        <v>2012</v>
      </c>
      <c r="L141" s="191">
        <v>2013</v>
      </c>
      <c r="M141" s="272">
        <v>2014</v>
      </c>
      <c r="N141" s="72">
        <v>2015</v>
      </c>
      <c r="O141" s="154"/>
      <c r="P141" s="154"/>
      <c r="Q141" s="154"/>
      <c r="R141" s="155"/>
    </row>
    <row r="142" spans="1:18" ht="12.75">
      <c r="A142" s="99">
        <v>513</v>
      </c>
      <c r="B142" s="100" t="s">
        <v>109</v>
      </c>
      <c r="C142" s="101" t="s">
        <v>97</v>
      </c>
      <c r="D142" s="219">
        <v>310000</v>
      </c>
      <c r="E142" s="273">
        <v>240110.47</v>
      </c>
      <c r="F142" s="219">
        <v>310000</v>
      </c>
      <c r="G142" s="273">
        <v>240110.47</v>
      </c>
      <c r="H142" s="219">
        <v>310000</v>
      </c>
      <c r="I142" s="273">
        <v>240110.47</v>
      </c>
      <c r="J142" s="219">
        <v>246629</v>
      </c>
      <c r="K142" s="219">
        <v>310000</v>
      </c>
      <c r="L142" s="251">
        <v>0</v>
      </c>
      <c r="M142" s="117">
        <v>0</v>
      </c>
      <c r="N142" s="273">
        <v>0</v>
      </c>
      <c r="O142" s="220"/>
      <c r="P142" s="220"/>
      <c r="Q142" s="220"/>
      <c r="R142" s="220"/>
    </row>
    <row r="143" spans="1:18" ht="12.75">
      <c r="A143" s="140">
        <v>514</v>
      </c>
      <c r="B143" s="178" t="s">
        <v>109</v>
      </c>
      <c r="C143" s="263" t="s">
        <v>191</v>
      </c>
      <c r="D143" s="251"/>
      <c r="E143" s="274">
        <v>0</v>
      </c>
      <c r="F143" s="251"/>
      <c r="G143" s="274">
        <v>0</v>
      </c>
      <c r="H143" s="251"/>
      <c r="I143" s="274">
        <v>0</v>
      </c>
      <c r="J143" s="251">
        <v>0</v>
      </c>
      <c r="K143" s="251"/>
      <c r="L143" s="219">
        <v>0</v>
      </c>
      <c r="M143" s="275">
        <v>0</v>
      </c>
      <c r="N143" s="251">
        <v>0</v>
      </c>
      <c r="O143" s="220"/>
      <c r="P143" s="220"/>
      <c r="Q143" s="220"/>
      <c r="R143" s="220"/>
    </row>
    <row r="144" spans="1:18" ht="12.75">
      <c r="A144" s="265" t="s">
        <v>192</v>
      </c>
      <c r="B144" s="266"/>
      <c r="C144" s="267"/>
      <c r="D144" s="254">
        <f>SUM(D142,D143)</f>
        <v>310000</v>
      </c>
      <c r="E144" s="254">
        <f>E142+E143</f>
        <v>240110.47</v>
      </c>
      <c r="F144" s="254">
        <f>SUM(F142,F143)</f>
        <v>310000</v>
      </c>
      <c r="G144" s="254">
        <f>G142+G143</f>
        <v>240110.47</v>
      </c>
      <c r="H144" s="254">
        <f>SUM(H142,H143)</f>
        <v>310000</v>
      </c>
      <c r="I144" s="254">
        <f>I142+I143</f>
        <v>240110.47</v>
      </c>
      <c r="J144" s="254">
        <f>SUM(J142,J143)</f>
        <v>246629</v>
      </c>
      <c r="K144" s="254">
        <f>SUM(K142,K143)</f>
        <v>310000</v>
      </c>
      <c r="L144" s="254">
        <f>L142+L143</f>
        <v>0</v>
      </c>
      <c r="M144" s="245">
        <v>0</v>
      </c>
      <c r="N144" s="254">
        <v>0</v>
      </c>
      <c r="O144" s="246"/>
      <c r="P144" s="246"/>
      <c r="Q144" s="246"/>
      <c r="R144" s="246"/>
    </row>
    <row r="145" spans="1:18" ht="12.75">
      <c r="A145" s="227" t="s">
        <v>96</v>
      </c>
      <c r="B145" s="255"/>
      <c r="C145" s="229"/>
      <c r="D145" s="256">
        <f>SUM(D137,D144)</f>
        <v>310000</v>
      </c>
      <c r="E145" s="256">
        <f>E137+E144</f>
        <v>240110.47</v>
      </c>
      <c r="F145" s="256">
        <f>SUM(F137,F144)</f>
        <v>310000</v>
      </c>
      <c r="G145" s="256">
        <f>G137+G144</f>
        <v>240110.47</v>
      </c>
      <c r="H145" s="256">
        <f>SUM(H137,H144)</f>
        <v>310000</v>
      </c>
      <c r="I145" s="256">
        <f>I137+I144</f>
        <v>240110.47</v>
      </c>
      <c r="J145" s="256">
        <f>SUM(J137,J144)</f>
        <v>246629</v>
      </c>
      <c r="K145" s="256">
        <f>SUM(K137,K144)</f>
        <v>310000</v>
      </c>
      <c r="L145" s="256">
        <f>L137+L144</f>
        <v>0</v>
      </c>
      <c r="M145" s="234">
        <f>SUM(M137,M144)</f>
        <v>33987</v>
      </c>
      <c r="N145" s="256">
        <v>0</v>
      </c>
      <c r="O145" s="257"/>
      <c r="P145" s="257"/>
      <c r="Q145" s="257"/>
      <c r="R145" s="257"/>
    </row>
    <row r="146" spans="1:14" ht="12.75">
      <c r="A146" s="270"/>
      <c r="B146" s="57"/>
      <c r="C146" s="270"/>
      <c r="D146" s="270"/>
      <c r="E146" s="276"/>
      <c r="F146" s="270"/>
      <c r="G146" s="270"/>
      <c r="H146" s="276"/>
      <c r="I146" s="276"/>
      <c r="J146" s="276"/>
      <c r="K146" s="277"/>
      <c r="L146" s="57"/>
      <c r="M146" s="57"/>
      <c r="N146" s="203"/>
    </row>
    <row r="147" spans="1:14" ht="12.75">
      <c r="A147" s="270"/>
      <c r="B147" s="57"/>
      <c r="C147" s="270"/>
      <c r="D147" s="270"/>
      <c r="E147" s="276"/>
      <c r="F147" s="270"/>
      <c r="G147" s="270"/>
      <c r="H147" s="276"/>
      <c r="I147" s="276"/>
      <c r="J147" s="276"/>
      <c r="K147" s="277"/>
      <c r="L147" s="57"/>
      <c r="M147" s="57"/>
      <c r="N147" s="203"/>
    </row>
    <row r="148" spans="1:14" ht="12.75">
      <c r="A148" s="270"/>
      <c r="B148" s="57"/>
      <c r="C148" s="270"/>
      <c r="D148" s="270"/>
      <c r="E148" s="276"/>
      <c r="F148" s="270"/>
      <c r="G148" s="270"/>
      <c r="H148" s="276"/>
      <c r="I148" s="276"/>
      <c r="J148" s="276"/>
      <c r="K148" s="277"/>
      <c r="L148" s="57"/>
      <c r="M148" s="57"/>
      <c r="N148" s="203"/>
    </row>
    <row r="149" spans="1:11" ht="12.75">
      <c r="A149" s="121"/>
      <c r="B149" s="121"/>
      <c r="C149" s="121"/>
      <c r="D149" s="121"/>
      <c r="E149" s="121"/>
      <c r="F149" s="121"/>
      <c r="G149" s="278"/>
      <c r="H149" s="121"/>
      <c r="I149" s="121"/>
      <c r="J149" s="121"/>
      <c r="K149" s="152"/>
    </row>
    <row r="150" spans="1:12" ht="15.75">
      <c r="A150" s="121"/>
      <c r="B150" s="121"/>
      <c r="C150" s="60" t="s">
        <v>193</v>
      </c>
      <c r="D150" s="279"/>
      <c r="E150" s="121"/>
      <c r="F150" s="121"/>
      <c r="G150" s="278"/>
      <c r="H150" s="121"/>
      <c r="I150" s="121"/>
      <c r="J150" s="1017"/>
      <c r="K150" s="280"/>
      <c r="L150" s="281"/>
    </row>
    <row r="151" spans="1:11" ht="12.75">
      <c r="A151" s="121"/>
      <c r="B151" s="121"/>
      <c r="C151" s="121"/>
      <c r="D151" s="121"/>
      <c r="E151" s="121"/>
      <c r="F151" s="121"/>
      <c r="G151" s="278"/>
      <c r="H151" s="121"/>
      <c r="I151" s="121"/>
      <c r="J151" s="121"/>
      <c r="K151" s="152"/>
    </row>
    <row r="152" spans="1:18" ht="38.25">
      <c r="A152" s="67"/>
      <c r="B152" s="236"/>
      <c r="C152" s="237"/>
      <c r="D152" s="238" t="s">
        <v>171</v>
      </c>
      <c r="E152" s="239" t="s">
        <v>172</v>
      </c>
      <c r="F152" s="238" t="s">
        <v>171</v>
      </c>
      <c r="G152" s="239" t="s">
        <v>172</v>
      </c>
      <c r="H152" s="238" t="s">
        <v>171</v>
      </c>
      <c r="I152" s="239" t="s">
        <v>172</v>
      </c>
      <c r="J152" s="71">
        <v>2011</v>
      </c>
      <c r="K152" s="72">
        <v>2012</v>
      </c>
      <c r="L152" s="240">
        <v>2013</v>
      </c>
      <c r="M152" s="74">
        <v>2014</v>
      </c>
      <c r="N152" s="72">
        <v>2015</v>
      </c>
      <c r="O152" s="154"/>
      <c r="P152" s="154"/>
      <c r="Q152" s="154"/>
      <c r="R152" s="155"/>
    </row>
    <row r="153" spans="1:18" ht="12.75">
      <c r="A153" s="1272" t="s">
        <v>194</v>
      </c>
      <c r="B153" s="1272"/>
      <c r="C153" s="1272"/>
      <c r="D153" s="218"/>
      <c r="E153" s="282"/>
      <c r="F153" s="218"/>
      <c r="G153" s="282"/>
      <c r="H153" s="218"/>
      <c r="I153" s="282"/>
      <c r="J153" s="218">
        <v>0</v>
      </c>
      <c r="K153" s="218">
        <v>0</v>
      </c>
      <c r="L153" s="218">
        <v>0</v>
      </c>
      <c r="M153" s="248">
        <v>0</v>
      </c>
      <c r="N153" s="218">
        <v>0</v>
      </c>
      <c r="O153" s="220"/>
      <c r="P153" s="220"/>
      <c r="Q153" s="220"/>
      <c r="R153" s="220"/>
    </row>
    <row r="154" spans="1:18" ht="12.75">
      <c r="A154" s="1272" t="s">
        <v>195</v>
      </c>
      <c r="B154" s="1272"/>
      <c r="C154" s="1272"/>
      <c r="D154" s="218"/>
      <c r="E154" s="282"/>
      <c r="F154" s="218"/>
      <c r="G154" s="282"/>
      <c r="H154" s="218"/>
      <c r="I154" s="282"/>
      <c r="J154" s="218">
        <v>0</v>
      </c>
      <c r="K154" s="218">
        <v>0</v>
      </c>
      <c r="L154" s="219">
        <v>0</v>
      </c>
      <c r="M154" s="248">
        <v>0</v>
      </c>
      <c r="N154" s="218">
        <v>0</v>
      </c>
      <c r="O154" s="220"/>
      <c r="P154" s="220"/>
      <c r="Q154" s="220"/>
      <c r="R154" s="220"/>
    </row>
    <row r="155" spans="1:18" ht="12.75">
      <c r="A155" s="1272" t="s">
        <v>196</v>
      </c>
      <c r="B155" s="1272"/>
      <c r="C155" s="1272"/>
      <c r="D155" s="218"/>
      <c r="E155" s="282"/>
      <c r="F155" s="218"/>
      <c r="G155" s="282"/>
      <c r="H155" s="218"/>
      <c r="I155" s="282"/>
      <c r="J155" s="218">
        <v>0</v>
      </c>
      <c r="K155" s="218">
        <v>0</v>
      </c>
      <c r="L155" s="219">
        <v>0</v>
      </c>
      <c r="M155" s="248">
        <v>0</v>
      </c>
      <c r="N155" s="218">
        <v>0</v>
      </c>
      <c r="O155" s="220"/>
      <c r="P155" s="220"/>
      <c r="Q155" s="220"/>
      <c r="R155" s="220"/>
    </row>
    <row r="156" spans="1:18" ht="12.75">
      <c r="A156" s="227" t="s">
        <v>193</v>
      </c>
      <c r="B156" s="255"/>
      <c r="C156" s="229"/>
      <c r="D156" s="256">
        <f>SUM(D153,D154,D155)</f>
        <v>0</v>
      </c>
      <c r="E156" s="283"/>
      <c r="F156" s="256">
        <f>SUM(F153,F154,F155)</f>
        <v>0</v>
      </c>
      <c r="G156" s="283"/>
      <c r="H156" s="256">
        <f>SUM(H153,H154,H155)</f>
        <v>0</v>
      </c>
      <c r="I156" s="283"/>
      <c r="J156" s="256">
        <f>SUM(J153,J154,J155)</f>
        <v>0</v>
      </c>
      <c r="K156" s="256">
        <f>SUM(K153,K154,K155)</f>
        <v>0</v>
      </c>
      <c r="L156" s="256">
        <f>L153+L154+L155</f>
        <v>0</v>
      </c>
      <c r="M156" s="234">
        <v>0</v>
      </c>
      <c r="N156" s="284">
        <v>0</v>
      </c>
      <c r="O156" s="257"/>
      <c r="P156" s="257"/>
      <c r="Q156" s="257"/>
      <c r="R156" s="257"/>
    </row>
    <row r="157" spans="1:11" ht="12.75">
      <c r="A157" s="121"/>
      <c r="B157" s="121"/>
      <c r="C157" s="121"/>
      <c r="D157" s="121"/>
      <c r="E157" s="121"/>
      <c r="F157" s="121"/>
      <c r="G157" s="278"/>
      <c r="H157" s="121"/>
      <c r="I157" s="121"/>
      <c r="J157" s="121"/>
      <c r="K157" s="152"/>
    </row>
    <row r="158" spans="1:11" ht="12.75">
      <c r="A158" s="121"/>
      <c r="B158" s="121"/>
      <c r="C158" s="121"/>
      <c r="D158" s="121"/>
      <c r="E158" s="121"/>
      <c r="F158" s="121"/>
      <c r="G158" s="278"/>
      <c r="H158" s="121"/>
      <c r="I158" s="121"/>
      <c r="J158" s="121"/>
      <c r="K158" s="152"/>
    </row>
    <row r="159" spans="1:11" ht="12.75">
      <c r="A159" s="121"/>
      <c r="B159" s="121"/>
      <c r="C159" s="121"/>
      <c r="D159" s="121"/>
      <c r="E159" s="121"/>
      <c r="F159" s="121"/>
      <c r="G159" s="278"/>
      <c r="H159" s="121"/>
      <c r="I159" s="121"/>
      <c r="J159" s="121"/>
      <c r="K159" s="152"/>
    </row>
    <row r="160" spans="1:11" ht="12.75">
      <c r="A160" s="121"/>
      <c r="B160" s="121"/>
      <c r="C160" s="121"/>
      <c r="D160" s="121"/>
      <c r="E160" s="121"/>
      <c r="F160" s="121"/>
      <c r="G160" s="278"/>
      <c r="H160" s="121"/>
      <c r="I160" s="121"/>
      <c r="J160" s="121"/>
      <c r="K160" s="152"/>
    </row>
    <row r="161" spans="1:11" ht="12.75">
      <c r="A161" s="121"/>
      <c r="B161" s="121"/>
      <c r="C161" s="121"/>
      <c r="D161" s="121"/>
      <c r="E161" s="121"/>
      <c r="F161" s="121"/>
      <c r="G161" s="278"/>
      <c r="H161" s="121"/>
      <c r="I161" s="121"/>
      <c r="J161" s="121"/>
      <c r="K161" s="152"/>
    </row>
    <row r="162" spans="1:11" ht="12.75">
      <c r="A162" s="121"/>
      <c r="B162" s="121"/>
      <c r="C162" s="121"/>
      <c r="D162" s="121"/>
      <c r="E162" s="121"/>
      <c r="F162" s="121"/>
      <c r="G162" s="278"/>
      <c r="H162" s="121"/>
      <c r="I162" s="121"/>
      <c r="J162" s="121"/>
      <c r="K162" s="152"/>
    </row>
    <row r="163" spans="1:11" ht="12.75">
      <c r="A163" s="121"/>
      <c r="B163" s="121"/>
      <c r="C163" s="121"/>
      <c r="D163" s="121"/>
      <c r="E163" s="121"/>
      <c r="F163" s="121"/>
      <c r="G163" s="278"/>
      <c r="H163" s="121"/>
      <c r="I163" s="121"/>
      <c r="J163" s="121"/>
      <c r="K163" s="152"/>
    </row>
    <row r="164" spans="1:18" ht="38.25">
      <c r="A164" s="67" t="s">
        <v>197</v>
      </c>
      <c r="B164" s="236"/>
      <c r="C164" s="237"/>
      <c r="D164" s="238" t="s">
        <v>171</v>
      </c>
      <c r="E164" s="239" t="s">
        <v>172</v>
      </c>
      <c r="F164" s="238" t="s">
        <v>171</v>
      </c>
      <c r="G164" s="239" t="s">
        <v>172</v>
      </c>
      <c r="H164" s="238" t="s">
        <v>171</v>
      </c>
      <c r="I164" s="239" t="s">
        <v>172</v>
      </c>
      <c r="J164" s="71">
        <v>2011</v>
      </c>
      <c r="K164" s="72">
        <v>2012</v>
      </c>
      <c r="L164" s="240">
        <v>2013</v>
      </c>
      <c r="M164" s="74">
        <v>2014</v>
      </c>
      <c r="N164" s="72">
        <v>2015</v>
      </c>
      <c r="O164" s="154"/>
      <c r="P164" s="154"/>
      <c r="Q164" s="154"/>
      <c r="R164" s="155"/>
    </row>
    <row r="165" spans="1:19" ht="12.75">
      <c r="A165" s="285" t="s">
        <v>1</v>
      </c>
      <c r="B165" s="286"/>
      <c r="C165" s="287"/>
      <c r="D165" s="218">
        <f aca="true" t="shared" si="0" ref="D165:L165">D87</f>
        <v>0</v>
      </c>
      <c r="E165" s="218">
        <f t="shared" si="0"/>
        <v>0</v>
      </c>
      <c r="F165" s="218">
        <f t="shared" si="0"/>
        <v>0</v>
      </c>
      <c r="G165" s="218">
        <f t="shared" si="0"/>
        <v>0</v>
      </c>
      <c r="H165" s="218">
        <f t="shared" si="0"/>
        <v>0</v>
      </c>
      <c r="I165" s="218">
        <f t="shared" si="0"/>
        <v>0</v>
      </c>
      <c r="J165" s="218">
        <f t="shared" si="0"/>
        <v>1291907</v>
      </c>
      <c r="K165" s="218">
        <f t="shared" si="0"/>
        <v>1370550.23</v>
      </c>
      <c r="L165" s="218">
        <f t="shared" si="0"/>
        <v>1402752</v>
      </c>
      <c r="M165" s="117">
        <f>SUM(M87)</f>
        <v>1396877</v>
      </c>
      <c r="N165" s="218">
        <f>SUM(N87)</f>
        <v>1296877</v>
      </c>
      <c r="O165" s="220"/>
      <c r="P165" s="220"/>
      <c r="Q165" s="220"/>
      <c r="R165" s="220"/>
      <c r="S165" s="288"/>
    </row>
    <row r="166" spans="1:18" ht="12.75">
      <c r="A166" s="285" t="s">
        <v>85</v>
      </c>
      <c r="B166" s="286"/>
      <c r="C166" s="287"/>
      <c r="D166" s="218">
        <f aca="true" t="shared" si="1" ref="D166:L166">D118</f>
        <v>471649.89</v>
      </c>
      <c r="E166" s="218">
        <f t="shared" si="1"/>
        <v>338092.73</v>
      </c>
      <c r="F166" s="218">
        <f t="shared" si="1"/>
        <v>471649.89</v>
      </c>
      <c r="G166" s="218">
        <f t="shared" si="1"/>
        <v>338092.73</v>
      </c>
      <c r="H166" s="218">
        <f t="shared" si="1"/>
        <v>471649.89</v>
      </c>
      <c r="I166" s="218">
        <f t="shared" si="1"/>
        <v>338092.73</v>
      </c>
      <c r="J166" s="218">
        <f t="shared" si="1"/>
        <v>720865</v>
      </c>
      <c r="K166" s="218">
        <f t="shared" si="1"/>
        <v>421774.89</v>
      </c>
      <c r="L166" s="218">
        <f t="shared" si="1"/>
        <v>640000</v>
      </c>
      <c r="M166" s="117">
        <f>SUM(M118)</f>
        <v>0</v>
      </c>
      <c r="N166" s="218">
        <f>SUM(N118)</f>
        <v>0</v>
      </c>
      <c r="O166" s="220"/>
      <c r="P166" s="220"/>
      <c r="Q166" s="220"/>
      <c r="R166" s="220"/>
    </row>
    <row r="167" spans="1:19" ht="12.75">
      <c r="A167" s="285" t="s">
        <v>96</v>
      </c>
      <c r="B167" s="286"/>
      <c r="C167" s="287"/>
      <c r="D167" s="219">
        <f aca="true" t="shared" si="2" ref="D167:L167">D145</f>
        <v>310000</v>
      </c>
      <c r="E167" s="219">
        <f t="shared" si="2"/>
        <v>240110.47</v>
      </c>
      <c r="F167" s="219">
        <f t="shared" si="2"/>
        <v>310000</v>
      </c>
      <c r="G167" s="219">
        <f t="shared" si="2"/>
        <v>240110.47</v>
      </c>
      <c r="H167" s="219">
        <f t="shared" si="2"/>
        <v>310000</v>
      </c>
      <c r="I167" s="219">
        <f t="shared" si="2"/>
        <v>240110.47</v>
      </c>
      <c r="J167" s="219">
        <f t="shared" si="2"/>
        <v>246629</v>
      </c>
      <c r="K167" s="219">
        <f t="shared" si="2"/>
        <v>310000</v>
      </c>
      <c r="L167" s="219">
        <f t="shared" si="2"/>
        <v>0</v>
      </c>
      <c r="M167" s="117">
        <f>SUM(M145)</f>
        <v>33987</v>
      </c>
      <c r="N167" s="219">
        <f>SUM(N145)</f>
        <v>0</v>
      </c>
      <c r="O167" s="220"/>
      <c r="P167" s="220"/>
      <c r="Q167" s="220"/>
      <c r="R167" s="220"/>
      <c r="S167" s="289"/>
    </row>
    <row r="168" spans="1:18" ht="12.75">
      <c r="A168" s="285" t="s">
        <v>193</v>
      </c>
      <c r="B168" s="286"/>
      <c r="C168" s="287"/>
      <c r="D168" s="252">
        <f aca="true" t="shared" si="3" ref="D168:L168">D156</f>
        <v>0</v>
      </c>
      <c r="E168" s="252">
        <f t="shared" si="3"/>
        <v>0</v>
      </c>
      <c r="F168" s="252">
        <f t="shared" si="3"/>
        <v>0</v>
      </c>
      <c r="G168" s="252">
        <f t="shared" si="3"/>
        <v>0</v>
      </c>
      <c r="H168" s="252">
        <f t="shared" si="3"/>
        <v>0</v>
      </c>
      <c r="I168" s="252">
        <f t="shared" si="3"/>
        <v>0</v>
      </c>
      <c r="J168" s="252">
        <f t="shared" si="3"/>
        <v>0</v>
      </c>
      <c r="K168" s="252">
        <f t="shared" si="3"/>
        <v>0</v>
      </c>
      <c r="L168" s="252">
        <f t="shared" si="3"/>
        <v>0</v>
      </c>
      <c r="M168" s="117">
        <v>0</v>
      </c>
      <c r="N168" s="252">
        <v>0</v>
      </c>
      <c r="O168" s="220"/>
      <c r="P168" s="220"/>
      <c r="Q168" s="220"/>
      <c r="R168" s="220"/>
    </row>
    <row r="169" spans="1:18" ht="12.75">
      <c r="A169" s="290" t="s">
        <v>198</v>
      </c>
      <c r="B169" s="291"/>
      <c r="C169" s="292"/>
      <c r="D169" s="293">
        <f>SUM(D165,D166,D167,D168)</f>
        <v>781649.89</v>
      </c>
      <c r="E169" s="293">
        <f>E165+E166+E167+E168</f>
        <v>578203.2</v>
      </c>
      <c r="F169" s="293">
        <f>SUM(F165,F166,F167,F168)</f>
        <v>781649.89</v>
      </c>
      <c r="G169" s="293">
        <f>G165+G166+G167+G168</f>
        <v>578203.2</v>
      </c>
      <c r="H169" s="293">
        <f>SUM(H165,H166,H167,H168)</f>
        <v>781649.89</v>
      </c>
      <c r="I169" s="293">
        <f>I165+I166+I167+I168</f>
        <v>578203.2</v>
      </c>
      <c r="J169" s="293">
        <f>SUM(J165,J166,J167,J168)</f>
        <v>2259401</v>
      </c>
      <c r="K169" s="293">
        <f>SUM(K165,K166,K167,K168)</f>
        <v>2102325.12</v>
      </c>
      <c r="L169" s="293">
        <f>L165+L166+L167+L168</f>
        <v>2042752</v>
      </c>
      <c r="M169" s="294">
        <f>SUM(M165,M166,M167,M168)</f>
        <v>1430864</v>
      </c>
      <c r="N169" s="293">
        <f>SUM(N165,N166,N167,N168)</f>
        <v>1296877</v>
      </c>
      <c r="O169" s="220"/>
      <c r="P169" s="220"/>
      <c r="Q169" s="220"/>
      <c r="R169" s="220"/>
    </row>
  </sheetData>
  <mergeCells count="17">
    <mergeCell ref="A155:C155"/>
    <mergeCell ref="K131:N131"/>
    <mergeCell ref="D139:N139"/>
    <mergeCell ref="A153:C153"/>
    <mergeCell ref="A154:C154"/>
    <mergeCell ref="K96:N96"/>
    <mergeCell ref="A101:C101"/>
    <mergeCell ref="K103:N103"/>
    <mergeCell ref="A117:C117"/>
    <mergeCell ref="K29:N29"/>
    <mergeCell ref="A58:C58"/>
    <mergeCell ref="K61:N61"/>
    <mergeCell ref="A86:C86"/>
    <mergeCell ref="A2:N2"/>
    <mergeCell ref="A5:E5"/>
    <mergeCell ref="K5:N5"/>
    <mergeCell ref="A26:C26"/>
  </mergeCells>
  <printOptions/>
  <pageMargins left="0.7480314960629921" right="0.1968503937007874" top="0.5905511811023623" bottom="0.5905511811023623" header="0.31496062992125984" footer="0.5118110236220472"/>
  <pageSetup horizontalDpi="300" verticalDpi="300" orientation="portrait" paperSize="9" scale="95" r:id="rId1"/>
  <headerFooter alignWithMargins="0">
    <oddHeader>&amp;CROZPOČET OBCE TEKOVSKÉ LUŽANY NA ROK  2013</oddHeader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66"/>
  <sheetViews>
    <sheetView workbookViewId="0" topLeftCell="A1">
      <selection activeCell="F1" sqref="F1"/>
    </sheetView>
  </sheetViews>
  <sheetFormatPr defaultColWidth="9.140625" defaultRowHeight="12.75"/>
  <cols>
    <col min="1" max="1" width="3.57421875" style="295" customWidth="1"/>
    <col min="2" max="2" width="4.140625" style="1" customWidth="1"/>
    <col min="4" max="4" width="3.421875" style="0" customWidth="1"/>
    <col min="5" max="5" width="31.140625" style="0" customWidth="1"/>
    <col min="6" max="6" width="11.8515625" style="296" customWidth="1"/>
    <col min="7" max="7" width="0" style="297" hidden="1" customWidth="1"/>
    <col min="8" max="9" width="9.140625" style="297" customWidth="1"/>
    <col min="10" max="10" width="8.421875" style="298" customWidth="1"/>
    <col min="11" max="12" width="8.421875" style="0" customWidth="1"/>
  </cols>
  <sheetData>
    <row r="1" spans="2:12" ht="15.75">
      <c r="B1" s="299" t="s">
        <v>199</v>
      </c>
      <c r="E1" s="299" t="s">
        <v>200</v>
      </c>
      <c r="G1" s="300" t="e">
        <f>#REF!-G7</f>
        <v>#REF!</v>
      </c>
      <c r="H1" s="300"/>
      <c r="I1" s="300"/>
      <c r="J1" s="301"/>
      <c r="K1" s="301"/>
      <c r="L1" s="301"/>
    </row>
    <row r="2" spans="1:12" ht="12.75">
      <c r="A2" s="302"/>
      <c r="B2" s="303"/>
      <c r="C2" s="304"/>
      <c r="D2" s="304"/>
      <c r="E2" s="305"/>
      <c r="F2" s="306"/>
      <c r="G2" s="300" t="e">
        <f>SUM(G8:G10)</f>
        <v>#REF!</v>
      </c>
      <c r="H2" s="300"/>
      <c r="I2" s="300"/>
      <c r="J2" s="307">
        <f>SUM(J8:J10)</f>
        <v>328242</v>
      </c>
      <c r="K2" s="307">
        <f>SUM(K8:K10)</f>
        <v>320635</v>
      </c>
      <c r="L2" s="307">
        <f>SUM(L8:L10)</f>
        <v>170135</v>
      </c>
    </row>
    <row r="3" spans="1:12" ht="16.5" customHeight="1">
      <c r="A3" s="308"/>
      <c r="B3" s="309"/>
      <c r="C3" s="310"/>
      <c r="D3" s="310"/>
      <c r="E3" s="311"/>
      <c r="F3" s="312"/>
      <c r="G3" s="1275" t="s">
        <v>201</v>
      </c>
      <c r="H3" s="1275"/>
      <c r="I3" s="1275"/>
      <c r="J3" s="1275"/>
      <c r="K3" s="1275"/>
      <c r="L3" s="1275"/>
    </row>
    <row r="4" spans="1:12" ht="12" customHeight="1">
      <c r="A4" s="313"/>
      <c r="B4" s="314" t="s">
        <v>202</v>
      </c>
      <c r="C4" s="315" t="s">
        <v>203</v>
      </c>
      <c r="D4" s="1276" t="s">
        <v>204</v>
      </c>
      <c r="E4" s="1276"/>
      <c r="F4" s="1276"/>
      <c r="G4" s="316"/>
      <c r="H4" s="317">
        <v>2011</v>
      </c>
      <c r="I4" s="317">
        <v>2012</v>
      </c>
      <c r="J4" s="317">
        <v>2013</v>
      </c>
      <c r="K4" s="318">
        <v>2014</v>
      </c>
      <c r="L4" s="318">
        <v>2015</v>
      </c>
    </row>
    <row r="5" spans="1:12" ht="12" customHeight="1">
      <c r="A5" s="313"/>
      <c r="B5" s="314" t="s">
        <v>205</v>
      </c>
      <c r="C5" s="315" t="s">
        <v>206</v>
      </c>
      <c r="D5" s="1276"/>
      <c r="E5" s="1276"/>
      <c r="F5" s="1276"/>
      <c r="G5" s="319" t="s">
        <v>207</v>
      </c>
      <c r="H5" s="320" t="s">
        <v>208</v>
      </c>
      <c r="I5" s="320" t="s">
        <v>208</v>
      </c>
      <c r="J5" s="320" t="s">
        <v>208</v>
      </c>
      <c r="K5" s="321" t="s">
        <v>209</v>
      </c>
      <c r="L5" s="321" t="s">
        <v>209</v>
      </c>
    </row>
    <row r="6" spans="1:12" ht="15" customHeight="1">
      <c r="A6" s="313"/>
      <c r="B6" s="314" t="s">
        <v>210</v>
      </c>
      <c r="C6" s="315" t="s">
        <v>211</v>
      </c>
      <c r="D6" s="1276"/>
      <c r="E6" s="1276"/>
      <c r="F6" s="1276"/>
      <c r="G6" s="322">
        <v>1</v>
      </c>
      <c r="H6" s="322">
        <v>-2</v>
      </c>
      <c r="I6" s="322">
        <v>-1</v>
      </c>
      <c r="J6" s="323">
        <v>1</v>
      </c>
      <c r="K6" s="324">
        <v>2</v>
      </c>
      <c r="L6" s="324">
        <v>3</v>
      </c>
    </row>
    <row r="7" spans="1:12" ht="15">
      <c r="A7" s="325">
        <v>1</v>
      </c>
      <c r="B7" s="326" t="s">
        <v>212</v>
      </c>
      <c r="C7" s="327"/>
      <c r="D7" s="328"/>
      <c r="E7" s="328" t="s">
        <v>200</v>
      </c>
      <c r="F7" s="329"/>
      <c r="G7" s="330" t="e">
        <f>G11+#REF!+#REF!+#REF!+#REF!+#REF!+#REF!</f>
        <v>#REF!</v>
      </c>
      <c r="H7" s="331">
        <f>SUM(H8:H10)</f>
        <v>328733</v>
      </c>
      <c r="I7" s="331">
        <f>SUM(I8:I10)</f>
        <v>380876.47</v>
      </c>
      <c r="J7" s="331">
        <f>SUM(J8:J10)</f>
        <v>328242</v>
      </c>
      <c r="K7" s="331">
        <f>SUM(K8:K10)</f>
        <v>320635</v>
      </c>
      <c r="L7" s="331">
        <f>SUM(L8:L10)</f>
        <v>170135</v>
      </c>
    </row>
    <row r="8" spans="1:12" ht="12.75">
      <c r="A8" s="332">
        <f aca="true" t="shared" si="0" ref="A8:A23">A7+1</f>
        <v>2</v>
      </c>
      <c r="B8" s="333" t="s">
        <v>213</v>
      </c>
      <c r="C8" s="334" t="s">
        <v>214</v>
      </c>
      <c r="D8" s="335"/>
      <c r="E8" s="336"/>
      <c r="F8" s="337"/>
      <c r="G8" s="338" t="e">
        <f>G43+G46+#REF!+#REF!+#REF!+#REF!+#REF!+#REF!+G48</f>
        <v>#REF!</v>
      </c>
      <c r="H8" s="339">
        <f>SUM(H13,H28,H36,H41,H54,H63)</f>
        <v>187239</v>
      </c>
      <c r="I8" s="339">
        <f>SUM(I13,I28,I36,I41,I54,I63)</f>
        <v>182881.3</v>
      </c>
      <c r="J8" s="339">
        <f>SUM(J13,J28,J36,J41,J54,J63)</f>
        <v>168242</v>
      </c>
      <c r="K8" s="339">
        <f>SUM(K13,K28,K36,K41,K54,K63)</f>
        <v>170635</v>
      </c>
      <c r="L8" s="339">
        <f>SUM(L13,L28,L36,L41,L54,L63)</f>
        <v>170135</v>
      </c>
    </row>
    <row r="9" spans="1:12" ht="12.75">
      <c r="A9" s="332">
        <f t="shared" si="0"/>
        <v>3</v>
      </c>
      <c r="B9" s="333" t="s">
        <v>215</v>
      </c>
      <c r="C9" s="334" t="s">
        <v>216</v>
      </c>
      <c r="D9" s="335"/>
      <c r="E9" s="336"/>
      <c r="F9" s="337"/>
      <c r="G9" s="338" t="e">
        <f>#REF!</f>
        <v>#REF!</v>
      </c>
      <c r="H9" s="339">
        <f>SUM(H24)</f>
        <v>0</v>
      </c>
      <c r="I9" s="339">
        <f>SUM(I24)</f>
        <v>3200</v>
      </c>
      <c r="J9" s="339">
        <f>SUM(J24)</f>
        <v>0</v>
      </c>
      <c r="K9" s="339">
        <f>SUM(K24)</f>
        <v>0</v>
      </c>
      <c r="L9" s="339">
        <f>SUM(L24)</f>
        <v>0</v>
      </c>
    </row>
    <row r="10" spans="1:12" ht="12.75">
      <c r="A10" s="332">
        <f t="shared" si="0"/>
        <v>4</v>
      </c>
      <c r="B10" s="340"/>
      <c r="C10" s="341" t="s">
        <v>217</v>
      </c>
      <c r="D10" s="342"/>
      <c r="E10" s="343"/>
      <c r="F10" s="344"/>
      <c r="G10" s="345">
        <v>0</v>
      </c>
      <c r="H10" s="339">
        <f>H49</f>
        <v>141494</v>
      </c>
      <c r="I10" s="339">
        <f>I49</f>
        <v>194795.17</v>
      </c>
      <c r="J10" s="339">
        <f>J49</f>
        <v>160000</v>
      </c>
      <c r="K10" s="346">
        <f>K49</f>
        <v>150000</v>
      </c>
      <c r="L10" s="346">
        <f>L49</f>
        <v>0</v>
      </c>
    </row>
    <row r="11" spans="1:12" ht="12.75">
      <c r="A11" s="332">
        <f t="shared" si="0"/>
        <v>5</v>
      </c>
      <c r="B11" s="347">
        <v>1</v>
      </c>
      <c r="C11" s="348" t="s">
        <v>218</v>
      </c>
      <c r="D11" s="349"/>
      <c r="E11" s="349"/>
      <c r="F11" s="350"/>
      <c r="G11" s="351">
        <f>G12+G45+G47</f>
        <v>0</v>
      </c>
      <c r="H11" s="352">
        <f>SUM(H12+H27)</f>
        <v>165429</v>
      </c>
      <c r="I11" s="352">
        <f>SUM(I12+I27)</f>
        <v>156646.3</v>
      </c>
      <c r="J11" s="352">
        <f>SUM(J12+J27)</f>
        <v>146227</v>
      </c>
      <c r="K11" s="353">
        <f>SUM(K12+K27)</f>
        <v>155120</v>
      </c>
      <c r="L11" s="353">
        <f>SUM(L12+L27)</f>
        <v>155120</v>
      </c>
    </row>
    <row r="12" spans="1:12" s="361" customFormat="1" ht="12.75">
      <c r="A12" s="332">
        <f t="shared" si="0"/>
        <v>6</v>
      </c>
      <c r="B12" s="354"/>
      <c r="C12" s="355" t="s">
        <v>219</v>
      </c>
      <c r="D12" s="356" t="s">
        <v>220</v>
      </c>
      <c r="E12" s="357"/>
      <c r="F12" s="358"/>
      <c r="G12" s="359">
        <f>G44</f>
        <v>0</v>
      </c>
      <c r="H12" s="360">
        <f>SUM(H13+H24)</f>
        <v>155237</v>
      </c>
      <c r="I12" s="360">
        <f>SUM(I13+I24)</f>
        <v>145626.3</v>
      </c>
      <c r="J12" s="360">
        <f>SUM(J13+J24)</f>
        <v>134977</v>
      </c>
      <c r="K12" s="360">
        <f>SUM(K13+K24)</f>
        <v>143570</v>
      </c>
      <c r="L12" s="360">
        <f>SUM(L13+L24)</f>
        <v>143570</v>
      </c>
    </row>
    <row r="13" spans="1:12" ht="12.75">
      <c r="A13" s="332">
        <f t="shared" si="0"/>
        <v>7</v>
      </c>
      <c r="B13" s="362"/>
      <c r="C13" s="363"/>
      <c r="D13" s="336" t="s">
        <v>214</v>
      </c>
      <c r="E13" s="364"/>
      <c r="F13" s="365"/>
      <c r="G13" s="366">
        <f aca="true" t="shared" si="1" ref="G13:L13">G14</f>
        <v>6686.6</v>
      </c>
      <c r="H13" s="367">
        <f t="shared" si="1"/>
        <v>155237</v>
      </c>
      <c r="I13" s="367">
        <f t="shared" si="1"/>
        <v>142426.3</v>
      </c>
      <c r="J13" s="367">
        <f t="shared" si="1"/>
        <v>134977</v>
      </c>
      <c r="K13" s="367">
        <f t="shared" si="1"/>
        <v>143570</v>
      </c>
      <c r="L13" s="367">
        <f t="shared" si="1"/>
        <v>143570</v>
      </c>
    </row>
    <row r="14" spans="1:12" ht="12.75">
      <c r="A14" s="332">
        <f t="shared" si="0"/>
        <v>8</v>
      </c>
      <c r="B14" s="368"/>
      <c r="C14" s="369" t="s">
        <v>221</v>
      </c>
      <c r="D14" s="370" t="s">
        <v>222</v>
      </c>
      <c r="E14" s="371"/>
      <c r="F14" s="372"/>
      <c r="G14" s="373">
        <f>SUM(G15:G36)</f>
        <v>6686.6</v>
      </c>
      <c r="H14" s="374">
        <f>SUM(H15:H23)</f>
        <v>155237</v>
      </c>
      <c r="I14" s="374">
        <f>SUM(I15:I23)</f>
        <v>142426.3</v>
      </c>
      <c r="J14" s="374">
        <f>SUM(J15:J23)</f>
        <v>134977</v>
      </c>
      <c r="K14" s="374">
        <f>SUM(K15:K23)</f>
        <v>143570</v>
      </c>
      <c r="L14" s="374">
        <f>SUM(L15:L23)</f>
        <v>143570</v>
      </c>
    </row>
    <row r="15" spans="1:12" ht="12.75">
      <c r="A15" s="332">
        <f t="shared" si="0"/>
        <v>9</v>
      </c>
      <c r="B15" s="375"/>
      <c r="C15" s="376" t="s">
        <v>223</v>
      </c>
      <c r="D15" s="377">
        <v>1</v>
      </c>
      <c r="E15" s="378" t="s">
        <v>224</v>
      </c>
      <c r="F15" s="379"/>
      <c r="G15" s="380">
        <f aca="true" t="shared" si="2" ref="G15:G23">ROUND(K15/30.126,1)</f>
        <v>1825.7</v>
      </c>
      <c r="H15" s="381">
        <f>výdavky!D8</f>
        <v>50662</v>
      </c>
      <c r="I15" s="381">
        <f>výdavky!E8</f>
        <v>50000</v>
      </c>
      <c r="J15" s="381">
        <f>výdavky!F8</f>
        <v>50000</v>
      </c>
      <c r="K15" s="381">
        <f>výdavky!G8</f>
        <v>55000</v>
      </c>
      <c r="L15" s="381">
        <f>výdavky!H8</f>
        <v>55000</v>
      </c>
    </row>
    <row r="16" spans="1:12" ht="12.75">
      <c r="A16" s="332">
        <f t="shared" si="0"/>
        <v>10</v>
      </c>
      <c r="B16" s="375"/>
      <c r="C16" s="376" t="s">
        <v>225</v>
      </c>
      <c r="D16" s="382">
        <f aca="true" t="shared" si="3" ref="D16:D23">D15+1</f>
        <v>2</v>
      </c>
      <c r="E16" s="383" t="s">
        <v>226</v>
      </c>
      <c r="F16" s="384"/>
      <c r="G16" s="385">
        <f t="shared" si="2"/>
        <v>663.9</v>
      </c>
      <c r="H16" s="386">
        <f>výdavky!D11</f>
        <v>17142</v>
      </c>
      <c r="I16" s="386">
        <f>výdavky!E11</f>
        <v>18000</v>
      </c>
      <c r="J16" s="386">
        <f>výdavky!F11</f>
        <v>18000</v>
      </c>
      <c r="K16" s="386">
        <f>výdavky!G11</f>
        <v>20000</v>
      </c>
      <c r="L16" s="386">
        <f>výdavky!H11</f>
        <v>20000</v>
      </c>
    </row>
    <row r="17" spans="1:12" ht="12.75">
      <c r="A17" s="332">
        <f t="shared" si="0"/>
        <v>11</v>
      </c>
      <c r="B17" s="375"/>
      <c r="C17" s="376" t="s">
        <v>227</v>
      </c>
      <c r="D17" s="377">
        <f t="shared" si="3"/>
        <v>3</v>
      </c>
      <c r="E17" s="378" t="s">
        <v>228</v>
      </c>
      <c r="F17" s="379"/>
      <c r="G17" s="380">
        <f t="shared" si="2"/>
        <v>0.7</v>
      </c>
      <c r="H17" s="381">
        <f>výdavky!D13</f>
        <v>15</v>
      </c>
      <c r="I17" s="381">
        <f>výdavky!E13</f>
        <v>20</v>
      </c>
      <c r="J17" s="381">
        <f>výdavky!F13</f>
        <v>20</v>
      </c>
      <c r="K17" s="381">
        <f>výdavky!G13</f>
        <v>20</v>
      </c>
      <c r="L17" s="381">
        <f>výdavky!H13</f>
        <v>20</v>
      </c>
    </row>
    <row r="18" spans="1:12" ht="12.75">
      <c r="A18" s="332">
        <f t="shared" si="0"/>
        <v>12</v>
      </c>
      <c r="B18" s="375"/>
      <c r="C18" s="376" t="s">
        <v>229</v>
      </c>
      <c r="D18" s="382">
        <f t="shared" si="3"/>
        <v>4</v>
      </c>
      <c r="E18" s="387" t="s">
        <v>230</v>
      </c>
      <c r="F18" s="388"/>
      <c r="G18" s="385">
        <f t="shared" si="2"/>
        <v>497.9</v>
      </c>
      <c r="H18" s="386">
        <f>výdavky!D14</f>
        <v>15852</v>
      </c>
      <c r="I18" s="386">
        <f>výdavky!E14</f>
        <v>14000</v>
      </c>
      <c r="J18" s="386">
        <f>výdavky!F14</f>
        <v>14000</v>
      </c>
      <c r="K18" s="386">
        <f>výdavky!G14</f>
        <v>15000</v>
      </c>
      <c r="L18" s="386">
        <f>výdavky!H14</f>
        <v>15000</v>
      </c>
    </row>
    <row r="19" spans="1:12" ht="12.75">
      <c r="A19" s="332">
        <f t="shared" si="0"/>
        <v>13</v>
      </c>
      <c r="B19" s="375"/>
      <c r="C19" s="376" t="s">
        <v>231</v>
      </c>
      <c r="D19" s="382">
        <f t="shared" si="3"/>
        <v>5</v>
      </c>
      <c r="E19" s="378" t="s">
        <v>232</v>
      </c>
      <c r="F19" s="379"/>
      <c r="G19" s="380">
        <f t="shared" si="2"/>
        <v>365.1</v>
      </c>
      <c r="H19" s="381">
        <f>výdavky!D16</f>
        <v>12896</v>
      </c>
      <c r="I19" s="381">
        <f>výdavky!E16</f>
        <v>11600</v>
      </c>
      <c r="J19" s="381">
        <f>výdavky!F16</f>
        <v>10600</v>
      </c>
      <c r="K19" s="381">
        <f>výdavky!G16</f>
        <v>11000</v>
      </c>
      <c r="L19" s="381">
        <f>výdavky!H16</f>
        <v>11000</v>
      </c>
    </row>
    <row r="20" spans="1:12" ht="12.75">
      <c r="A20" s="332">
        <f t="shared" si="0"/>
        <v>14</v>
      </c>
      <c r="B20" s="375"/>
      <c r="C20" s="376" t="s">
        <v>233</v>
      </c>
      <c r="D20" s="377">
        <f t="shared" si="3"/>
        <v>6</v>
      </c>
      <c r="E20" s="389" t="s">
        <v>234</v>
      </c>
      <c r="F20" s="390"/>
      <c r="G20" s="391">
        <f t="shared" si="2"/>
        <v>219.1</v>
      </c>
      <c r="H20" s="392">
        <f>výdavky!D29</f>
        <v>8769</v>
      </c>
      <c r="I20" s="392">
        <f>výdavky!E29</f>
        <v>6983</v>
      </c>
      <c r="J20" s="392">
        <f>výdavky!F29</f>
        <v>6470</v>
      </c>
      <c r="K20" s="392">
        <f>výdavky!G29</f>
        <v>6600</v>
      </c>
      <c r="L20" s="392">
        <f>výdavky!H29</f>
        <v>6600</v>
      </c>
    </row>
    <row r="21" spans="1:12" ht="12.75">
      <c r="A21" s="332">
        <f t="shared" si="0"/>
        <v>15</v>
      </c>
      <c r="B21" s="375"/>
      <c r="C21" s="376" t="s">
        <v>235</v>
      </c>
      <c r="D21" s="382">
        <f t="shared" si="3"/>
        <v>7</v>
      </c>
      <c r="E21" s="387" t="s">
        <v>236</v>
      </c>
      <c r="F21" s="388"/>
      <c r="G21" s="385">
        <f t="shared" si="2"/>
        <v>56.4</v>
      </c>
      <c r="H21" s="386">
        <f>výdavky!D36</f>
        <v>2101</v>
      </c>
      <c r="I21" s="386">
        <f>výdavky!E36</f>
        <v>1637</v>
      </c>
      <c r="J21" s="386">
        <f>výdavky!F36</f>
        <v>1637</v>
      </c>
      <c r="K21" s="386">
        <f>výdavky!G36</f>
        <v>1700</v>
      </c>
      <c r="L21" s="386">
        <f>výdavky!H36</f>
        <v>1700</v>
      </c>
    </row>
    <row r="22" spans="1:12" ht="12.75">
      <c r="A22" s="332">
        <f t="shared" si="0"/>
        <v>16</v>
      </c>
      <c r="B22" s="375"/>
      <c r="C22" s="376" t="s">
        <v>237</v>
      </c>
      <c r="D22" s="382">
        <f t="shared" si="3"/>
        <v>8</v>
      </c>
      <c r="E22" s="387" t="s">
        <v>238</v>
      </c>
      <c r="F22" s="388"/>
      <c r="G22" s="385">
        <f t="shared" si="2"/>
        <v>39.8</v>
      </c>
      <c r="H22" s="386">
        <f>výdavky!D40</f>
        <v>1006</v>
      </c>
      <c r="I22" s="386">
        <f>výdavky!E40</f>
        <v>1200</v>
      </c>
      <c r="J22" s="386">
        <f>výdavky!F40</f>
        <v>1200</v>
      </c>
      <c r="K22" s="386">
        <f>výdavky!G40</f>
        <v>1200</v>
      </c>
      <c r="L22" s="386">
        <f>výdavky!H40</f>
        <v>1200</v>
      </c>
    </row>
    <row r="23" spans="1:12" ht="12.75">
      <c r="A23" s="332">
        <f t="shared" si="0"/>
        <v>17</v>
      </c>
      <c r="B23" s="375"/>
      <c r="C23" s="376" t="s">
        <v>239</v>
      </c>
      <c r="D23" s="382">
        <f t="shared" si="3"/>
        <v>9</v>
      </c>
      <c r="E23" s="387" t="s">
        <v>240</v>
      </c>
      <c r="F23" s="388"/>
      <c r="G23" s="385">
        <f t="shared" si="2"/>
        <v>1097.1</v>
      </c>
      <c r="H23" s="386">
        <f>výdavky!D48</f>
        <v>46794</v>
      </c>
      <c r="I23" s="386">
        <f>výdavky!E48</f>
        <v>38986.299999999996</v>
      </c>
      <c r="J23" s="386">
        <f>výdavky!F48</f>
        <v>33050</v>
      </c>
      <c r="K23" s="386">
        <f>výdavky!G48</f>
        <v>33050</v>
      </c>
      <c r="L23" s="386">
        <f>výdavky!H48</f>
        <v>33050</v>
      </c>
    </row>
    <row r="24" spans="1:12" ht="12.75">
      <c r="A24" s="332">
        <v>18</v>
      </c>
      <c r="B24" s="368"/>
      <c r="C24" s="376"/>
      <c r="D24" s="336" t="s">
        <v>216</v>
      </c>
      <c r="E24" s="393"/>
      <c r="F24" s="365"/>
      <c r="G24" s="366">
        <f aca="true" t="shared" si="4" ref="G24:L24">G25</f>
        <v>496.4</v>
      </c>
      <c r="H24" s="367">
        <f t="shared" si="4"/>
        <v>0</v>
      </c>
      <c r="I24" s="367">
        <f t="shared" si="4"/>
        <v>3200</v>
      </c>
      <c r="J24" s="367">
        <f t="shared" si="4"/>
        <v>0</v>
      </c>
      <c r="K24" s="367">
        <f t="shared" si="4"/>
        <v>0</v>
      </c>
      <c r="L24" s="367">
        <f t="shared" si="4"/>
        <v>0</v>
      </c>
    </row>
    <row r="25" spans="1:12" ht="12.75">
      <c r="A25" s="332">
        <f>A24+1</f>
        <v>19</v>
      </c>
      <c r="B25" s="375"/>
      <c r="C25" s="369" t="s">
        <v>221</v>
      </c>
      <c r="D25" s="370" t="s">
        <v>222</v>
      </c>
      <c r="E25" s="371"/>
      <c r="F25" s="372"/>
      <c r="G25" s="373">
        <f>SUM(G26:G28)</f>
        <v>496.4</v>
      </c>
      <c r="H25" s="374">
        <f>SUM(H26:H26)</f>
        <v>0</v>
      </c>
      <c r="I25" s="374">
        <f>SUM(I26:I26)</f>
        <v>3200</v>
      </c>
      <c r="J25" s="374">
        <f>SUM(J26:J26)</f>
        <v>0</v>
      </c>
      <c r="K25" s="374">
        <f>SUM(K26:K26)</f>
        <v>0</v>
      </c>
      <c r="L25" s="374">
        <f>SUM(L26:L26)</f>
        <v>0</v>
      </c>
    </row>
    <row r="26" spans="1:12" ht="12.75">
      <c r="A26" s="332">
        <f>A25+1</f>
        <v>20</v>
      </c>
      <c r="B26" s="368"/>
      <c r="C26" s="376" t="s">
        <v>241</v>
      </c>
      <c r="D26" s="382">
        <v>1</v>
      </c>
      <c r="E26" s="387" t="s">
        <v>242</v>
      </c>
      <c r="F26" s="394"/>
      <c r="G26" s="395">
        <v>18.2</v>
      </c>
      <c r="H26" s="386">
        <f>výdavky!D386</f>
        <v>0</v>
      </c>
      <c r="I26" s="386">
        <f>výdavky!E386</f>
        <v>3200</v>
      </c>
      <c r="J26" s="386">
        <f>výdavky!F386</f>
        <v>0</v>
      </c>
      <c r="K26" s="386">
        <f>výdavky!G386</f>
        <v>0</v>
      </c>
      <c r="L26" s="386">
        <f>výdavky!H386</f>
        <v>0</v>
      </c>
    </row>
    <row r="27" spans="1:12" ht="12.75">
      <c r="A27" s="332">
        <v>21</v>
      </c>
      <c r="B27" s="396"/>
      <c r="C27" s="355" t="s">
        <v>243</v>
      </c>
      <c r="D27" s="356" t="s">
        <v>244</v>
      </c>
      <c r="E27" s="397"/>
      <c r="F27" s="398"/>
      <c r="G27" s="399">
        <f>G29</f>
        <v>239.1</v>
      </c>
      <c r="H27" s="400">
        <f aca="true" t="shared" si="5" ref="H27:L28">H28</f>
        <v>10192</v>
      </c>
      <c r="I27" s="400">
        <f t="shared" si="5"/>
        <v>11020</v>
      </c>
      <c r="J27" s="400">
        <f t="shared" si="5"/>
        <v>11250</v>
      </c>
      <c r="K27" s="400">
        <f t="shared" si="5"/>
        <v>11550</v>
      </c>
      <c r="L27" s="400">
        <f t="shared" si="5"/>
        <v>11550</v>
      </c>
    </row>
    <row r="28" spans="1:12" s="402" customFormat="1" ht="12.75">
      <c r="A28" s="332">
        <f>A27+1</f>
        <v>22</v>
      </c>
      <c r="B28" s="401"/>
      <c r="C28" s="363"/>
      <c r="D28" s="337" t="s">
        <v>214</v>
      </c>
      <c r="E28" s="364"/>
      <c r="F28" s="365"/>
      <c r="G28" s="366">
        <f>G29</f>
        <v>239.1</v>
      </c>
      <c r="H28" s="367">
        <f t="shared" si="5"/>
        <v>10192</v>
      </c>
      <c r="I28" s="367">
        <f t="shared" si="5"/>
        <v>11020</v>
      </c>
      <c r="J28" s="367">
        <f t="shared" si="5"/>
        <v>11250</v>
      </c>
      <c r="K28" s="367">
        <f t="shared" si="5"/>
        <v>11550</v>
      </c>
      <c r="L28" s="367">
        <f t="shared" si="5"/>
        <v>11550</v>
      </c>
    </row>
    <row r="29" spans="1:12" s="402" customFormat="1" ht="12.75">
      <c r="A29" s="332">
        <f>A28+1</f>
        <v>23</v>
      </c>
      <c r="B29" s="401"/>
      <c r="C29" s="403" t="s">
        <v>221</v>
      </c>
      <c r="D29" s="404" t="s">
        <v>222</v>
      </c>
      <c r="E29" s="371"/>
      <c r="F29" s="405"/>
      <c r="G29" s="406">
        <f>SUM(G34:G37)</f>
        <v>239.1</v>
      </c>
      <c r="H29" s="374">
        <f>SUM(H30,H31,H32,H33,H34)</f>
        <v>10192</v>
      </c>
      <c r="I29" s="374">
        <f>SUM(I30,I31,I32,I33,I34)</f>
        <v>11020</v>
      </c>
      <c r="J29" s="374">
        <f>SUM(J30,J31,J32,J33,J34)</f>
        <v>11250</v>
      </c>
      <c r="K29" s="374">
        <f>SUM(K30,K31,K32,K33,K34)</f>
        <v>11550</v>
      </c>
      <c r="L29" s="374">
        <f>SUM(L30,L31,L32,L33,L34)</f>
        <v>11550</v>
      </c>
    </row>
    <row r="30" spans="1:12" s="402" customFormat="1" ht="12.75">
      <c r="A30" s="332">
        <v>24</v>
      </c>
      <c r="B30" s="401"/>
      <c r="C30" s="407" t="s">
        <v>223</v>
      </c>
      <c r="D30" s="408">
        <v>1</v>
      </c>
      <c r="E30" s="409" t="s">
        <v>224</v>
      </c>
      <c r="F30" s="410" t="s">
        <v>245</v>
      </c>
      <c r="G30" s="411"/>
      <c r="H30" s="381">
        <f>výdavky!D71</f>
        <v>4890</v>
      </c>
      <c r="I30" s="381">
        <f>výdavky!E71</f>
        <v>5820</v>
      </c>
      <c r="J30" s="381">
        <f>výdavky!F71</f>
        <v>6000</v>
      </c>
      <c r="K30" s="381">
        <f>výdavky!G71</f>
        <v>6200</v>
      </c>
      <c r="L30" s="381">
        <f>výdavky!H71</f>
        <v>6200</v>
      </c>
    </row>
    <row r="31" spans="1:12" s="402" customFormat="1" ht="12.75">
      <c r="A31" s="332">
        <v>25</v>
      </c>
      <c r="B31" s="401"/>
      <c r="C31" s="407" t="s">
        <v>225</v>
      </c>
      <c r="D31" s="412">
        <v>2</v>
      </c>
      <c r="E31" s="413" t="s">
        <v>226</v>
      </c>
      <c r="F31" s="414" t="s">
        <v>245</v>
      </c>
      <c r="G31" s="415"/>
      <c r="H31" s="386">
        <f>výdavky!D72</f>
        <v>1708</v>
      </c>
      <c r="I31" s="386">
        <f>výdavky!E72</f>
        <v>2070</v>
      </c>
      <c r="J31" s="386">
        <f>výdavky!F72</f>
        <v>2100</v>
      </c>
      <c r="K31" s="386">
        <f>výdavky!G72</f>
        <v>2200</v>
      </c>
      <c r="L31" s="386">
        <f>výdavky!H72</f>
        <v>2200</v>
      </c>
    </row>
    <row r="32" spans="1:12" s="402" customFormat="1" ht="12.75">
      <c r="A32" s="332">
        <v>26</v>
      </c>
      <c r="B32" s="401"/>
      <c r="C32" s="407" t="s">
        <v>239</v>
      </c>
      <c r="D32" s="408">
        <v>3</v>
      </c>
      <c r="E32" s="409" t="s">
        <v>240</v>
      </c>
      <c r="F32" s="410" t="s">
        <v>245</v>
      </c>
      <c r="G32" s="411"/>
      <c r="H32" s="381">
        <f>výdavky!D73</f>
        <v>385</v>
      </c>
      <c r="I32" s="381">
        <f>výdavky!E73</f>
        <v>130</v>
      </c>
      <c r="J32" s="381">
        <f>výdavky!F73</f>
        <v>150</v>
      </c>
      <c r="K32" s="381">
        <f>výdavky!G73</f>
        <v>150</v>
      </c>
      <c r="L32" s="381">
        <f>výdavky!H73</f>
        <v>150</v>
      </c>
    </row>
    <row r="33" spans="1:12" s="402" customFormat="1" ht="12.75">
      <c r="A33" s="332">
        <v>27</v>
      </c>
      <c r="B33" s="401"/>
      <c r="C33" s="407" t="s">
        <v>239</v>
      </c>
      <c r="D33" s="412">
        <v>4</v>
      </c>
      <c r="E33" s="413" t="s">
        <v>246</v>
      </c>
      <c r="F33" s="416"/>
      <c r="G33" s="415"/>
      <c r="H33" s="386">
        <v>0</v>
      </c>
      <c r="I33" s="386">
        <v>0</v>
      </c>
      <c r="J33" s="386">
        <v>0</v>
      </c>
      <c r="K33" s="386">
        <v>0</v>
      </c>
      <c r="L33" s="386">
        <v>0</v>
      </c>
    </row>
    <row r="34" spans="1:12" s="402" customFormat="1" ht="12.75">
      <c r="A34" s="332">
        <v>28</v>
      </c>
      <c r="B34" s="401"/>
      <c r="C34" s="407" t="s">
        <v>239</v>
      </c>
      <c r="D34" s="382">
        <v>5</v>
      </c>
      <c r="E34" s="413" t="s">
        <v>247</v>
      </c>
      <c r="F34" s="416"/>
      <c r="G34" s="417">
        <f>ROUND(K34/30.126,1)</f>
        <v>99.6</v>
      </c>
      <c r="H34" s="418">
        <f>výdavky!D74</f>
        <v>3209</v>
      </c>
      <c r="I34" s="418">
        <f>výdavky!E74</f>
        <v>3000</v>
      </c>
      <c r="J34" s="418">
        <f>výdavky!F74</f>
        <v>3000</v>
      </c>
      <c r="K34" s="418">
        <f>výdavky!G74</f>
        <v>3000</v>
      </c>
      <c r="L34" s="418">
        <f>výdavky!H74</f>
        <v>3000</v>
      </c>
    </row>
    <row r="35" spans="1:12" ht="12.75">
      <c r="A35" s="332">
        <f aca="true" t="shared" si="6" ref="A35:A52">A34+1</f>
        <v>29</v>
      </c>
      <c r="B35" s="347">
        <v>2</v>
      </c>
      <c r="C35" s="348" t="s">
        <v>248</v>
      </c>
      <c r="D35" s="349"/>
      <c r="E35" s="349"/>
      <c r="F35" s="350"/>
      <c r="G35" s="351">
        <f>G37</f>
        <v>46.5</v>
      </c>
      <c r="H35" s="353">
        <f aca="true" t="shared" si="7" ref="H35:L36">H36</f>
        <v>320</v>
      </c>
      <c r="I35" s="353">
        <f t="shared" si="7"/>
        <v>1400</v>
      </c>
      <c r="J35" s="353">
        <f t="shared" si="7"/>
        <v>1400</v>
      </c>
      <c r="K35" s="353">
        <f t="shared" si="7"/>
        <v>1400</v>
      </c>
      <c r="L35" s="353">
        <f t="shared" si="7"/>
        <v>1400</v>
      </c>
    </row>
    <row r="36" spans="1:12" ht="12.75">
      <c r="A36" s="332">
        <f t="shared" si="6"/>
        <v>30</v>
      </c>
      <c r="B36" s="362"/>
      <c r="C36" s="363"/>
      <c r="D36" s="336" t="s">
        <v>214</v>
      </c>
      <c r="E36" s="364"/>
      <c r="F36" s="365"/>
      <c r="G36" s="366">
        <f>G37</f>
        <v>46.5</v>
      </c>
      <c r="H36" s="367">
        <f t="shared" si="7"/>
        <v>320</v>
      </c>
      <c r="I36" s="367">
        <f t="shared" si="7"/>
        <v>1400</v>
      </c>
      <c r="J36" s="367">
        <f t="shared" si="7"/>
        <v>1400</v>
      </c>
      <c r="K36" s="367">
        <f t="shared" si="7"/>
        <v>1400</v>
      </c>
      <c r="L36" s="367">
        <f t="shared" si="7"/>
        <v>1400</v>
      </c>
    </row>
    <row r="37" spans="1:12" ht="12.75">
      <c r="A37" s="332">
        <f t="shared" si="6"/>
        <v>31</v>
      </c>
      <c r="B37" s="396"/>
      <c r="C37" s="403" t="s">
        <v>221</v>
      </c>
      <c r="D37" s="404" t="s">
        <v>222</v>
      </c>
      <c r="E37" s="371"/>
      <c r="F37" s="372"/>
      <c r="G37" s="419">
        <f>SUM(G38)</f>
        <v>46.5</v>
      </c>
      <c r="H37" s="420">
        <f>SUM(H38:H39)</f>
        <v>320</v>
      </c>
      <c r="I37" s="420">
        <f>SUM(I38:I39)</f>
        <v>1400</v>
      </c>
      <c r="J37" s="420">
        <f>SUM(J38:J39)</f>
        <v>1400</v>
      </c>
      <c r="K37" s="420">
        <f>SUM(K38:K39)</f>
        <v>1400</v>
      </c>
      <c r="L37" s="420">
        <f>SUM(L38:L39)</f>
        <v>1400</v>
      </c>
    </row>
    <row r="38" spans="1:12" ht="12.75">
      <c r="A38" s="332">
        <f t="shared" si="6"/>
        <v>32</v>
      </c>
      <c r="B38" s="401"/>
      <c r="C38" s="407" t="s">
        <v>249</v>
      </c>
      <c r="D38" s="421" t="s">
        <v>250</v>
      </c>
      <c r="E38" s="378" t="s">
        <v>251</v>
      </c>
      <c r="F38" s="422"/>
      <c r="G38" s="423">
        <f>ROUND(K38/30.126,1)</f>
        <v>46.5</v>
      </c>
      <c r="H38" s="424">
        <f>výdavky!D67</f>
        <v>320</v>
      </c>
      <c r="I38" s="424">
        <f>výdavky!E67</f>
        <v>1400</v>
      </c>
      <c r="J38" s="424">
        <f>výdavky!F67</f>
        <v>1400</v>
      </c>
      <c r="K38" s="424">
        <f>výdavky!G67</f>
        <v>1400</v>
      </c>
      <c r="L38" s="424">
        <f>výdavky!H67</f>
        <v>1400</v>
      </c>
    </row>
    <row r="39" spans="1:12" ht="12.75">
      <c r="A39" s="332">
        <f t="shared" si="6"/>
        <v>33</v>
      </c>
      <c r="B39" s="401"/>
      <c r="C39" s="425" t="s">
        <v>249</v>
      </c>
      <c r="D39" s="426" t="s">
        <v>252</v>
      </c>
      <c r="E39" s="387" t="s">
        <v>253</v>
      </c>
      <c r="F39" s="394"/>
      <c r="G39" s="417"/>
      <c r="H39" s="418">
        <v>0</v>
      </c>
      <c r="I39" s="418">
        <v>0</v>
      </c>
      <c r="J39" s="418">
        <v>0</v>
      </c>
      <c r="K39" s="418">
        <v>0</v>
      </c>
      <c r="L39" s="418">
        <v>0</v>
      </c>
    </row>
    <row r="40" spans="1:12" ht="12.75">
      <c r="A40" s="332">
        <f t="shared" si="6"/>
        <v>34</v>
      </c>
      <c r="B40" s="347">
        <v>3</v>
      </c>
      <c r="C40" s="348" t="s">
        <v>254</v>
      </c>
      <c r="D40" s="349"/>
      <c r="E40" s="349"/>
      <c r="F40" s="350"/>
      <c r="G40" s="351">
        <f>G42</f>
        <v>16.6</v>
      </c>
      <c r="H40" s="353">
        <f>SUM(H41+H49)</f>
        <v>150440</v>
      </c>
      <c r="I40" s="353">
        <f>SUM(I41+I49)</f>
        <v>210015.17</v>
      </c>
      <c r="J40" s="353">
        <f>SUM(J41+J49)</f>
        <v>167800</v>
      </c>
      <c r="K40" s="353">
        <f>SUM(K41+K49)</f>
        <v>151300</v>
      </c>
      <c r="L40" s="353">
        <f>SUM(L41+L49)</f>
        <v>800</v>
      </c>
    </row>
    <row r="41" spans="1:12" ht="12.75">
      <c r="A41" s="332">
        <f t="shared" si="6"/>
        <v>35</v>
      </c>
      <c r="B41" s="362"/>
      <c r="C41" s="363"/>
      <c r="D41" s="336" t="s">
        <v>214</v>
      </c>
      <c r="E41" s="364"/>
      <c r="F41" s="365"/>
      <c r="G41" s="366">
        <f>G42</f>
        <v>16.6</v>
      </c>
      <c r="H41" s="367">
        <f>SUM(H42+H44)</f>
        <v>8946</v>
      </c>
      <c r="I41" s="367">
        <f>SUM(I42+I44)</f>
        <v>15220</v>
      </c>
      <c r="J41" s="367">
        <f>SUM(J42+J44)</f>
        <v>7800</v>
      </c>
      <c r="K41" s="367">
        <f>SUM(K42+K44)</f>
        <v>1300</v>
      </c>
      <c r="L41" s="367">
        <f>SUM(L42+L44)</f>
        <v>800</v>
      </c>
    </row>
    <row r="42" spans="1:12" ht="12.75">
      <c r="A42" s="332">
        <f t="shared" si="6"/>
        <v>36</v>
      </c>
      <c r="B42" s="368"/>
      <c r="C42" s="369" t="s">
        <v>255</v>
      </c>
      <c r="D42" s="370" t="s">
        <v>256</v>
      </c>
      <c r="E42" s="371"/>
      <c r="F42" s="372"/>
      <c r="G42" s="373">
        <f>SUM(G43:G43)</f>
        <v>16.6</v>
      </c>
      <c r="H42" s="374">
        <f>H43</f>
        <v>8684</v>
      </c>
      <c r="I42" s="374">
        <f>I43</f>
        <v>14500</v>
      </c>
      <c r="J42" s="374">
        <f>J43</f>
        <v>7000</v>
      </c>
      <c r="K42" s="374">
        <f>K43</f>
        <v>500</v>
      </c>
      <c r="L42" s="374">
        <f>L43</f>
        <v>0</v>
      </c>
    </row>
    <row r="43" spans="1:12" ht="12.75">
      <c r="A43" s="332">
        <f t="shared" si="6"/>
        <v>37</v>
      </c>
      <c r="B43" s="368"/>
      <c r="C43" s="427" t="s">
        <v>257</v>
      </c>
      <c r="D43" s="421" t="s">
        <v>250</v>
      </c>
      <c r="E43" s="409" t="s">
        <v>258</v>
      </c>
      <c r="F43" s="410"/>
      <c r="G43" s="428">
        <f>ROUND(K43/30.126,1)</f>
        <v>16.6</v>
      </c>
      <c r="H43" s="381">
        <f>výdavky!D68</f>
        <v>8684</v>
      </c>
      <c r="I43" s="381">
        <f>výdavky!E68</f>
        <v>14500</v>
      </c>
      <c r="J43" s="381">
        <f>výdavky!F68</f>
        <v>7000</v>
      </c>
      <c r="K43" s="381">
        <f>výdavky!G68</f>
        <v>500</v>
      </c>
      <c r="L43" s="381">
        <f>výdavky!H68</f>
        <v>0</v>
      </c>
    </row>
    <row r="44" spans="1:12" ht="12.75">
      <c r="A44" s="332">
        <f t="shared" si="6"/>
        <v>38</v>
      </c>
      <c r="B44" s="368"/>
      <c r="C44" s="369" t="s">
        <v>259</v>
      </c>
      <c r="D44" s="370" t="s">
        <v>260</v>
      </c>
      <c r="E44" s="371"/>
      <c r="F44" s="372"/>
      <c r="G44" s="373">
        <f>SUM(G45:G45)</f>
        <v>0</v>
      </c>
      <c r="H44" s="374">
        <f>SUM(H45:H48)</f>
        <v>262</v>
      </c>
      <c r="I44" s="374">
        <f>SUM(I45:I48)</f>
        <v>720</v>
      </c>
      <c r="J44" s="374">
        <f>SUM(J45:J48)</f>
        <v>800</v>
      </c>
      <c r="K44" s="374">
        <f>SUM(K45:K48)</f>
        <v>800</v>
      </c>
      <c r="L44" s="374">
        <f>SUM(L45:L48)</f>
        <v>800</v>
      </c>
    </row>
    <row r="45" spans="1:12" ht="12.75">
      <c r="A45" s="332">
        <f t="shared" si="6"/>
        <v>39</v>
      </c>
      <c r="B45" s="368"/>
      <c r="C45" s="427" t="s">
        <v>261</v>
      </c>
      <c r="D45" s="421" t="s">
        <v>252</v>
      </c>
      <c r="E45" s="378" t="s">
        <v>262</v>
      </c>
      <c r="F45" s="422"/>
      <c r="G45" s="428">
        <f>ROUND(K45/30.126,1)</f>
        <v>0</v>
      </c>
      <c r="H45" s="381">
        <v>0</v>
      </c>
      <c r="I45" s="381">
        <v>0</v>
      </c>
      <c r="J45" s="381">
        <v>0</v>
      </c>
      <c r="K45" s="381">
        <v>0</v>
      </c>
      <c r="L45" s="381">
        <v>0</v>
      </c>
    </row>
    <row r="46" spans="1:12" ht="12.75">
      <c r="A46" s="332">
        <f t="shared" si="6"/>
        <v>40</v>
      </c>
      <c r="B46" s="368"/>
      <c r="C46" s="427" t="s">
        <v>261</v>
      </c>
      <c r="D46" s="426" t="s">
        <v>263</v>
      </c>
      <c r="E46" s="387" t="s">
        <v>264</v>
      </c>
      <c r="F46" s="394"/>
      <c r="G46" s="395">
        <f>ROUND(K46/30.126,1)</f>
        <v>26.6</v>
      </c>
      <c r="H46" s="386">
        <v>0</v>
      </c>
      <c r="I46" s="386">
        <v>0</v>
      </c>
      <c r="J46" s="386">
        <f>výdavky!F75</f>
        <v>800</v>
      </c>
      <c r="K46" s="386">
        <f>výdavky!G75</f>
        <v>800</v>
      </c>
      <c r="L46" s="386">
        <f>výdavky!H75</f>
        <v>800</v>
      </c>
    </row>
    <row r="47" spans="1:12" s="432" customFormat="1" ht="11.25">
      <c r="A47" s="332">
        <f t="shared" si="6"/>
        <v>41</v>
      </c>
      <c r="B47" s="429"/>
      <c r="C47" s="427" t="s">
        <v>261</v>
      </c>
      <c r="D47" s="421" t="s">
        <v>265</v>
      </c>
      <c r="E47" s="430" t="s">
        <v>266</v>
      </c>
      <c r="F47" s="429"/>
      <c r="G47" s="429"/>
      <c r="H47" s="431">
        <v>0</v>
      </c>
      <c r="I47" s="431">
        <v>0</v>
      </c>
      <c r="J47" s="431">
        <v>0</v>
      </c>
      <c r="K47" s="431">
        <v>0</v>
      </c>
      <c r="L47" s="431">
        <v>0</v>
      </c>
    </row>
    <row r="48" spans="1:12" s="432" customFormat="1" ht="11.25">
      <c r="A48" s="332">
        <f t="shared" si="6"/>
        <v>42</v>
      </c>
      <c r="B48" s="429"/>
      <c r="C48" s="427" t="s">
        <v>261</v>
      </c>
      <c r="D48" s="426" t="s">
        <v>267</v>
      </c>
      <c r="E48" s="433" t="s">
        <v>268</v>
      </c>
      <c r="F48" s="434"/>
      <c r="G48" s="434"/>
      <c r="H48" s="435">
        <f>výdavky!D69</f>
        <v>262</v>
      </c>
      <c r="I48" s="435">
        <f>výdavky!E69</f>
        <v>720</v>
      </c>
      <c r="J48" s="435">
        <f>výdavky!F69</f>
        <v>0</v>
      </c>
      <c r="K48" s="435">
        <f>výdavky!G69</f>
        <v>0</v>
      </c>
      <c r="L48" s="435">
        <f>výdavky!H69</f>
        <v>0</v>
      </c>
    </row>
    <row r="49" spans="1:12" ht="12.75">
      <c r="A49" s="332">
        <f t="shared" si="6"/>
        <v>43</v>
      </c>
      <c r="B49" s="368"/>
      <c r="C49" s="436"/>
      <c r="D49" s="337" t="s">
        <v>269</v>
      </c>
      <c r="E49" s="393"/>
      <c r="F49" s="365"/>
      <c r="G49" s="366" t="e">
        <f aca="true" t="shared" si="8" ref="G49:L49">G50</f>
        <v>#REF!</v>
      </c>
      <c r="H49" s="367">
        <f t="shared" si="8"/>
        <v>141494</v>
      </c>
      <c r="I49" s="367">
        <f t="shared" si="8"/>
        <v>194795.17</v>
      </c>
      <c r="J49" s="367">
        <f t="shared" si="8"/>
        <v>160000</v>
      </c>
      <c r="K49" s="367">
        <f t="shared" si="8"/>
        <v>150000</v>
      </c>
      <c r="L49" s="367">
        <f t="shared" si="8"/>
        <v>0</v>
      </c>
    </row>
    <row r="50" spans="1:12" ht="12.75">
      <c r="A50" s="332">
        <f t="shared" si="6"/>
        <v>44</v>
      </c>
      <c r="B50" s="368"/>
      <c r="C50" s="369" t="s">
        <v>221</v>
      </c>
      <c r="D50" s="370" t="s">
        <v>260</v>
      </c>
      <c r="E50" s="371"/>
      <c r="F50" s="372"/>
      <c r="G50" s="437" t="e">
        <f>SUM(#REF!)</f>
        <v>#REF!</v>
      </c>
      <c r="H50" s="438">
        <f>SUM(H51:H52)</f>
        <v>141494</v>
      </c>
      <c r="I50" s="438">
        <f>SUM(I51:I52)</f>
        <v>194795.17</v>
      </c>
      <c r="J50" s="438">
        <f>SUM(J51:J52)</f>
        <v>160000</v>
      </c>
      <c r="K50" s="438">
        <f>SUM(K51:K52)</f>
        <v>150000</v>
      </c>
      <c r="L50" s="438">
        <f>SUM(L51:L52)</f>
        <v>0</v>
      </c>
    </row>
    <row r="51" spans="1:12" s="432" customFormat="1" ht="11.25">
      <c r="A51" s="332">
        <f t="shared" si="6"/>
        <v>45</v>
      </c>
      <c r="B51" s="368"/>
      <c r="C51" s="376" t="s">
        <v>270</v>
      </c>
      <c r="D51" s="421" t="s">
        <v>271</v>
      </c>
      <c r="E51" s="409" t="s">
        <v>272</v>
      </c>
      <c r="F51" s="439"/>
      <c r="G51" s="440"/>
      <c r="H51" s="441">
        <f>výdavky!D434</f>
        <v>6161</v>
      </c>
      <c r="I51" s="441">
        <f>výdavky!E434</f>
        <v>6000</v>
      </c>
      <c r="J51" s="441">
        <f>výdavky!F434</f>
        <v>0</v>
      </c>
      <c r="K51" s="441">
        <f>výdavky!G434</f>
        <v>0</v>
      </c>
      <c r="L51" s="441">
        <f>výdavky!H434</f>
        <v>0</v>
      </c>
    </row>
    <row r="52" spans="1:12" s="432" customFormat="1" ht="11.25">
      <c r="A52" s="332">
        <f t="shared" si="6"/>
        <v>46</v>
      </c>
      <c r="B52" s="368"/>
      <c r="C52" s="376" t="s">
        <v>273</v>
      </c>
      <c r="D52" s="426" t="s">
        <v>274</v>
      </c>
      <c r="E52" s="413" t="s">
        <v>275</v>
      </c>
      <c r="F52" s="416"/>
      <c r="G52" s="442"/>
      <c r="H52" s="443">
        <f>výdavky!D435</f>
        <v>135333</v>
      </c>
      <c r="I52" s="443">
        <f>výdavky!E435</f>
        <v>188795.17</v>
      </c>
      <c r="J52" s="443">
        <f>výdavky!F435</f>
        <v>160000</v>
      </c>
      <c r="K52" s="443">
        <f>výdavky!G435</f>
        <v>150000</v>
      </c>
      <c r="L52" s="443">
        <f>výdavky!H435</f>
        <v>0</v>
      </c>
    </row>
    <row r="53" spans="1:12" ht="12.75">
      <c r="A53" s="332">
        <v>43</v>
      </c>
      <c r="B53" s="444">
        <v>4</v>
      </c>
      <c r="C53" s="445" t="s">
        <v>276</v>
      </c>
      <c r="D53" s="349"/>
      <c r="E53" s="349"/>
      <c r="F53" s="350"/>
      <c r="G53" s="351">
        <f>SUM(G55)</f>
        <v>425.3</v>
      </c>
      <c r="H53" s="353">
        <f>SUM(H54)</f>
        <v>12544</v>
      </c>
      <c r="I53" s="353">
        <f>SUM(I54)</f>
        <v>12815</v>
      </c>
      <c r="J53" s="353">
        <f>SUM(J54)</f>
        <v>12815</v>
      </c>
      <c r="K53" s="353">
        <f>SUM(K54)</f>
        <v>12815</v>
      </c>
      <c r="L53" s="353">
        <f>SUM(L54)</f>
        <v>12815</v>
      </c>
    </row>
    <row r="54" spans="1:12" ht="12.75">
      <c r="A54" s="332">
        <v>49</v>
      </c>
      <c r="B54" s="446"/>
      <c r="C54" s="436"/>
      <c r="D54" s="336" t="s">
        <v>214</v>
      </c>
      <c r="E54" s="364"/>
      <c r="F54" s="365"/>
      <c r="G54" s="366">
        <f aca="true" t="shared" si="9" ref="G54:L54">G55</f>
        <v>425.3</v>
      </c>
      <c r="H54" s="367">
        <f t="shared" si="9"/>
        <v>12544</v>
      </c>
      <c r="I54" s="367">
        <f t="shared" si="9"/>
        <v>12815</v>
      </c>
      <c r="J54" s="367">
        <f t="shared" si="9"/>
        <v>12815</v>
      </c>
      <c r="K54" s="367">
        <f t="shared" si="9"/>
        <v>12815</v>
      </c>
      <c r="L54" s="367">
        <f t="shared" si="9"/>
        <v>12815</v>
      </c>
    </row>
    <row r="55" spans="1:12" ht="12.75">
      <c r="A55" s="332">
        <f aca="true" t="shared" si="10" ref="A55:A61">A54+1</f>
        <v>50</v>
      </c>
      <c r="B55" s="368"/>
      <c r="C55" s="447" t="s">
        <v>277</v>
      </c>
      <c r="D55" s="404" t="s">
        <v>278</v>
      </c>
      <c r="E55" s="371"/>
      <c r="F55" s="372"/>
      <c r="G55" s="406">
        <f>SUM(G56:G61)</f>
        <v>425.3</v>
      </c>
      <c r="H55" s="374">
        <f>H56+H57+H58+H59+H60+H61</f>
        <v>12544</v>
      </c>
      <c r="I55" s="374">
        <f>SUM(I56:I61)</f>
        <v>12815</v>
      </c>
      <c r="J55" s="374">
        <f>SUM(J56:J61)</f>
        <v>12815</v>
      </c>
      <c r="K55" s="374">
        <f>SUM(K56:K61)</f>
        <v>12815</v>
      </c>
      <c r="L55" s="374">
        <f>SUM(L56:L61)</f>
        <v>12815</v>
      </c>
    </row>
    <row r="56" spans="1:12" ht="12.75">
      <c r="A56" s="332">
        <f t="shared" si="10"/>
        <v>51</v>
      </c>
      <c r="B56" s="368"/>
      <c r="C56" s="427" t="s">
        <v>223</v>
      </c>
      <c r="D56" s="421" t="s">
        <v>250</v>
      </c>
      <c r="E56" s="378" t="s">
        <v>279</v>
      </c>
      <c r="F56" s="422"/>
      <c r="G56" s="428">
        <f aca="true" t="shared" si="11" ref="G56:G61">ROUND(K56/30.126,1)</f>
        <v>298.7</v>
      </c>
      <c r="H56" s="381">
        <f>výdavky!D78</f>
        <v>9006</v>
      </c>
      <c r="I56" s="381">
        <f>výdavky!E78</f>
        <v>9000</v>
      </c>
      <c r="J56" s="381">
        <f>výdavky!F78</f>
        <v>9000</v>
      </c>
      <c r="K56" s="381">
        <f>výdavky!G78</f>
        <v>9000</v>
      </c>
      <c r="L56" s="381">
        <f>výdavky!H78</f>
        <v>9000</v>
      </c>
    </row>
    <row r="57" spans="1:12" ht="12.75">
      <c r="A57" s="332">
        <f t="shared" si="10"/>
        <v>52</v>
      </c>
      <c r="B57" s="368"/>
      <c r="C57" s="427" t="s">
        <v>225</v>
      </c>
      <c r="D57" s="426" t="s">
        <v>252</v>
      </c>
      <c r="E57" s="387" t="s">
        <v>280</v>
      </c>
      <c r="F57" s="394"/>
      <c r="G57" s="395">
        <f t="shared" si="11"/>
        <v>106.2</v>
      </c>
      <c r="H57" s="386">
        <f>výdavky!D80</f>
        <v>3096</v>
      </c>
      <c r="I57" s="386">
        <f>výdavky!E80</f>
        <v>3200</v>
      </c>
      <c r="J57" s="386">
        <f>výdavky!F80</f>
        <v>3200</v>
      </c>
      <c r="K57" s="386">
        <f>výdavky!G80</f>
        <v>3200</v>
      </c>
      <c r="L57" s="386">
        <f>výdavky!H80</f>
        <v>3200</v>
      </c>
    </row>
    <row r="58" spans="1:12" ht="12.75">
      <c r="A58" s="332">
        <f t="shared" si="10"/>
        <v>53</v>
      </c>
      <c r="B58" s="368"/>
      <c r="C58" s="427" t="s">
        <v>261</v>
      </c>
      <c r="D58" s="421" t="s">
        <v>263</v>
      </c>
      <c r="E58" s="378" t="s">
        <v>281</v>
      </c>
      <c r="F58" s="422"/>
      <c r="G58" s="428">
        <f t="shared" si="11"/>
        <v>0.5</v>
      </c>
      <c r="H58" s="381">
        <f>výdavky!D82</f>
        <v>16</v>
      </c>
      <c r="I58" s="381">
        <f>výdavky!E82</f>
        <v>15</v>
      </c>
      <c r="J58" s="381">
        <f>výdavky!F82</f>
        <v>15</v>
      </c>
      <c r="K58" s="381">
        <f>výdavky!G82</f>
        <v>15</v>
      </c>
      <c r="L58" s="381">
        <f>výdavky!H82</f>
        <v>15</v>
      </c>
    </row>
    <row r="59" spans="1:12" ht="12.75">
      <c r="A59" s="332">
        <f t="shared" si="10"/>
        <v>54</v>
      </c>
      <c r="B59" s="368"/>
      <c r="C59" s="427" t="s">
        <v>261</v>
      </c>
      <c r="D59" s="426" t="s">
        <v>265</v>
      </c>
      <c r="E59" s="383" t="s">
        <v>282</v>
      </c>
      <c r="F59" s="414"/>
      <c r="G59" s="395">
        <f t="shared" si="11"/>
        <v>13.3</v>
      </c>
      <c r="H59" s="386">
        <f>výdavky!D83</f>
        <v>170</v>
      </c>
      <c r="I59" s="386">
        <f>výdavky!E83</f>
        <v>400</v>
      </c>
      <c r="J59" s="386">
        <f>výdavky!F83</f>
        <v>400</v>
      </c>
      <c r="K59" s="386">
        <f>výdavky!G83</f>
        <v>400</v>
      </c>
      <c r="L59" s="386">
        <f>výdavky!H83</f>
        <v>400</v>
      </c>
    </row>
    <row r="60" spans="1:12" ht="12.75">
      <c r="A60" s="332">
        <f t="shared" si="10"/>
        <v>55</v>
      </c>
      <c r="B60" s="368"/>
      <c r="C60" s="427" t="s">
        <v>261</v>
      </c>
      <c r="D60" s="421" t="s">
        <v>267</v>
      </c>
      <c r="E60" s="448" t="s">
        <v>283</v>
      </c>
      <c r="F60" s="410"/>
      <c r="G60" s="428">
        <f t="shared" si="11"/>
        <v>0</v>
      </c>
      <c r="H60" s="381">
        <f>výdavky!D86</f>
        <v>0</v>
      </c>
      <c r="I60" s="381">
        <f>výdavky!E86</f>
        <v>0</v>
      </c>
      <c r="J60" s="381">
        <f>výdavky!F86</f>
        <v>0</v>
      </c>
      <c r="K60" s="381">
        <f>výdavky!G86</f>
        <v>0</v>
      </c>
      <c r="L60" s="381">
        <f>výdavky!H86</f>
        <v>0</v>
      </c>
    </row>
    <row r="61" spans="1:12" ht="12.75">
      <c r="A61" s="332">
        <f t="shared" si="10"/>
        <v>56</v>
      </c>
      <c r="B61" s="368"/>
      <c r="C61" s="427" t="s">
        <v>261</v>
      </c>
      <c r="D61" s="426" t="s">
        <v>271</v>
      </c>
      <c r="E61" s="383" t="s">
        <v>240</v>
      </c>
      <c r="F61" s="414"/>
      <c r="G61" s="395">
        <f t="shared" si="11"/>
        <v>6.6</v>
      </c>
      <c r="H61" s="386">
        <f>výdavky!D87</f>
        <v>256</v>
      </c>
      <c r="I61" s="386">
        <f>výdavky!E87</f>
        <v>200</v>
      </c>
      <c r="J61" s="386">
        <f>výdavky!F87</f>
        <v>200</v>
      </c>
      <c r="K61" s="386">
        <f>výdavky!G87</f>
        <v>200</v>
      </c>
      <c r="L61" s="386">
        <f>výdavky!H87</f>
        <v>200</v>
      </c>
    </row>
    <row r="62" spans="1:12" ht="12.75">
      <c r="A62" s="332">
        <v>57</v>
      </c>
      <c r="B62" s="347">
        <v>5</v>
      </c>
      <c r="C62" s="449" t="s">
        <v>284</v>
      </c>
      <c r="D62" s="349"/>
      <c r="E62" s="349"/>
      <c r="F62" s="450"/>
      <c r="G62" s="351">
        <v>0</v>
      </c>
      <c r="H62" s="353">
        <f aca="true" t="shared" si="12" ref="H62:L63">H63</f>
        <v>0</v>
      </c>
      <c r="I62" s="353">
        <f t="shared" si="12"/>
        <v>0</v>
      </c>
      <c r="J62" s="353">
        <f t="shared" si="12"/>
        <v>0</v>
      </c>
      <c r="K62" s="353">
        <f t="shared" si="12"/>
        <v>0</v>
      </c>
      <c r="L62" s="353">
        <f t="shared" si="12"/>
        <v>0</v>
      </c>
    </row>
    <row r="63" spans="1:12" ht="12.75">
      <c r="A63" s="332">
        <f>A62+1</f>
        <v>58</v>
      </c>
      <c r="B63" s="362"/>
      <c r="C63" s="363"/>
      <c r="D63" s="337" t="s">
        <v>214</v>
      </c>
      <c r="E63" s="364"/>
      <c r="F63" s="365"/>
      <c r="G63" s="366">
        <f>G64</f>
        <v>0</v>
      </c>
      <c r="H63" s="367">
        <f t="shared" si="12"/>
        <v>0</v>
      </c>
      <c r="I63" s="367">
        <f t="shared" si="12"/>
        <v>0</v>
      </c>
      <c r="J63" s="367">
        <f t="shared" si="12"/>
        <v>0</v>
      </c>
      <c r="K63" s="367">
        <f t="shared" si="12"/>
        <v>0</v>
      </c>
      <c r="L63" s="367">
        <f t="shared" si="12"/>
        <v>0</v>
      </c>
    </row>
    <row r="64" spans="1:12" ht="12.75">
      <c r="A64" s="332">
        <f>A63+1</f>
        <v>59</v>
      </c>
      <c r="B64" s="362"/>
      <c r="C64" s="451" t="s">
        <v>285</v>
      </c>
      <c r="D64" s="404" t="s">
        <v>286</v>
      </c>
      <c r="E64" s="371"/>
      <c r="F64" s="405"/>
      <c r="G64" s="406">
        <f>SUM(G65:G65)</f>
        <v>0</v>
      </c>
      <c r="H64" s="374">
        <f>SUM(H65:H66)</f>
        <v>0</v>
      </c>
      <c r="I64" s="374">
        <f>SUM(I65:I66)</f>
        <v>0</v>
      </c>
      <c r="J64" s="374">
        <f>SUM(J65:J66)</f>
        <v>0</v>
      </c>
      <c r="K64" s="374">
        <f>SUM(K65:K66)</f>
        <v>0</v>
      </c>
      <c r="L64" s="374">
        <f>SUM(L65:L66)</f>
        <v>0</v>
      </c>
    </row>
    <row r="65" spans="1:12" ht="12.75">
      <c r="A65" s="332">
        <f>A64+1</f>
        <v>60</v>
      </c>
      <c r="B65" s="362"/>
      <c r="C65" s="452">
        <v>630</v>
      </c>
      <c r="D65" s="412">
        <v>1</v>
      </c>
      <c r="E65" s="453" t="s">
        <v>287</v>
      </c>
      <c r="F65" s="454"/>
      <c r="G65" s="455"/>
      <c r="H65" s="443">
        <v>0</v>
      </c>
      <c r="I65" s="443">
        <v>0</v>
      </c>
      <c r="J65" s="443">
        <v>0</v>
      </c>
      <c r="K65" s="443">
        <v>0</v>
      </c>
      <c r="L65" s="443">
        <v>0</v>
      </c>
    </row>
    <row r="66" spans="1:12" ht="12.75">
      <c r="A66" s="456">
        <f>A65+1</f>
        <v>61</v>
      </c>
      <c r="B66" s="457"/>
      <c r="C66" s="458">
        <v>630</v>
      </c>
      <c r="D66" s="459">
        <v>2</v>
      </c>
      <c r="E66" s="460" t="s">
        <v>288</v>
      </c>
      <c r="F66" s="461"/>
      <c r="G66" s="462"/>
      <c r="H66" s="463">
        <v>0</v>
      </c>
      <c r="I66" s="463">
        <v>0</v>
      </c>
      <c r="J66" s="463">
        <v>0</v>
      </c>
      <c r="K66" s="463">
        <v>0</v>
      </c>
      <c r="L66" s="463">
        <v>0</v>
      </c>
    </row>
  </sheetData>
  <mergeCells count="2">
    <mergeCell ref="G3:L3"/>
    <mergeCell ref="D4:F6"/>
  </mergeCells>
  <printOptions/>
  <pageMargins left="0.5905511811023623" right="0.1968503937007874" top="0.5905511811023623" bottom="0.3937007874015748" header="0.5118110236220472" footer="0.5118110236220472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5"/>
  <sheetViews>
    <sheetView workbookViewId="0" topLeftCell="A1">
      <selection activeCell="I15" sqref="I15"/>
    </sheetView>
  </sheetViews>
  <sheetFormatPr defaultColWidth="9.140625" defaultRowHeight="12.75"/>
  <cols>
    <col min="1" max="1" width="3.57421875" style="0" customWidth="1"/>
    <col min="2" max="2" width="4.140625" style="0" customWidth="1"/>
    <col min="4" max="4" width="3.421875" style="0" customWidth="1"/>
    <col min="5" max="5" width="31.140625" style="0" customWidth="1"/>
    <col min="6" max="6" width="11.8515625" style="0" customWidth="1"/>
    <col min="7" max="7" width="0" style="0" hidden="1" customWidth="1"/>
    <col min="10" max="10" width="8.421875" style="0" customWidth="1"/>
  </cols>
  <sheetData>
    <row r="1" spans="1:12" ht="15.75">
      <c r="A1" s="295"/>
      <c r="B1" s="299" t="s">
        <v>289</v>
      </c>
      <c r="E1" s="299" t="s">
        <v>290</v>
      </c>
      <c r="F1" s="297"/>
      <c r="G1" s="464" t="e">
        <f>G2-G7</f>
        <v>#REF!</v>
      </c>
      <c r="H1" s="464"/>
      <c r="I1" s="464"/>
      <c r="J1" s="465">
        <f>J2-J7</f>
        <v>0</v>
      </c>
      <c r="K1" s="465">
        <f>K2-K7</f>
        <v>0</v>
      </c>
      <c r="L1" s="465">
        <f>L2-L7</f>
        <v>0</v>
      </c>
    </row>
    <row r="2" spans="1:12" ht="15.75">
      <c r="A2" s="295"/>
      <c r="B2" s="299"/>
      <c r="G2" s="466" t="e">
        <f>SUM(G8:G10)</f>
        <v>#REF!</v>
      </c>
      <c r="H2" s="466"/>
      <c r="I2" s="466"/>
      <c r="J2" s="307">
        <f>SUM(J8:J10)</f>
        <v>520</v>
      </c>
      <c r="K2" s="307">
        <f>SUM(K8:K10)</f>
        <v>520</v>
      </c>
      <c r="L2" s="307">
        <f>SUM(L8:L10)</f>
        <v>520</v>
      </c>
    </row>
    <row r="3" spans="1:12" ht="15.75">
      <c r="A3" s="308"/>
      <c r="B3" s="309"/>
      <c r="C3" s="310"/>
      <c r="D3" s="310"/>
      <c r="E3" s="311"/>
      <c r="F3" s="312"/>
      <c r="G3" s="1275" t="s">
        <v>201</v>
      </c>
      <c r="H3" s="1275"/>
      <c r="I3" s="1275"/>
      <c r="J3" s="1275"/>
      <c r="K3" s="1275"/>
      <c r="L3" s="1275"/>
    </row>
    <row r="4" spans="1:12" ht="12.75">
      <c r="A4" s="313"/>
      <c r="B4" s="314" t="s">
        <v>202</v>
      </c>
      <c r="C4" s="315" t="s">
        <v>203</v>
      </c>
      <c r="D4" s="1277" t="s">
        <v>204</v>
      </c>
      <c r="E4" s="1277"/>
      <c r="F4" s="1277"/>
      <c r="G4" s="316"/>
      <c r="H4" s="317">
        <v>2011</v>
      </c>
      <c r="I4" s="318">
        <v>2012</v>
      </c>
      <c r="J4" s="318">
        <v>2013</v>
      </c>
      <c r="K4" s="318">
        <v>2014</v>
      </c>
      <c r="L4" s="318">
        <v>2015</v>
      </c>
    </row>
    <row r="5" spans="1:12" ht="12.75">
      <c r="A5" s="313"/>
      <c r="B5" s="314" t="s">
        <v>205</v>
      </c>
      <c r="C5" s="315" t="s">
        <v>206</v>
      </c>
      <c r="D5" s="1277"/>
      <c r="E5" s="1277"/>
      <c r="F5" s="1277"/>
      <c r="G5" s="319" t="s">
        <v>207</v>
      </c>
      <c r="H5" s="467" t="s">
        <v>208</v>
      </c>
      <c r="I5" s="320" t="s">
        <v>209</v>
      </c>
      <c r="J5" s="320" t="s">
        <v>209</v>
      </c>
      <c r="K5" s="320" t="s">
        <v>209</v>
      </c>
      <c r="L5" s="320" t="s">
        <v>209</v>
      </c>
    </row>
    <row r="6" spans="1:12" ht="12.75">
      <c r="A6" s="468"/>
      <c r="B6" s="469" t="s">
        <v>210</v>
      </c>
      <c r="C6" s="470" t="s">
        <v>211</v>
      </c>
      <c r="D6" s="1277"/>
      <c r="E6" s="1277"/>
      <c r="F6" s="1277"/>
      <c r="G6" s="471">
        <v>1</v>
      </c>
      <c r="H6" s="471">
        <v>-2</v>
      </c>
      <c r="I6" s="472">
        <v>-1</v>
      </c>
      <c r="J6" s="472">
        <v>1</v>
      </c>
      <c r="K6" s="472">
        <v>2</v>
      </c>
      <c r="L6" s="472">
        <v>3</v>
      </c>
    </row>
    <row r="7" spans="1:12" ht="15">
      <c r="A7" s="332">
        <v>1</v>
      </c>
      <c r="B7" s="473" t="s">
        <v>289</v>
      </c>
      <c r="C7" s="474"/>
      <c r="D7" s="475"/>
      <c r="E7" s="476" t="s">
        <v>290</v>
      </c>
      <c r="F7" s="477"/>
      <c r="G7" s="478" t="e">
        <f>G11+#REF!</f>
        <v>#REF!</v>
      </c>
      <c r="H7" s="479">
        <f>SUM(H8:H10)</f>
        <v>338</v>
      </c>
      <c r="I7" s="331">
        <f>SUM(I8:I10)</f>
        <v>520</v>
      </c>
      <c r="J7" s="331">
        <f>SUM(J8:J10)</f>
        <v>520</v>
      </c>
      <c r="K7" s="331">
        <f>SUM(K8:K10)</f>
        <v>520</v>
      </c>
      <c r="L7" s="331">
        <f>SUM(L8:L10)</f>
        <v>520</v>
      </c>
    </row>
    <row r="8" spans="1:12" ht="12.75">
      <c r="A8" s="332">
        <f aca="true" t="shared" si="0" ref="A8:A15">A7+1</f>
        <v>2</v>
      </c>
      <c r="B8" s="480" t="s">
        <v>213</v>
      </c>
      <c r="C8" s="334" t="s">
        <v>214</v>
      </c>
      <c r="D8" s="335"/>
      <c r="E8" s="336"/>
      <c r="F8" s="337"/>
      <c r="G8" s="481" t="e">
        <f>G12+#REF!</f>
        <v>#REF!</v>
      </c>
      <c r="H8" s="482">
        <f>SUM(H12)</f>
        <v>338</v>
      </c>
      <c r="I8" s="483">
        <f>SUM(I12)</f>
        <v>520</v>
      </c>
      <c r="J8" s="483">
        <f>SUM(J12)</f>
        <v>520</v>
      </c>
      <c r="K8" s="483">
        <f>SUM(K12)</f>
        <v>520</v>
      </c>
      <c r="L8" s="483">
        <f>SUM(L12)</f>
        <v>520</v>
      </c>
    </row>
    <row r="9" spans="1:12" ht="12.75">
      <c r="A9" s="332">
        <f t="shared" si="0"/>
        <v>3</v>
      </c>
      <c r="B9" s="480" t="s">
        <v>215</v>
      </c>
      <c r="C9" s="334" t="s">
        <v>216</v>
      </c>
      <c r="D9" s="335"/>
      <c r="E9" s="336"/>
      <c r="F9" s="337"/>
      <c r="G9" s="481" t="e">
        <f>#REF!</f>
        <v>#REF!</v>
      </c>
      <c r="H9" s="484">
        <v>0</v>
      </c>
      <c r="I9" s="483">
        <v>0</v>
      </c>
      <c r="J9" s="483">
        <v>0</v>
      </c>
      <c r="K9" s="483">
        <v>0</v>
      </c>
      <c r="L9" s="483">
        <v>0</v>
      </c>
    </row>
    <row r="10" spans="1:12" ht="12.75">
      <c r="A10" s="332">
        <f t="shared" si="0"/>
        <v>4</v>
      </c>
      <c r="B10" s="485"/>
      <c r="C10" s="341" t="s">
        <v>217</v>
      </c>
      <c r="D10" s="342"/>
      <c r="E10" s="343"/>
      <c r="F10" s="344"/>
      <c r="G10" s="486">
        <v>0</v>
      </c>
      <c r="H10" s="487">
        <v>0</v>
      </c>
      <c r="I10" s="488">
        <v>0</v>
      </c>
      <c r="J10" s="488">
        <v>0</v>
      </c>
      <c r="K10" s="488">
        <v>0</v>
      </c>
      <c r="L10" s="488">
        <v>0</v>
      </c>
    </row>
    <row r="11" spans="1:12" ht="12.75">
      <c r="A11" s="332">
        <f t="shared" si="0"/>
        <v>5</v>
      </c>
      <c r="B11" s="489">
        <v>1</v>
      </c>
      <c r="C11" s="449" t="s">
        <v>291</v>
      </c>
      <c r="D11" s="349"/>
      <c r="E11" s="349"/>
      <c r="F11" s="350"/>
      <c r="G11" s="351" t="e">
        <f>SUM(G13)+#REF!</f>
        <v>#REF!</v>
      </c>
      <c r="H11" s="490">
        <f aca="true" t="shared" si="1" ref="H11:L12">H12</f>
        <v>338</v>
      </c>
      <c r="I11" s="353">
        <f t="shared" si="1"/>
        <v>520</v>
      </c>
      <c r="J11" s="353">
        <f t="shared" si="1"/>
        <v>520</v>
      </c>
      <c r="K11" s="353">
        <f t="shared" si="1"/>
        <v>520</v>
      </c>
      <c r="L11" s="353">
        <f t="shared" si="1"/>
        <v>520</v>
      </c>
    </row>
    <row r="12" spans="1:12" ht="12.75">
      <c r="A12" s="332">
        <f t="shared" si="0"/>
        <v>6</v>
      </c>
      <c r="B12" s="491"/>
      <c r="C12" s="363"/>
      <c r="D12" s="337" t="s">
        <v>214</v>
      </c>
      <c r="E12" s="364"/>
      <c r="F12" s="365"/>
      <c r="G12" s="366" t="e">
        <f>G13</f>
        <v>#REF!</v>
      </c>
      <c r="H12" s="492">
        <f t="shared" si="1"/>
        <v>338</v>
      </c>
      <c r="I12" s="367">
        <f t="shared" si="1"/>
        <v>520</v>
      </c>
      <c r="J12" s="367">
        <f t="shared" si="1"/>
        <v>520</v>
      </c>
      <c r="K12" s="367">
        <f t="shared" si="1"/>
        <v>520</v>
      </c>
      <c r="L12" s="367">
        <f t="shared" si="1"/>
        <v>520</v>
      </c>
    </row>
    <row r="13" spans="1:12" ht="12.75">
      <c r="A13" s="332">
        <f t="shared" si="0"/>
        <v>7</v>
      </c>
      <c r="B13" s="493"/>
      <c r="C13" s="494" t="s">
        <v>292</v>
      </c>
      <c r="D13" s="404" t="s">
        <v>291</v>
      </c>
      <c r="E13" s="495"/>
      <c r="F13" s="496"/>
      <c r="G13" s="406" t="e">
        <f>SUM(#REF!)</f>
        <v>#REF!</v>
      </c>
      <c r="H13" s="497">
        <f>SUM(H14:H15)</f>
        <v>338</v>
      </c>
      <c r="I13" s="374">
        <f>SUM(I14:I15)</f>
        <v>520</v>
      </c>
      <c r="J13" s="374">
        <f>SUM(J14:J15)</f>
        <v>520</v>
      </c>
      <c r="K13" s="374">
        <f>SUM(K14:K15)</f>
        <v>520</v>
      </c>
      <c r="L13" s="374">
        <f>SUM(L14:L15)</f>
        <v>520</v>
      </c>
    </row>
    <row r="14" spans="1:12" ht="12.75">
      <c r="A14" s="332">
        <f t="shared" si="0"/>
        <v>8</v>
      </c>
      <c r="B14" s="493"/>
      <c r="C14" s="425" t="s">
        <v>229</v>
      </c>
      <c r="D14" s="426" t="s">
        <v>250</v>
      </c>
      <c r="E14" s="383" t="s">
        <v>293</v>
      </c>
      <c r="F14" s="414"/>
      <c r="G14" s="415"/>
      <c r="H14" s="498">
        <f>výdavky!D99</f>
        <v>143</v>
      </c>
      <c r="I14" s="386">
        <f>výdavky!E99</f>
        <v>320</v>
      </c>
      <c r="J14" s="386">
        <f>výdavky!F99</f>
        <v>320</v>
      </c>
      <c r="K14" s="386">
        <f>výdavky!G99</f>
        <v>320</v>
      </c>
      <c r="L14" s="386">
        <f>výdavky!H99</f>
        <v>320</v>
      </c>
    </row>
    <row r="15" spans="1:12" ht="12.75">
      <c r="A15" s="456">
        <f t="shared" si="0"/>
        <v>9</v>
      </c>
      <c r="B15" s="499"/>
      <c r="C15" s="500" t="s">
        <v>239</v>
      </c>
      <c r="D15" s="501" t="s">
        <v>252</v>
      </c>
      <c r="E15" s="502" t="s">
        <v>294</v>
      </c>
      <c r="F15" s="503"/>
      <c r="G15" s="504"/>
      <c r="H15" s="505">
        <f>výdavky!D100</f>
        <v>195</v>
      </c>
      <c r="I15" s="506">
        <f>výdavky!E100</f>
        <v>200</v>
      </c>
      <c r="J15" s="506">
        <f>výdavky!F100</f>
        <v>200</v>
      </c>
      <c r="K15" s="506">
        <f>výdavky!G100</f>
        <v>200</v>
      </c>
      <c r="L15" s="506">
        <f>výdavky!H100</f>
        <v>200</v>
      </c>
    </row>
  </sheetData>
  <mergeCells count="2">
    <mergeCell ref="G3:L3"/>
    <mergeCell ref="D4:F6"/>
  </mergeCells>
  <printOptions/>
  <pageMargins left="0.5905511811023623" right="0.1968503937007874" top="0.5905511811023623" bottom="0.3937007874015748" header="0.5118110236220472" footer="0.5118110236220472"/>
  <pageSetup horizontalDpi="300" verticalDpi="3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A4">
      <selection activeCell="F36" sqref="F36"/>
    </sheetView>
  </sheetViews>
  <sheetFormatPr defaultColWidth="9.140625" defaultRowHeight="12.75"/>
  <cols>
    <col min="1" max="1" width="3.57421875" style="295" customWidth="1"/>
    <col min="2" max="2" width="4.140625" style="1" customWidth="1"/>
    <col min="3" max="3" width="7.57421875" style="0" customWidth="1"/>
    <col min="4" max="4" width="3.421875" style="0" customWidth="1"/>
    <col min="5" max="5" width="31.421875" style="0" customWidth="1"/>
    <col min="6" max="6" width="15.57421875" style="0" customWidth="1"/>
    <col min="7" max="7" width="0" style="0" hidden="1" customWidth="1"/>
    <col min="10" max="12" width="7.28125" style="0" customWidth="1"/>
  </cols>
  <sheetData>
    <row r="1" spans="1:12" ht="15.75">
      <c r="A1" s="368"/>
      <c r="B1" s="507" t="s">
        <v>295</v>
      </c>
      <c r="C1" s="296"/>
      <c r="D1" s="296"/>
      <c r="E1" s="508" t="s">
        <v>296</v>
      </c>
      <c r="F1" s="296"/>
      <c r="G1" s="509" t="e">
        <f>G2-G7</f>
        <v>#REF!</v>
      </c>
      <c r="H1" s="509"/>
      <c r="I1" s="509"/>
      <c r="J1" s="510">
        <f>J2-J7</f>
        <v>0</v>
      </c>
      <c r="K1" s="510">
        <f>K2-K7</f>
        <v>0</v>
      </c>
      <c r="L1" s="510">
        <f>L2-L7</f>
        <v>0</v>
      </c>
    </row>
    <row r="2" spans="1:12" ht="15.75">
      <c r="A2" s="368"/>
      <c r="B2" s="507"/>
      <c r="C2" s="296"/>
      <c r="D2" s="296"/>
      <c r="E2" s="296"/>
      <c r="F2" s="296"/>
      <c r="G2" s="464" t="e">
        <f>SUM(G8:G10)</f>
        <v>#REF!</v>
      </c>
      <c r="H2" s="464"/>
      <c r="I2" s="464"/>
      <c r="J2" s="511">
        <f>SUM(J8:J10)</f>
        <v>55526</v>
      </c>
      <c r="K2" s="511">
        <f>SUM(K8:K10)</f>
        <v>57330</v>
      </c>
      <c r="L2" s="511">
        <f>SUM(L8:L10)</f>
        <v>57330</v>
      </c>
    </row>
    <row r="3" spans="1:12" ht="15.75">
      <c r="A3" s="308"/>
      <c r="B3" s="309"/>
      <c r="C3" s="310"/>
      <c r="D3" s="310"/>
      <c r="E3" s="311"/>
      <c r="F3" s="312"/>
      <c r="G3" s="1275" t="s">
        <v>201</v>
      </c>
      <c r="H3" s="1275"/>
      <c r="I3" s="1275"/>
      <c r="J3" s="1275"/>
      <c r="K3" s="1275"/>
      <c r="L3" s="1275"/>
    </row>
    <row r="4" spans="1:12" ht="12.75" customHeight="1">
      <c r="A4" s="313"/>
      <c r="B4" s="314" t="s">
        <v>202</v>
      </c>
      <c r="C4" s="315" t="s">
        <v>203</v>
      </c>
      <c r="D4" s="1276" t="s">
        <v>204</v>
      </c>
      <c r="E4" s="1276"/>
      <c r="F4" s="1276"/>
      <c r="G4" s="316"/>
      <c r="H4" s="317">
        <v>2011</v>
      </c>
      <c r="I4" s="317">
        <v>2012</v>
      </c>
      <c r="J4" s="317">
        <v>2013</v>
      </c>
      <c r="K4" s="318">
        <v>2014</v>
      </c>
      <c r="L4" s="318">
        <v>2015</v>
      </c>
    </row>
    <row r="5" spans="1:12" ht="11.25" customHeight="1">
      <c r="A5" s="313"/>
      <c r="B5" s="314" t="s">
        <v>205</v>
      </c>
      <c r="C5" s="315" t="s">
        <v>206</v>
      </c>
      <c r="D5" s="1276"/>
      <c r="E5" s="1276"/>
      <c r="F5" s="1276"/>
      <c r="G5" s="319" t="s">
        <v>207</v>
      </c>
      <c r="H5" s="320" t="s">
        <v>208</v>
      </c>
      <c r="I5" s="320" t="s">
        <v>208</v>
      </c>
      <c r="J5" s="320" t="s">
        <v>208</v>
      </c>
      <c r="K5" s="321" t="s">
        <v>209</v>
      </c>
      <c r="L5" s="321" t="s">
        <v>209</v>
      </c>
    </row>
    <row r="6" spans="1:12" ht="12.75">
      <c r="A6" s="313"/>
      <c r="B6" s="314" t="s">
        <v>210</v>
      </c>
      <c r="C6" s="315" t="s">
        <v>211</v>
      </c>
      <c r="D6" s="1276"/>
      <c r="E6" s="1276"/>
      <c r="F6" s="1276"/>
      <c r="G6" s="322">
        <v>1</v>
      </c>
      <c r="H6" s="472">
        <v>-2</v>
      </c>
      <c r="I6" s="472">
        <v>-1</v>
      </c>
      <c r="J6" s="472">
        <v>1</v>
      </c>
      <c r="K6" s="324">
        <v>2</v>
      </c>
      <c r="L6" s="324">
        <v>3</v>
      </c>
    </row>
    <row r="7" spans="1:12" ht="15">
      <c r="A7" s="325">
        <v>1</v>
      </c>
      <c r="B7" s="512" t="s">
        <v>295</v>
      </c>
      <c r="C7" s="513"/>
      <c r="D7" s="514"/>
      <c r="E7" s="328" t="s">
        <v>296</v>
      </c>
      <c r="F7" s="515"/>
      <c r="G7" s="330" t="e">
        <f>G11+#REF!+#REF!+#REF!+#REF!+#REF!+G27+#REF!</f>
        <v>#REF!</v>
      </c>
      <c r="H7" s="331">
        <f>SUM(H8:H10)</f>
        <v>64946</v>
      </c>
      <c r="I7" s="331">
        <f>SUM(I8:I10)</f>
        <v>65339</v>
      </c>
      <c r="J7" s="331">
        <f>SUM(J8:J10)</f>
        <v>55526</v>
      </c>
      <c r="K7" s="331">
        <f>SUM(K8:K10)</f>
        <v>57330</v>
      </c>
      <c r="L7" s="331">
        <f>SUM(L8:L10)</f>
        <v>57330</v>
      </c>
    </row>
    <row r="8" spans="1:12" ht="12.75">
      <c r="A8" s="332">
        <f aca="true" t="shared" si="0" ref="A8:A17">A7+1</f>
        <v>2</v>
      </c>
      <c r="B8" s="480" t="s">
        <v>213</v>
      </c>
      <c r="C8" s="334" t="s">
        <v>214</v>
      </c>
      <c r="D8" s="335"/>
      <c r="E8" s="336"/>
      <c r="F8" s="337"/>
      <c r="G8" s="481" t="e">
        <f>G12+#REF!+#REF!+#REF!+#REF!+#REF!+#REF!+G28</f>
        <v>#REF!</v>
      </c>
      <c r="H8" s="483">
        <f>SUM(H12,H28)</f>
        <v>64946</v>
      </c>
      <c r="I8" s="483">
        <f>SUM(I12,I28)</f>
        <v>58379</v>
      </c>
      <c r="J8" s="483">
        <f>SUM(J12,J28)</f>
        <v>55526</v>
      </c>
      <c r="K8" s="483">
        <f>SUM(K12,K28)</f>
        <v>57330</v>
      </c>
      <c r="L8" s="483">
        <f>SUM(L12,L28)</f>
        <v>57330</v>
      </c>
    </row>
    <row r="9" spans="1:12" ht="12.75">
      <c r="A9" s="332">
        <f t="shared" si="0"/>
        <v>3</v>
      </c>
      <c r="B9" s="480" t="s">
        <v>215</v>
      </c>
      <c r="C9" s="334" t="s">
        <v>216</v>
      </c>
      <c r="D9" s="335"/>
      <c r="E9" s="336"/>
      <c r="F9" s="337"/>
      <c r="G9" s="481" t="e">
        <f>'Program 1'!#REF!+#REF!+#REF!</f>
        <v>#REF!</v>
      </c>
      <c r="H9" s="483">
        <f>H24</f>
        <v>0</v>
      </c>
      <c r="I9" s="483">
        <f>I24</f>
        <v>6960</v>
      </c>
      <c r="J9" s="483">
        <f>J24</f>
        <v>0</v>
      </c>
      <c r="K9" s="483">
        <f>K24</f>
        <v>0</v>
      </c>
      <c r="L9" s="483">
        <f>L24</f>
        <v>0</v>
      </c>
    </row>
    <row r="10" spans="1:12" ht="12.75">
      <c r="A10" s="332">
        <f t="shared" si="0"/>
        <v>4</v>
      </c>
      <c r="B10" s="485"/>
      <c r="C10" s="341" t="s">
        <v>217</v>
      </c>
      <c r="D10" s="342"/>
      <c r="E10" s="343"/>
      <c r="F10" s="344"/>
      <c r="G10" s="486" t="e">
        <f>#REF!</f>
        <v>#REF!</v>
      </c>
      <c r="H10" s="488">
        <v>0</v>
      </c>
      <c r="I10" s="488">
        <v>0</v>
      </c>
      <c r="J10" s="487">
        <v>0</v>
      </c>
      <c r="K10" s="488">
        <v>0</v>
      </c>
      <c r="L10" s="488">
        <v>0</v>
      </c>
    </row>
    <row r="11" spans="1:12" ht="12.75">
      <c r="A11" s="332">
        <f t="shared" si="0"/>
        <v>5</v>
      </c>
      <c r="B11" s="516">
        <v>1</v>
      </c>
      <c r="C11" s="445" t="s">
        <v>297</v>
      </c>
      <c r="D11" s="349"/>
      <c r="E11" s="349"/>
      <c r="F11" s="350"/>
      <c r="G11" s="351" t="e">
        <f>G13+G25+#REF!</f>
        <v>#REF!</v>
      </c>
      <c r="H11" s="353">
        <f>SUM(H12+H24)</f>
        <v>51140</v>
      </c>
      <c r="I11" s="353">
        <f>SUM(I12+I24)</f>
        <v>58739</v>
      </c>
      <c r="J11" s="353">
        <f>SUM(J12+J24)</f>
        <v>51526</v>
      </c>
      <c r="K11" s="353">
        <f>SUM(K12+K24)</f>
        <v>53330</v>
      </c>
      <c r="L11" s="353">
        <f>SUM(L12+L24)</f>
        <v>53330</v>
      </c>
    </row>
    <row r="12" spans="1:12" s="402" customFormat="1" ht="12.75">
      <c r="A12" s="332">
        <f t="shared" si="0"/>
        <v>6</v>
      </c>
      <c r="B12" s="517"/>
      <c r="C12" s="436"/>
      <c r="D12" s="336" t="s">
        <v>214</v>
      </c>
      <c r="E12" s="364"/>
      <c r="F12" s="365"/>
      <c r="G12" s="366">
        <f aca="true" t="shared" si="1" ref="G12:L12">G13</f>
        <v>1767.9999999999998</v>
      </c>
      <c r="H12" s="367">
        <f t="shared" si="1"/>
        <v>51140</v>
      </c>
      <c r="I12" s="367">
        <f t="shared" si="1"/>
        <v>51779</v>
      </c>
      <c r="J12" s="367">
        <f t="shared" si="1"/>
        <v>51526</v>
      </c>
      <c r="K12" s="367">
        <f t="shared" si="1"/>
        <v>53330</v>
      </c>
      <c r="L12" s="367">
        <f t="shared" si="1"/>
        <v>53330</v>
      </c>
    </row>
    <row r="13" spans="1:12" ht="12.75">
      <c r="A13" s="332">
        <f t="shared" si="0"/>
        <v>7</v>
      </c>
      <c r="B13" s="518"/>
      <c r="C13" s="519" t="s">
        <v>298</v>
      </c>
      <c r="D13" s="404" t="s">
        <v>299</v>
      </c>
      <c r="E13" s="371"/>
      <c r="F13" s="372"/>
      <c r="G13" s="406">
        <f>SUM(G14:G21)</f>
        <v>1767.9999999999998</v>
      </c>
      <c r="H13" s="374">
        <f>SUM(H14,H15,H16,H17,H18,H19,H20,H21,H22)</f>
        <v>51140</v>
      </c>
      <c r="I13" s="374">
        <f>SUM(I14,I15,I16,I17,I18,I19,I20,I21,I22)</f>
        <v>51779</v>
      </c>
      <c r="J13" s="374">
        <f>SUM(J14,J15,J16,J17,J18,J19,J20,J21,J22)</f>
        <v>51526</v>
      </c>
      <c r="K13" s="374">
        <f>SUM(K14,K15,K16,K17,K18,K19,K20,K21,K22)</f>
        <v>53330</v>
      </c>
      <c r="L13" s="374">
        <f>SUM(L14,L15,L16,L17,L18,L19,L20,L21,L22)</f>
        <v>53330</v>
      </c>
    </row>
    <row r="14" spans="1:12" ht="12.75">
      <c r="A14" s="332">
        <f t="shared" si="0"/>
        <v>8</v>
      </c>
      <c r="B14" s="518"/>
      <c r="C14" s="427" t="s">
        <v>223</v>
      </c>
      <c r="D14" s="421" t="s">
        <v>250</v>
      </c>
      <c r="E14" s="520" t="s">
        <v>279</v>
      </c>
      <c r="F14" s="422"/>
      <c r="G14" s="428">
        <f aca="true" t="shared" si="2" ref="G14:G22">ROUND(K14/30.126,1)</f>
        <v>1078.8</v>
      </c>
      <c r="H14" s="381">
        <f>výdavky!D108</f>
        <v>30620</v>
      </c>
      <c r="I14" s="381">
        <f>výdavky!E108</f>
        <v>31500</v>
      </c>
      <c r="J14" s="521">
        <f>výdavky!F108</f>
        <v>31500</v>
      </c>
      <c r="K14" s="381">
        <f>výdavky!G108</f>
        <v>32500</v>
      </c>
      <c r="L14" s="381">
        <f>výdavky!H108</f>
        <v>32500</v>
      </c>
    </row>
    <row r="15" spans="1:12" ht="12.75">
      <c r="A15" s="332">
        <f t="shared" si="0"/>
        <v>9</v>
      </c>
      <c r="B15" s="518"/>
      <c r="C15" s="427" t="s">
        <v>225</v>
      </c>
      <c r="D15" s="426" t="s">
        <v>252</v>
      </c>
      <c r="E15" s="522" t="s">
        <v>226</v>
      </c>
      <c r="F15" s="394"/>
      <c r="G15" s="395">
        <f t="shared" si="2"/>
        <v>398.3</v>
      </c>
      <c r="H15" s="386">
        <f>výdavky!D109</f>
        <v>11367</v>
      </c>
      <c r="I15" s="386">
        <f>výdavky!E109</f>
        <v>11500</v>
      </c>
      <c r="J15" s="498">
        <f>výdavky!F109</f>
        <v>11500</v>
      </c>
      <c r="K15" s="386">
        <f>výdavky!G109</f>
        <v>12000</v>
      </c>
      <c r="L15" s="386">
        <f>výdavky!H109</f>
        <v>12000</v>
      </c>
    </row>
    <row r="16" spans="1:12" ht="12.75">
      <c r="A16" s="332">
        <f t="shared" si="0"/>
        <v>10</v>
      </c>
      <c r="B16" s="518"/>
      <c r="C16" s="427" t="s">
        <v>227</v>
      </c>
      <c r="D16" s="421" t="s">
        <v>263</v>
      </c>
      <c r="E16" s="520" t="s">
        <v>300</v>
      </c>
      <c r="F16" s="422"/>
      <c r="G16" s="428">
        <f t="shared" si="2"/>
        <v>2</v>
      </c>
      <c r="H16" s="381">
        <f>výdavky!D110</f>
        <v>0</v>
      </c>
      <c r="I16" s="381">
        <f>výdavky!E110</f>
        <v>60</v>
      </c>
      <c r="J16" s="521">
        <f>výdavky!F110</f>
        <v>60</v>
      </c>
      <c r="K16" s="381">
        <f>výdavky!G110</f>
        <v>60</v>
      </c>
      <c r="L16" s="381">
        <f>výdavky!H110</f>
        <v>60</v>
      </c>
    </row>
    <row r="17" spans="1:12" ht="12.75">
      <c r="A17" s="332">
        <f t="shared" si="0"/>
        <v>11</v>
      </c>
      <c r="B17" s="518"/>
      <c r="C17" s="427" t="s">
        <v>229</v>
      </c>
      <c r="D17" s="426" t="s">
        <v>265</v>
      </c>
      <c r="E17" s="522" t="s">
        <v>230</v>
      </c>
      <c r="F17" s="394"/>
      <c r="G17" s="395">
        <f t="shared" si="2"/>
        <v>54.8</v>
      </c>
      <c r="H17" s="386">
        <f>výdavky!D111</f>
        <v>1422</v>
      </c>
      <c r="I17" s="386">
        <f>výdavky!E111</f>
        <v>1650</v>
      </c>
      <c r="J17" s="498">
        <f>výdavky!F111</f>
        <v>1650</v>
      </c>
      <c r="K17" s="386">
        <f>výdavky!G111</f>
        <v>1650</v>
      </c>
      <c r="L17" s="386">
        <f>výdavky!H111</f>
        <v>1650</v>
      </c>
    </row>
    <row r="18" spans="1:12" ht="12.75">
      <c r="A18" s="332">
        <v>12</v>
      </c>
      <c r="B18" s="518"/>
      <c r="C18" s="427" t="s">
        <v>231</v>
      </c>
      <c r="D18" s="421" t="s">
        <v>267</v>
      </c>
      <c r="E18" s="520" t="s">
        <v>301</v>
      </c>
      <c r="F18" s="422"/>
      <c r="G18" s="428">
        <f t="shared" si="2"/>
        <v>38.2</v>
      </c>
      <c r="H18" s="381">
        <f>výdavky!D112</f>
        <v>1523</v>
      </c>
      <c r="I18" s="381">
        <f>výdavky!E112</f>
        <v>1403</v>
      </c>
      <c r="J18" s="521">
        <f>výdavky!F112</f>
        <v>1150</v>
      </c>
      <c r="K18" s="381">
        <f>výdavky!G112</f>
        <v>1150</v>
      </c>
      <c r="L18" s="381">
        <f>výdavky!H112</f>
        <v>1150</v>
      </c>
    </row>
    <row r="19" spans="1:12" ht="12.75">
      <c r="A19" s="332">
        <f>A18+1</f>
        <v>13</v>
      </c>
      <c r="B19" s="518"/>
      <c r="C19" s="427" t="s">
        <v>233</v>
      </c>
      <c r="D19" s="426" t="s">
        <v>271</v>
      </c>
      <c r="E19" s="522" t="s">
        <v>302</v>
      </c>
      <c r="F19" s="394"/>
      <c r="G19" s="395">
        <f t="shared" si="2"/>
        <v>182.6</v>
      </c>
      <c r="H19" s="386">
        <f>výdavky!D117</f>
        <v>5733</v>
      </c>
      <c r="I19" s="386">
        <f>výdavky!E117</f>
        <v>5200</v>
      </c>
      <c r="J19" s="498">
        <f>výdavky!F117</f>
        <v>5200</v>
      </c>
      <c r="K19" s="386">
        <f>výdavky!G117</f>
        <v>5500</v>
      </c>
      <c r="L19" s="386">
        <f>výdavky!H117</f>
        <v>5500</v>
      </c>
    </row>
    <row r="20" spans="1:12" ht="12.75">
      <c r="A20" s="332">
        <f>A19+1</f>
        <v>14</v>
      </c>
      <c r="B20" s="518"/>
      <c r="C20" s="427" t="s">
        <v>235</v>
      </c>
      <c r="D20" s="421" t="s">
        <v>274</v>
      </c>
      <c r="E20" s="520" t="s">
        <v>303</v>
      </c>
      <c r="F20" s="422"/>
      <c r="G20" s="428">
        <f t="shared" si="2"/>
        <v>1.7</v>
      </c>
      <c r="H20" s="381">
        <f>výdavky!D121</f>
        <v>0</v>
      </c>
      <c r="I20" s="381">
        <f>výdavky!E121</f>
        <v>36</v>
      </c>
      <c r="J20" s="521">
        <f>výdavky!F121</f>
        <v>36</v>
      </c>
      <c r="K20" s="381">
        <f>výdavky!G121</f>
        <v>50</v>
      </c>
      <c r="L20" s="381">
        <f>výdavky!H121</f>
        <v>50</v>
      </c>
    </row>
    <row r="21" spans="1:12" ht="12.75">
      <c r="A21" s="332">
        <f>A20+1</f>
        <v>15</v>
      </c>
      <c r="B21" s="518"/>
      <c r="C21" s="427" t="s">
        <v>239</v>
      </c>
      <c r="D21" s="426" t="s">
        <v>304</v>
      </c>
      <c r="E21" s="522" t="s">
        <v>305</v>
      </c>
      <c r="F21" s="394"/>
      <c r="G21" s="395">
        <f t="shared" si="2"/>
        <v>11.6</v>
      </c>
      <c r="H21" s="386">
        <f>výdavky!D122</f>
        <v>409</v>
      </c>
      <c r="I21" s="386">
        <f>výdavky!E122</f>
        <v>364</v>
      </c>
      <c r="J21" s="498">
        <f>výdavky!F122</f>
        <v>364</v>
      </c>
      <c r="K21" s="386">
        <f>výdavky!G122</f>
        <v>350</v>
      </c>
      <c r="L21" s="386">
        <f>výdavky!H122</f>
        <v>350</v>
      </c>
    </row>
    <row r="22" spans="1:12" ht="12.75">
      <c r="A22" s="332">
        <v>16</v>
      </c>
      <c r="B22" s="518"/>
      <c r="C22" s="427" t="s">
        <v>249</v>
      </c>
      <c r="D22" s="426" t="s">
        <v>306</v>
      </c>
      <c r="E22" s="522" t="s">
        <v>307</v>
      </c>
      <c r="F22" s="394"/>
      <c r="G22" s="395">
        <f t="shared" si="2"/>
        <v>2.3</v>
      </c>
      <c r="H22" s="386">
        <f>výdavky!D123</f>
        <v>66</v>
      </c>
      <c r="I22" s="386">
        <f>výdavky!E123</f>
        <v>66</v>
      </c>
      <c r="J22" s="498">
        <f>výdavky!F123</f>
        <v>66</v>
      </c>
      <c r="K22" s="386">
        <f>výdavky!G123</f>
        <v>70</v>
      </c>
      <c r="L22" s="386">
        <f>výdavky!H123</f>
        <v>70</v>
      </c>
    </row>
    <row r="23" spans="1:12" ht="12.75">
      <c r="A23" s="332"/>
      <c r="B23" s="523">
        <v>2</v>
      </c>
      <c r="C23" s="1278" t="s">
        <v>308</v>
      </c>
      <c r="D23" s="1278"/>
      <c r="E23" s="1278"/>
      <c r="F23" s="524"/>
      <c r="G23" s="525"/>
      <c r="H23" s="526">
        <f>SUM(H24)</f>
        <v>0</v>
      </c>
      <c r="I23" s="526">
        <f>SUM(I24)</f>
        <v>6960</v>
      </c>
      <c r="J23" s="527">
        <f>SUM(J24)</f>
        <v>0</v>
      </c>
      <c r="K23" s="526">
        <f>SUM(K24)</f>
        <v>0</v>
      </c>
      <c r="L23" s="526">
        <f>SUM(L24)</f>
        <v>0</v>
      </c>
    </row>
    <row r="24" spans="1:12" ht="12.75">
      <c r="A24" s="332">
        <v>17</v>
      </c>
      <c r="B24" s="528"/>
      <c r="C24" s="529"/>
      <c r="D24" s="336" t="s">
        <v>216</v>
      </c>
      <c r="E24" s="364"/>
      <c r="F24" s="365"/>
      <c r="G24" s="366" t="e">
        <f>'Program 3'!#REF!</f>
        <v>#REF!</v>
      </c>
      <c r="H24" s="367">
        <f aca="true" t="shared" si="3" ref="H24:L25">H25</f>
        <v>0</v>
      </c>
      <c r="I24" s="367">
        <f t="shared" si="3"/>
        <v>6960</v>
      </c>
      <c r="J24" s="367">
        <f t="shared" si="3"/>
        <v>0</v>
      </c>
      <c r="K24" s="367">
        <f t="shared" si="3"/>
        <v>0</v>
      </c>
      <c r="L24" s="367">
        <f t="shared" si="3"/>
        <v>0</v>
      </c>
    </row>
    <row r="25" spans="1:12" ht="12.75">
      <c r="A25" s="332">
        <f>A24+1</f>
        <v>18</v>
      </c>
      <c r="B25" s="518"/>
      <c r="C25" s="519" t="s">
        <v>298</v>
      </c>
      <c r="D25" s="404" t="s">
        <v>299</v>
      </c>
      <c r="E25" s="371"/>
      <c r="F25" s="372"/>
      <c r="G25" s="419">
        <f>SUM(G26:G26)</f>
        <v>0</v>
      </c>
      <c r="H25" s="420">
        <f t="shared" si="3"/>
        <v>0</v>
      </c>
      <c r="I25" s="420">
        <f t="shared" si="3"/>
        <v>6960</v>
      </c>
      <c r="J25" s="420">
        <f t="shared" si="3"/>
        <v>0</v>
      </c>
      <c r="K25" s="420">
        <f t="shared" si="3"/>
        <v>0</v>
      </c>
      <c r="L25" s="420">
        <f t="shared" si="3"/>
        <v>0</v>
      </c>
    </row>
    <row r="26" spans="1:12" ht="12.75">
      <c r="A26" s="332">
        <f>A25+1</f>
        <v>19</v>
      </c>
      <c r="B26" s="518"/>
      <c r="C26" s="427" t="s">
        <v>309</v>
      </c>
      <c r="D26" s="426" t="s">
        <v>310</v>
      </c>
      <c r="E26" s="522" t="s">
        <v>311</v>
      </c>
      <c r="F26" s="394"/>
      <c r="G26" s="395">
        <f>ROUND(K26/30.126,1)</f>
        <v>0</v>
      </c>
      <c r="H26" s="386">
        <v>0</v>
      </c>
      <c r="I26" s="386">
        <f>výdavky!E388</f>
        <v>6960</v>
      </c>
      <c r="J26" s="498">
        <f>výdavky!F388</f>
        <v>0</v>
      </c>
      <c r="K26" s="386">
        <f>výdavky!G388</f>
        <v>0</v>
      </c>
      <c r="L26" s="386">
        <f>výdavky!H388</f>
        <v>0</v>
      </c>
    </row>
    <row r="27" spans="1:12" ht="12.75">
      <c r="A27" s="332">
        <v>20</v>
      </c>
      <c r="B27" s="516">
        <v>3</v>
      </c>
      <c r="C27" s="445" t="s">
        <v>312</v>
      </c>
      <c r="D27" s="349"/>
      <c r="E27" s="349"/>
      <c r="F27" s="350"/>
      <c r="G27" s="351">
        <f>SUM(G29)</f>
        <v>132.8</v>
      </c>
      <c r="H27" s="353">
        <f aca="true" t="shared" si="4" ref="H27:L28">H28</f>
        <v>13806</v>
      </c>
      <c r="I27" s="353">
        <f t="shared" si="4"/>
        <v>6600</v>
      </c>
      <c r="J27" s="353">
        <f t="shared" si="4"/>
        <v>4000</v>
      </c>
      <c r="K27" s="353">
        <f t="shared" si="4"/>
        <v>4000</v>
      </c>
      <c r="L27" s="353">
        <f t="shared" si="4"/>
        <v>4000</v>
      </c>
    </row>
    <row r="28" spans="1:12" s="402" customFormat="1" ht="12.75">
      <c r="A28" s="332">
        <f aca="true" t="shared" si="5" ref="A28:A34">A27+1</f>
        <v>21</v>
      </c>
      <c r="B28" s="517"/>
      <c r="C28" s="436"/>
      <c r="D28" s="336" t="s">
        <v>214</v>
      </c>
      <c r="E28" s="364"/>
      <c r="F28" s="365"/>
      <c r="G28" s="366">
        <f>G29</f>
        <v>132.8</v>
      </c>
      <c r="H28" s="367">
        <f t="shared" si="4"/>
        <v>13806</v>
      </c>
      <c r="I28" s="367">
        <f t="shared" si="4"/>
        <v>6600</v>
      </c>
      <c r="J28" s="367">
        <f t="shared" si="4"/>
        <v>4000</v>
      </c>
      <c r="K28" s="367">
        <f t="shared" si="4"/>
        <v>4000</v>
      </c>
      <c r="L28" s="367">
        <f t="shared" si="4"/>
        <v>4000</v>
      </c>
    </row>
    <row r="29" spans="1:12" ht="12.75">
      <c r="A29" s="332">
        <f t="shared" si="5"/>
        <v>22</v>
      </c>
      <c r="B29" s="518"/>
      <c r="C29" s="519" t="s">
        <v>313</v>
      </c>
      <c r="D29" s="404" t="s">
        <v>314</v>
      </c>
      <c r="E29" s="495"/>
      <c r="F29" s="496"/>
      <c r="G29" s="406">
        <f aca="true" t="shared" si="6" ref="G29:L29">SUM(G30:G34)</f>
        <v>132.8</v>
      </c>
      <c r="H29" s="374">
        <f t="shared" si="6"/>
        <v>13806</v>
      </c>
      <c r="I29" s="374">
        <f t="shared" si="6"/>
        <v>6600</v>
      </c>
      <c r="J29" s="374">
        <f t="shared" si="6"/>
        <v>4000</v>
      </c>
      <c r="K29" s="374">
        <f t="shared" si="6"/>
        <v>4000</v>
      </c>
      <c r="L29" s="374">
        <f t="shared" si="6"/>
        <v>4000</v>
      </c>
    </row>
    <row r="30" spans="1:12" ht="12.75">
      <c r="A30" s="332">
        <f t="shared" si="5"/>
        <v>23</v>
      </c>
      <c r="B30" s="530"/>
      <c r="C30" s="427" t="s">
        <v>229</v>
      </c>
      <c r="D30" s="531">
        <v>1</v>
      </c>
      <c r="E30" s="387" t="s">
        <v>315</v>
      </c>
      <c r="F30" s="394"/>
      <c r="G30" s="395">
        <f>ROUND(K30/30.126,1)</f>
        <v>76.3</v>
      </c>
      <c r="H30" s="386">
        <f>výdavky!D127</f>
        <v>2582</v>
      </c>
      <c r="I30" s="386">
        <f>výdavky!E127</f>
        <v>2300</v>
      </c>
      <c r="J30" s="498">
        <f>výdavky!F127</f>
        <v>2300</v>
      </c>
      <c r="K30" s="386">
        <f>výdavky!G127</f>
        <v>2300</v>
      </c>
      <c r="L30" s="386">
        <f>výdavky!H127</f>
        <v>2300</v>
      </c>
    </row>
    <row r="31" spans="1:12" ht="12.75">
      <c r="A31" s="332">
        <f t="shared" si="5"/>
        <v>24</v>
      </c>
      <c r="B31" s="530"/>
      <c r="C31" s="427" t="s">
        <v>231</v>
      </c>
      <c r="D31" s="532">
        <v>2</v>
      </c>
      <c r="E31" s="378" t="s">
        <v>232</v>
      </c>
      <c r="F31" s="422"/>
      <c r="G31" s="428">
        <f>ROUND(K31/30.126,1)</f>
        <v>16.6</v>
      </c>
      <c r="H31" s="381">
        <f>výdavky!D128</f>
        <v>10019</v>
      </c>
      <c r="I31" s="381">
        <f>výdavky!E128</f>
        <v>2600</v>
      </c>
      <c r="J31" s="521">
        <f>výdavky!F128</f>
        <v>500</v>
      </c>
      <c r="K31" s="381">
        <f>výdavky!G128</f>
        <v>500</v>
      </c>
      <c r="L31" s="381">
        <f>výdavky!H128</f>
        <v>500</v>
      </c>
    </row>
    <row r="32" spans="1:12" ht="12.75">
      <c r="A32" s="332">
        <f t="shared" si="5"/>
        <v>25</v>
      </c>
      <c r="B32" s="530"/>
      <c r="C32" s="427" t="s">
        <v>233</v>
      </c>
      <c r="D32" s="531">
        <v>3</v>
      </c>
      <c r="E32" s="387" t="s">
        <v>302</v>
      </c>
      <c r="F32" s="394"/>
      <c r="G32" s="395">
        <f>ROUND(K32/30.126,1)</f>
        <v>21.6</v>
      </c>
      <c r="H32" s="386">
        <f>výdavky!D134</f>
        <v>267</v>
      </c>
      <c r="I32" s="386">
        <f>výdavky!E134</f>
        <v>650</v>
      </c>
      <c r="J32" s="498">
        <f>výdavky!F134</f>
        <v>650</v>
      </c>
      <c r="K32" s="386">
        <f>výdavky!G134</f>
        <v>650</v>
      </c>
      <c r="L32" s="386">
        <f>výdavky!H134</f>
        <v>650</v>
      </c>
    </row>
    <row r="33" spans="1:12" ht="12.75">
      <c r="A33" s="332">
        <f t="shared" si="5"/>
        <v>26</v>
      </c>
      <c r="B33" s="530"/>
      <c r="C33" s="427" t="s">
        <v>235</v>
      </c>
      <c r="D33" s="533">
        <v>4</v>
      </c>
      <c r="E33" s="383" t="s">
        <v>316</v>
      </c>
      <c r="F33" s="414"/>
      <c r="G33" s="395">
        <f>ROUND(K33/30.126,1)</f>
        <v>1.7</v>
      </c>
      <c r="H33" s="386">
        <f>výdavky!D138</f>
        <v>442</v>
      </c>
      <c r="I33" s="386">
        <f>výdavky!E138</f>
        <v>50</v>
      </c>
      <c r="J33" s="498">
        <f>výdavky!F138</f>
        <v>50</v>
      </c>
      <c r="K33" s="386">
        <f>výdavky!G138</f>
        <v>50</v>
      </c>
      <c r="L33" s="386">
        <f>výdavky!H138</f>
        <v>50</v>
      </c>
    </row>
    <row r="34" spans="1:12" ht="12.75">
      <c r="A34" s="456">
        <f t="shared" si="5"/>
        <v>27</v>
      </c>
      <c r="B34" s="534"/>
      <c r="C34" s="535" t="s">
        <v>239</v>
      </c>
      <c r="D34" s="536">
        <v>5</v>
      </c>
      <c r="E34" s="537" t="s">
        <v>317</v>
      </c>
      <c r="F34" s="538"/>
      <c r="G34" s="539">
        <f>ROUND(K34/30.126,1)</f>
        <v>16.6</v>
      </c>
      <c r="H34" s="540">
        <f>výdavky!D140</f>
        <v>496</v>
      </c>
      <c r="I34" s="540">
        <f>výdavky!E140</f>
        <v>1000</v>
      </c>
      <c r="J34" s="541">
        <f>výdavky!F140</f>
        <v>500</v>
      </c>
      <c r="K34" s="540">
        <f>výdavky!G140</f>
        <v>500</v>
      </c>
      <c r="L34" s="540">
        <f>výdavky!H140</f>
        <v>500</v>
      </c>
    </row>
    <row r="35" ht="12.75">
      <c r="F35" s="296"/>
    </row>
    <row r="36" ht="12.75">
      <c r="F36" s="296"/>
    </row>
  </sheetData>
  <mergeCells count="3">
    <mergeCell ref="G3:L3"/>
    <mergeCell ref="D4:F6"/>
    <mergeCell ref="C23:E23"/>
  </mergeCells>
  <printOptions/>
  <pageMargins left="0.7874015748031497" right="0.1968503937007874" top="0.5905511811023623" bottom="0.3937007874015748" header="0.5118110236220472" footer="0.5118110236220472"/>
  <pageSetup horizontalDpi="300" verticalDpi="300" orientation="portrait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6"/>
  <sheetViews>
    <sheetView workbookViewId="0" topLeftCell="A1">
      <selection activeCell="L2" sqref="L2"/>
    </sheetView>
  </sheetViews>
  <sheetFormatPr defaultColWidth="9.140625" defaultRowHeight="12.75"/>
  <cols>
    <col min="1" max="1" width="2.8515625" style="295" customWidth="1"/>
    <col min="2" max="2" width="4.140625" style="1" customWidth="1"/>
    <col min="3" max="3" width="8.00390625" style="0" customWidth="1"/>
    <col min="4" max="4" width="3.421875" style="0" customWidth="1"/>
    <col min="5" max="5" width="31.57421875" style="0" customWidth="1"/>
    <col min="6" max="6" width="8.8515625" style="0" customWidth="1"/>
    <col min="7" max="7" width="0" style="0" hidden="1" customWidth="1"/>
    <col min="10" max="12" width="8.421875" style="0" customWidth="1"/>
  </cols>
  <sheetData>
    <row r="1" spans="1:12" ht="15.75">
      <c r="A1" s="299" t="s">
        <v>318</v>
      </c>
      <c r="D1" s="299" t="s">
        <v>319</v>
      </c>
      <c r="E1" s="297"/>
      <c r="F1" s="297"/>
      <c r="G1" s="464" t="e">
        <f>G2-G7</f>
        <v>#REF!</v>
      </c>
      <c r="H1" s="464"/>
      <c r="I1" s="464"/>
      <c r="J1" s="465">
        <f>J2-J7</f>
        <v>0</v>
      </c>
      <c r="K1" s="465">
        <f>K2-K7</f>
        <v>0</v>
      </c>
      <c r="L1" s="465">
        <f>L2-L7</f>
        <v>0</v>
      </c>
    </row>
    <row r="2" spans="2:12" ht="15.75">
      <c r="B2" s="299"/>
      <c r="G2" s="466" t="e">
        <f>SUM(G8:G10)</f>
        <v>#REF!</v>
      </c>
      <c r="H2" s="466"/>
      <c r="I2" s="466"/>
      <c r="J2" s="307">
        <f>SUM(J8:J10)</f>
        <v>107770</v>
      </c>
      <c r="K2" s="307">
        <f>SUM(K8:K10)</f>
        <v>115770</v>
      </c>
      <c r="L2" s="307">
        <f>SUM(L8:L10)</f>
        <v>115770</v>
      </c>
    </row>
    <row r="3" spans="1:12" ht="15.75">
      <c r="A3" s="308"/>
      <c r="B3" s="309"/>
      <c r="C3" s="310"/>
      <c r="D3" s="310"/>
      <c r="E3" s="311"/>
      <c r="F3" s="312"/>
      <c r="G3" s="1275" t="s">
        <v>201</v>
      </c>
      <c r="H3" s="1275"/>
      <c r="I3" s="1275"/>
      <c r="J3" s="1275"/>
      <c r="K3" s="1275"/>
      <c r="L3" s="1275"/>
    </row>
    <row r="4" spans="1:12" ht="15.75" customHeight="1">
      <c r="A4" s="313"/>
      <c r="B4" s="314" t="s">
        <v>202</v>
      </c>
      <c r="C4" s="315" t="s">
        <v>203</v>
      </c>
      <c r="D4" s="1277" t="s">
        <v>204</v>
      </c>
      <c r="E4" s="1277"/>
      <c r="F4" s="1277"/>
      <c r="G4" s="316"/>
      <c r="H4" s="318">
        <v>2011</v>
      </c>
      <c r="I4" s="318">
        <v>2012</v>
      </c>
      <c r="J4" s="317">
        <v>2013</v>
      </c>
      <c r="K4" s="318">
        <v>2014</v>
      </c>
      <c r="L4" s="318">
        <v>2015</v>
      </c>
    </row>
    <row r="5" spans="1:12" ht="12" customHeight="1">
      <c r="A5" s="313"/>
      <c r="B5" s="314" t="s">
        <v>205</v>
      </c>
      <c r="C5" s="315" t="s">
        <v>206</v>
      </c>
      <c r="D5" s="1277"/>
      <c r="E5" s="1277"/>
      <c r="F5" s="1277"/>
      <c r="G5" s="319" t="s">
        <v>207</v>
      </c>
      <c r="H5" s="320" t="s">
        <v>209</v>
      </c>
      <c r="I5" s="320" t="s">
        <v>209</v>
      </c>
      <c r="J5" s="321" t="s">
        <v>208</v>
      </c>
      <c r="K5" s="320" t="s">
        <v>209</v>
      </c>
      <c r="L5" s="320" t="s">
        <v>209</v>
      </c>
    </row>
    <row r="6" spans="1:12" ht="12.75">
      <c r="A6" s="468"/>
      <c r="B6" s="469" t="s">
        <v>210</v>
      </c>
      <c r="C6" s="470" t="s">
        <v>211</v>
      </c>
      <c r="D6" s="1277"/>
      <c r="E6" s="1277"/>
      <c r="F6" s="1277"/>
      <c r="G6" s="471">
        <v>1</v>
      </c>
      <c r="H6" s="472">
        <v>-2</v>
      </c>
      <c r="I6" s="472">
        <v>-1</v>
      </c>
      <c r="J6" s="542">
        <v>1</v>
      </c>
      <c r="K6" s="472">
        <v>2</v>
      </c>
      <c r="L6" s="472">
        <v>3</v>
      </c>
    </row>
    <row r="7" spans="1:12" ht="15">
      <c r="A7" s="325">
        <v>1</v>
      </c>
      <c r="B7" s="326" t="s">
        <v>320</v>
      </c>
      <c r="C7" s="327"/>
      <c r="D7" s="514"/>
      <c r="E7" s="328" t="s">
        <v>319</v>
      </c>
      <c r="F7" s="515"/>
      <c r="G7" s="543" t="e">
        <f>G11+G19</f>
        <v>#REF!</v>
      </c>
      <c r="H7" s="331">
        <f>SUM(H8:H10)</f>
        <v>113113</v>
      </c>
      <c r="I7" s="331">
        <f>SUM(I8:I10)</f>
        <v>105169</v>
      </c>
      <c r="J7" s="331">
        <f>SUM(J8:J10)</f>
        <v>107770</v>
      </c>
      <c r="K7" s="331">
        <f>SUM(K8:K10)</f>
        <v>115770</v>
      </c>
      <c r="L7" s="331">
        <f>SUM(L8:L10)</f>
        <v>115770</v>
      </c>
    </row>
    <row r="8" spans="1:12" ht="12.75">
      <c r="A8" s="332">
        <f aca="true" t="shared" si="0" ref="A8:A13">A7+1</f>
        <v>2</v>
      </c>
      <c r="B8" s="333" t="s">
        <v>213</v>
      </c>
      <c r="C8" s="334" t="s">
        <v>214</v>
      </c>
      <c r="D8" s="335"/>
      <c r="E8" s="336"/>
      <c r="F8" s="337"/>
      <c r="G8" s="481" t="e">
        <f>G12+#REF!</f>
        <v>#REF!</v>
      </c>
      <c r="H8" s="483">
        <f>SUM(H12,H24,H34,H29)</f>
        <v>113113</v>
      </c>
      <c r="I8" s="483">
        <f>SUM(I12,I24,I34,I29)</f>
        <v>105169</v>
      </c>
      <c r="J8" s="483">
        <f>SUM(J12,J24,J29,J34)</f>
        <v>107770</v>
      </c>
      <c r="K8" s="483">
        <f>SUM(K12,K24,K34,K29)</f>
        <v>115770</v>
      </c>
      <c r="L8" s="483">
        <f>SUM(L12,L24,L34,L29)</f>
        <v>115770</v>
      </c>
    </row>
    <row r="9" spans="1:12" ht="12.75">
      <c r="A9" s="332">
        <f t="shared" si="0"/>
        <v>3</v>
      </c>
      <c r="B9" s="333" t="s">
        <v>215</v>
      </c>
      <c r="C9" s="334" t="s">
        <v>216</v>
      </c>
      <c r="D9" s="335"/>
      <c r="E9" s="336"/>
      <c r="F9" s="337"/>
      <c r="G9" s="481" t="e">
        <f>G20</f>
        <v>#REF!</v>
      </c>
      <c r="H9" s="483">
        <f>SUM(H20,H44)</f>
        <v>0</v>
      </c>
      <c r="I9" s="483">
        <f>SUM(I20,I44)</f>
        <v>0</v>
      </c>
      <c r="J9" s="483">
        <f>SUM(J20,J44)</f>
        <v>0</v>
      </c>
      <c r="K9" s="483">
        <f>SUM(K20,K44)</f>
        <v>0</v>
      </c>
      <c r="L9" s="483">
        <f>SUM(L20,L44)</f>
        <v>0</v>
      </c>
    </row>
    <row r="10" spans="1:12" ht="12.75">
      <c r="A10" s="332">
        <f t="shared" si="0"/>
        <v>4</v>
      </c>
      <c r="B10" s="340"/>
      <c r="C10" s="341" t="s">
        <v>217</v>
      </c>
      <c r="D10" s="342"/>
      <c r="E10" s="343"/>
      <c r="F10" s="344"/>
      <c r="G10" s="486">
        <v>0</v>
      </c>
      <c r="H10" s="488">
        <v>0</v>
      </c>
      <c r="I10" s="488">
        <v>0</v>
      </c>
      <c r="J10" s="544">
        <v>0</v>
      </c>
      <c r="K10" s="488">
        <v>0</v>
      </c>
      <c r="L10" s="488">
        <v>0</v>
      </c>
    </row>
    <row r="11" spans="1:12" ht="12.75">
      <c r="A11" s="332">
        <f t="shared" si="0"/>
        <v>5</v>
      </c>
      <c r="B11" s="444">
        <v>1</v>
      </c>
      <c r="C11" s="445" t="s">
        <v>321</v>
      </c>
      <c r="D11" s="349"/>
      <c r="E11" s="349"/>
      <c r="F11" s="350"/>
      <c r="G11" s="351">
        <f>G13</f>
        <v>141.1</v>
      </c>
      <c r="H11" s="353">
        <f aca="true" t="shared" si="1" ref="H11:L12">H12</f>
        <v>16282</v>
      </c>
      <c r="I11" s="353">
        <f t="shared" si="1"/>
        <v>14280</v>
      </c>
      <c r="J11" s="353">
        <f t="shared" si="1"/>
        <v>14400</v>
      </c>
      <c r="K11" s="353">
        <f t="shared" si="1"/>
        <v>14400</v>
      </c>
      <c r="L11" s="353">
        <f t="shared" si="1"/>
        <v>14400</v>
      </c>
    </row>
    <row r="12" spans="1:12" s="402" customFormat="1" ht="12.75">
      <c r="A12" s="332">
        <f t="shared" si="0"/>
        <v>6</v>
      </c>
      <c r="B12" s="446"/>
      <c r="C12" s="436"/>
      <c r="D12" s="337" t="s">
        <v>214</v>
      </c>
      <c r="E12" s="364"/>
      <c r="F12" s="365"/>
      <c r="G12" s="366">
        <f>G13</f>
        <v>141.1</v>
      </c>
      <c r="H12" s="367">
        <f t="shared" si="1"/>
        <v>16282</v>
      </c>
      <c r="I12" s="367">
        <f t="shared" si="1"/>
        <v>14280</v>
      </c>
      <c r="J12" s="545">
        <f t="shared" si="1"/>
        <v>14400</v>
      </c>
      <c r="K12" s="367">
        <f t="shared" si="1"/>
        <v>14400</v>
      </c>
      <c r="L12" s="367">
        <f t="shared" si="1"/>
        <v>14400</v>
      </c>
    </row>
    <row r="13" spans="1:12" ht="12.75">
      <c r="A13" s="332">
        <f t="shared" si="0"/>
        <v>7</v>
      </c>
      <c r="B13" s="368"/>
      <c r="C13" s="447" t="s">
        <v>322</v>
      </c>
      <c r="D13" s="404" t="s">
        <v>323</v>
      </c>
      <c r="E13" s="371"/>
      <c r="F13" s="372"/>
      <c r="G13" s="406">
        <f>SUM(G16:G16)</f>
        <v>141.1</v>
      </c>
      <c r="H13" s="374">
        <f>SUM(H14,H15,H16,H17,H18)</f>
        <v>16282</v>
      </c>
      <c r="I13" s="374">
        <f>SUM(I14,I15,I16,I17,I18)</f>
        <v>14280</v>
      </c>
      <c r="J13" s="374">
        <f>SUM(J14,J15,J16,J17,J18)</f>
        <v>14400</v>
      </c>
      <c r="K13" s="374">
        <f>SUM(K14,K15,K16,K17,K18)</f>
        <v>14400</v>
      </c>
      <c r="L13" s="374">
        <f>SUM(L14,L15,L16,L17,L18)</f>
        <v>14400</v>
      </c>
    </row>
    <row r="14" spans="1:12" ht="12.75">
      <c r="A14" s="332">
        <v>8</v>
      </c>
      <c r="B14" s="368"/>
      <c r="C14" s="376" t="s">
        <v>223</v>
      </c>
      <c r="D14" s="408">
        <v>1</v>
      </c>
      <c r="E14" s="409" t="s">
        <v>324</v>
      </c>
      <c r="F14" s="410"/>
      <c r="G14" s="428"/>
      <c r="H14" s="381">
        <f>výdavky!D169</f>
        <v>7014</v>
      </c>
      <c r="I14" s="381">
        <f>výdavky!E169</f>
        <v>7340</v>
      </c>
      <c r="J14" s="546">
        <f>výdavky!F169</f>
        <v>7500</v>
      </c>
      <c r="K14" s="381">
        <f>výdavky!G169</f>
        <v>7500</v>
      </c>
      <c r="L14" s="381">
        <f>výdavky!H169</f>
        <v>7500</v>
      </c>
    </row>
    <row r="15" spans="1:12" ht="12.75">
      <c r="A15" s="332">
        <v>9</v>
      </c>
      <c r="B15" s="368"/>
      <c r="C15" s="376" t="s">
        <v>225</v>
      </c>
      <c r="D15" s="412">
        <v>2</v>
      </c>
      <c r="E15" s="413" t="s">
        <v>226</v>
      </c>
      <c r="F15" s="414"/>
      <c r="G15" s="395"/>
      <c r="H15" s="386">
        <f>výdavky!D171</f>
        <v>2560</v>
      </c>
      <c r="I15" s="386">
        <f>výdavky!E171</f>
        <v>2640</v>
      </c>
      <c r="J15" s="547">
        <f>výdavky!F171</f>
        <v>2650</v>
      </c>
      <c r="K15" s="386">
        <f>výdavky!G171</f>
        <v>2650</v>
      </c>
      <c r="L15" s="386">
        <f>výdavky!H171</f>
        <v>2650</v>
      </c>
    </row>
    <row r="16" spans="1:12" ht="12.75">
      <c r="A16" s="332">
        <v>10</v>
      </c>
      <c r="B16" s="368"/>
      <c r="C16" s="376" t="s">
        <v>231</v>
      </c>
      <c r="D16" s="421" t="s">
        <v>263</v>
      </c>
      <c r="E16" s="378" t="s">
        <v>232</v>
      </c>
      <c r="F16" s="422"/>
      <c r="G16" s="428">
        <f>ROUND(K16/30.126,1)</f>
        <v>141.1</v>
      </c>
      <c r="H16" s="381">
        <f>výdavky!D174</f>
        <v>6708</v>
      </c>
      <c r="I16" s="381">
        <f>výdavky!E174</f>
        <v>4300</v>
      </c>
      <c r="J16" s="546">
        <f>výdavky!F174</f>
        <v>4250</v>
      </c>
      <c r="K16" s="381">
        <f>výdavky!G174</f>
        <v>4250</v>
      </c>
      <c r="L16" s="381">
        <f>výdavky!H174</f>
        <v>4250</v>
      </c>
    </row>
    <row r="17" spans="1:12" ht="12.75">
      <c r="A17" s="332">
        <f>A16+1</f>
        <v>11</v>
      </c>
      <c r="B17" s="368"/>
      <c r="C17" s="376" t="s">
        <v>233</v>
      </c>
      <c r="D17" s="426" t="s">
        <v>265</v>
      </c>
      <c r="E17" s="387" t="s">
        <v>325</v>
      </c>
      <c r="F17" s="394"/>
      <c r="G17" s="395"/>
      <c r="H17" s="386">
        <f>výdavky!D175</f>
        <v>0</v>
      </c>
      <c r="I17" s="386">
        <f>výdavky!E175</f>
        <v>0</v>
      </c>
      <c r="J17" s="547">
        <f>výdavky!F175</f>
        <v>0</v>
      </c>
      <c r="K17" s="386">
        <f>výdavky!G175</f>
        <v>0</v>
      </c>
      <c r="L17" s="386">
        <f>výdavky!H175</f>
        <v>0</v>
      </c>
    </row>
    <row r="18" spans="1:12" ht="12.75">
      <c r="A18" s="332">
        <f>A17+1</f>
        <v>12</v>
      </c>
      <c r="B18" s="368"/>
      <c r="C18" s="376" t="s">
        <v>239</v>
      </c>
      <c r="D18" s="426" t="s">
        <v>267</v>
      </c>
      <c r="E18" s="387" t="s">
        <v>240</v>
      </c>
      <c r="F18" s="394"/>
      <c r="G18" s="395"/>
      <c r="H18" s="386">
        <f>výdavky!D176</f>
        <v>0</v>
      </c>
      <c r="I18" s="386">
        <f>výdavky!E176</f>
        <v>0</v>
      </c>
      <c r="J18" s="547">
        <f>výdavky!F176</f>
        <v>0</v>
      </c>
      <c r="K18" s="386">
        <f>výdavky!G176</f>
        <v>0</v>
      </c>
      <c r="L18" s="386">
        <f>výdavky!H176</f>
        <v>0</v>
      </c>
    </row>
    <row r="19" spans="1:12" ht="12.75">
      <c r="A19" s="332">
        <v>13</v>
      </c>
      <c r="B19" s="444">
        <v>2</v>
      </c>
      <c r="C19" s="445" t="s">
        <v>326</v>
      </c>
      <c r="D19" s="349"/>
      <c r="E19" s="349"/>
      <c r="F19" s="350"/>
      <c r="G19" s="351" t="e">
        <f>#REF!+G21</f>
        <v>#REF!</v>
      </c>
      <c r="H19" s="353">
        <f>H20+SUM(H20,H24)</f>
        <v>3431</v>
      </c>
      <c r="I19" s="353">
        <f>I20+SUM(I20,I24)</f>
        <v>3000</v>
      </c>
      <c r="J19" s="548">
        <f>J20+SUM(J20,J24)</f>
        <v>3000</v>
      </c>
      <c r="K19" s="353">
        <f>K20+SUM(K20,K24)</f>
        <v>3000</v>
      </c>
      <c r="L19" s="353">
        <f>L20+SUM(L20,L24)</f>
        <v>3000</v>
      </c>
    </row>
    <row r="20" spans="1:12" ht="12.75">
      <c r="A20" s="332">
        <f aca="true" t="shared" si="2" ref="A20:A31">A19+1</f>
        <v>14</v>
      </c>
      <c r="B20" s="368"/>
      <c r="C20" s="376"/>
      <c r="D20" s="336" t="s">
        <v>216</v>
      </c>
      <c r="E20" s="393"/>
      <c r="F20" s="365"/>
      <c r="G20" s="366" t="e">
        <f aca="true" t="shared" si="3" ref="G20:L20">G21</f>
        <v>#REF!</v>
      </c>
      <c r="H20" s="367">
        <f t="shared" si="3"/>
        <v>0</v>
      </c>
      <c r="I20" s="367">
        <f t="shared" si="3"/>
        <v>0</v>
      </c>
      <c r="J20" s="545">
        <f t="shared" si="3"/>
        <v>0</v>
      </c>
      <c r="K20" s="367">
        <f t="shared" si="3"/>
        <v>0</v>
      </c>
      <c r="L20" s="367">
        <f t="shared" si="3"/>
        <v>0</v>
      </c>
    </row>
    <row r="21" spans="1:12" ht="12.75">
      <c r="A21" s="332">
        <f t="shared" si="2"/>
        <v>15</v>
      </c>
      <c r="B21" s="368"/>
      <c r="C21" s="447" t="s">
        <v>327</v>
      </c>
      <c r="D21" s="404" t="s">
        <v>328</v>
      </c>
      <c r="E21" s="371"/>
      <c r="F21" s="549"/>
      <c r="G21" s="419" t="e">
        <f>SUM(G24:G31)</f>
        <v>#REF!</v>
      </c>
      <c r="H21" s="420">
        <f>SUM(H22,H23)</f>
        <v>0</v>
      </c>
      <c r="I21" s="420">
        <f>SUM(I22,I23)</f>
        <v>0</v>
      </c>
      <c r="J21" s="420">
        <f>SUM(J22,J23)</f>
        <v>0</v>
      </c>
      <c r="K21" s="420">
        <f>SUM(K22,K23)</f>
        <v>0</v>
      </c>
      <c r="L21" s="420">
        <f>SUM(L22,L23)</f>
        <v>0</v>
      </c>
    </row>
    <row r="22" spans="1:12" ht="12.75">
      <c r="A22" s="332">
        <f t="shared" si="2"/>
        <v>16</v>
      </c>
      <c r="B22" s="368"/>
      <c r="C22" s="427" t="s">
        <v>329</v>
      </c>
      <c r="D22" s="421" t="s">
        <v>250</v>
      </c>
      <c r="E22" s="409" t="s">
        <v>330</v>
      </c>
      <c r="F22" s="410"/>
      <c r="G22" s="428"/>
      <c r="H22" s="381">
        <v>0</v>
      </c>
      <c r="I22" s="381">
        <v>0</v>
      </c>
      <c r="J22" s="550">
        <f>výdavky!F399</f>
        <v>0</v>
      </c>
      <c r="K22" s="381">
        <v>0</v>
      </c>
      <c r="L22" s="381">
        <v>0</v>
      </c>
    </row>
    <row r="23" spans="1:12" ht="12.75">
      <c r="A23" s="332">
        <f t="shared" si="2"/>
        <v>17</v>
      </c>
      <c r="B23" s="368"/>
      <c r="C23" s="427" t="s">
        <v>329</v>
      </c>
      <c r="D23" s="426" t="s">
        <v>252</v>
      </c>
      <c r="E23" s="413" t="s">
        <v>331</v>
      </c>
      <c r="F23" s="414"/>
      <c r="G23" s="395"/>
      <c r="H23" s="386">
        <v>0</v>
      </c>
      <c r="I23" s="386">
        <v>0</v>
      </c>
      <c r="J23" s="551">
        <v>0</v>
      </c>
      <c r="K23" s="386">
        <v>0</v>
      </c>
      <c r="L23" s="386">
        <v>0</v>
      </c>
    </row>
    <row r="24" spans="1:12" ht="12.75">
      <c r="A24" s="332">
        <f t="shared" si="2"/>
        <v>18</v>
      </c>
      <c r="B24" s="375"/>
      <c r="C24" s="376"/>
      <c r="D24" s="1279" t="s">
        <v>214</v>
      </c>
      <c r="E24" s="1279"/>
      <c r="F24" s="552"/>
      <c r="G24" s="553"/>
      <c r="H24" s="554">
        <f>SUM(H25)</f>
        <v>3431</v>
      </c>
      <c r="I24" s="554">
        <f>SUM(I25)</f>
        <v>3000</v>
      </c>
      <c r="J24" s="545">
        <f>SUM(J25)</f>
        <v>3000</v>
      </c>
      <c r="K24" s="554">
        <f>SUM(K25)</f>
        <v>3000</v>
      </c>
      <c r="L24" s="554">
        <f>SUM(L25)</f>
        <v>3000</v>
      </c>
    </row>
    <row r="25" spans="1:12" ht="12.75">
      <c r="A25" s="332">
        <f t="shared" si="2"/>
        <v>19</v>
      </c>
      <c r="B25" s="375"/>
      <c r="C25" s="447" t="s">
        <v>327</v>
      </c>
      <c r="D25" s="404" t="s">
        <v>328</v>
      </c>
      <c r="E25" s="371"/>
      <c r="F25" s="549"/>
      <c r="G25" s="419" t="e">
        <f>SUM(G28:G31)</f>
        <v>#REF!</v>
      </c>
      <c r="H25" s="420">
        <f>SUM(H26,H27)</f>
        <v>3431</v>
      </c>
      <c r="I25" s="420">
        <f>SUM(I26,I27)</f>
        <v>3000</v>
      </c>
      <c r="J25" s="420">
        <f>SUM(J26,J27)</f>
        <v>3000</v>
      </c>
      <c r="K25" s="420">
        <f>SUM(K26,K27)</f>
        <v>3000</v>
      </c>
      <c r="L25" s="420">
        <f>SUM(L26,L27)</f>
        <v>3000</v>
      </c>
    </row>
    <row r="26" spans="1:12" ht="12.75">
      <c r="A26" s="332">
        <f t="shared" si="2"/>
        <v>20</v>
      </c>
      <c r="B26" s="375"/>
      <c r="C26" s="555">
        <v>633</v>
      </c>
      <c r="D26" s="421" t="s">
        <v>263</v>
      </c>
      <c r="E26" s="409" t="s">
        <v>232</v>
      </c>
      <c r="F26" s="409"/>
      <c r="G26" s="409"/>
      <c r="H26" s="381">
        <f>výdavky!D183</f>
        <v>0</v>
      </c>
      <c r="I26" s="381">
        <f>výdavky!E183</f>
        <v>0</v>
      </c>
      <c r="J26" s="550">
        <f>výdavky!F183</f>
        <v>0</v>
      </c>
      <c r="K26" s="381">
        <f>výdavky!G183</f>
        <v>0</v>
      </c>
      <c r="L26" s="381">
        <f>výdavky!H183</f>
        <v>0</v>
      </c>
    </row>
    <row r="27" spans="1:12" ht="12.75">
      <c r="A27" s="332">
        <f t="shared" si="2"/>
        <v>21</v>
      </c>
      <c r="B27" s="375"/>
      <c r="C27" s="555">
        <v>635</v>
      </c>
      <c r="D27" s="426" t="s">
        <v>265</v>
      </c>
      <c r="E27" s="413" t="s">
        <v>332</v>
      </c>
      <c r="F27" s="556"/>
      <c r="G27" s="395"/>
      <c r="H27" s="386">
        <f>výdavky!D185</f>
        <v>3431</v>
      </c>
      <c r="I27" s="386">
        <f>výdavky!E185</f>
        <v>3000</v>
      </c>
      <c r="J27" s="551">
        <f>výdavky!F185</f>
        <v>3000</v>
      </c>
      <c r="K27" s="386">
        <f>výdavky!G185</f>
        <v>3000</v>
      </c>
      <c r="L27" s="386">
        <f>výdavky!H185</f>
        <v>3000</v>
      </c>
    </row>
    <row r="28" spans="1:12" ht="12.75">
      <c r="A28" s="332">
        <f t="shared" si="2"/>
        <v>22</v>
      </c>
      <c r="B28" s="444">
        <v>3</v>
      </c>
      <c r="C28" s="445" t="s">
        <v>333</v>
      </c>
      <c r="D28" s="349"/>
      <c r="E28" s="349"/>
      <c r="F28" s="350"/>
      <c r="G28" s="351" t="e">
        <f>#REF!+G31</f>
        <v>#REF!</v>
      </c>
      <c r="H28" s="353">
        <f>SUM(H29)</f>
        <v>0</v>
      </c>
      <c r="I28" s="353">
        <f>SUM(I29)</f>
        <v>0</v>
      </c>
      <c r="J28" s="353">
        <f>SUM(J29)</f>
        <v>1000</v>
      </c>
      <c r="K28" s="353">
        <f>SUM(K29)</f>
        <v>1000</v>
      </c>
      <c r="L28" s="353">
        <f>SUM(L29)</f>
        <v>1000</v>
      </c>
    </row>
    <row r="29" spans="1:12" ht="12.75">
      <c r="A29" s="332">
        <f t="shared" si="2"/>
        <v>23</v>
      </c>
      <c r="B29" s="446"/>
      <c r="C29" s="436"/>
      <c r="D29" s="337" t="s">
        <v>214</v>
      </c>
      <c r="E29" s="364"/>
      <c r="F29" s="365"/>
      <c r="G29" s="366">
        <f aca="true" t="shared" si="4" ref="G29:L29">G30</f>
        <v>0</v>
      </c>
      <c r="H29" s="367">
        <f t="shared" si="4"/>
        <v>0</v>
      </c>
      <c r="I29" s="367">
        <f t="shared" si="4"/>
        <v>0</v>
      </c>
      <c r="J29" s="545">
        <f t="shared" si="4"/>
        <v>1000</v>
      </c>
      <c r="K29" s="367">
        <f t="shared" si="4"/>
        <v>1000</v>
      </c>
      <c r="L29" s="367">
        <f t="shared" si="4"/>
        <v>1000</v>
      </c>
    </row>
    <row r="30" spans="1:12" s="559" customFormat="1" ht="12.75">
      <c r="A30" s="332">
        <f t="shared" si="2"/>
        <v>24</v>
      </c>
      <c r="B30" s="557"/>
      <c r="C30" s="447" t="s">
        <v>334</v>
      </c>
      <c r="D30" s="404" t="s">
        <v>333</v>
      </c>
      <c r="E30" s="371"/>
      <c r="F30" s="558"/>
      <c r="G30" s="406"/>
      <c r="H30" s="374">
        <f>SUM(H31:H31)</f>
        <v>0</v>
      </c>
      <c r="I30" s="374">
        <f>SUM(I31:I31)</f>
        <v>0</v>
      </c>
      <c r="J30" s="374">
        <f>SUM(J31:J31)</f>
        <v>1000</v>
      </c>
      <c r="K30" s="374">
        <f>SUM(K31:K31)</f>
        <v>1000</v>
      </c>
      <c r="L30" s="374">
        <f>SUM(L31:L31)</f>
        <v>1000</v>
      </c>
    </row>
    <row r="31" spans="1:12" ht="12.75">
      <c r="A31" s="332">
        <f t="shared" si="2"/>
        <v>25</v>
      </c>
      <c r="B31" s="560"/>
      <c r="C31" s="427" t="s">
        <v>239</v>
      </c>
      <c r="D31" s="421" t="s">
        <v>250</v>
      </c>
      <c r="E31" s="520" t="s">
        <v>335</v>
      </c>
      <c r="F31" s="561"/>
      <c r="G31" s="428">
        <f>ROUND(K31/30.126,1)</f>
        <v>33.2</v>
      </c>
      <c r="H31" s="381">
        <v>0</v>
      </c>
      <c r="I31" s="381">
        <v>0</v>
      </c>
      <c r="J31" s="550">
        <f>výdavky!F180</f>
        <v>1000</v>
      </c>
      <c r="K31" s="381">
        <f>výdavky!G180</f>
        <v>1000</v>
      </c>
      <c r="L31" s="381">
        <f>výdavky!H180</f>
        <v>1000</v>
      </c>
    </row>
    <row r="32" spans="1:12" ht="12.75">
      <c r="A32" s="332"/>
      <c r="B32" s="562"/>
      <c r="C32" s="563">
        <v>637</v>
      </c>
      <c r="D32" s="382">
        <v>2</v>
      </c>
      <c r="E32" s="564"/>
      <c r="F32" s="565"/>
      <c r="G32" s="395"/>
      <c r="H32" s="386"/>
      <c r="I32" s="386"/>
      <c r="J32" s="551"/>
      <c r="K32" s="386"/>
      <c r="L32" s="386"/>
    </row>
    <row r="33" spans="1:12" ht="12.75">
      <c r="A33" s="332">
        <v>30</v>
      </c>
      <c r="B33" s="566">
        <v>4</v>
      </c>
      <c r="C33" s="445" t="s">
        <v>336</v>
      </c>
      <c r="D33" s="567"/>
      <c r="E33" s="567"/>
      <c r="F33" s="568"/>
      <c r="G33" s="569" t="e">
        <f>#REF!+#REF!</f>
        <v>#REF!</v>
      </c>
      <c r="H33" s="353">
        <f>SUM(H34+H44)</f>
        <v>93400</v>
      </c>
      <c r="I33" s="353">
        <f>SUM(I34+I44)</f>
        <v>87889</v>
      </c>
      <c r="J33" s="548">
        <f>SUM(J34+J44)</f>
        <v>89370</v>
      </c>
      <c r="K33" s="353">
        <f>SUM(K34+K44)</f>
        <v>97370</v>
      </c>
      <c r="L33" s="353">
        <f>SUM(L34+L44)</f>
        <v>97370</v>
      </c>
    </row>
    <row r="34" spans="1:12" ht="12.75">
      <c r="A34" s="332">
        <f aca="true" t="shared" si="5" ref="A34:A43">A33+1</f>
        <v>31</v>
      </c>
      <c r="B34" s="446"/>
      <c r="C34" s="436"/>
      <c r="D34" s="337" t="s">
        <v>214</v>
      </c>
      <c r="E34" s="364"/>
      <c r="F34" s="365"/>
      <c r="G34" s="366" t="e">
        <f>G35+G45</f>
        <v>#REF!</v>
      </c>
      <c r="H34" s="367">
        <f>H35</f>
        <v>93400</v>
      </c>
      <c r="I34" s="367">
        <f>I35</f>
        <v>87889</v>
      </c>
      <c r="J34" s="545">
        <f>J35</f>
        <v>89370</v>
      </c>
      <c r="K34" s="367">
        <f>K35</f>
        <v>97370</v>
      </c>
      <c r="L34" s="367">
        <f>L35</f>
        <v>97370</v>
      </c>
    </row>
    <row r="35" spans="1:12" ht="12.75">
      <c r="A35" s="332">
        <f t="shared" si="5"/>
        <v>32</v>
      </c>
      <c r="B35" s="368"/>
      <c r="C35" s="447" t="s">
        <v>337</v>
      </c>
      <c r="D35" s="370" t="s">
        <v>338</v>
      </c>
      <c r="E35" s="371"/>
      <c r="F35" s="372"/>
      <c r="G35" s="406">
        <f aca="true" t="shared" si="6" ref="G35:L35">SUM(G36:G43)</f>
        <v>2051.2999999999997</v>
      </c>
      <c r="H35" s="374">
        <f t="shared" si="6"/>
        <v>93400</v>
      </c>
      <c r="I35" s="374">
        <f t="shared" si="6"/>
        <v>87889</v>
      </c>
      <c r="J35" s="374">
        <f t="shared" si="6"/>
        <v>89370</v>
      </c>
      <c r="K35" s="374">
        <f t="shared" si="6"/>
        <v>97370</v>
      </c>
      <c r="L35" s="374">
        <f t="shared" si="6"/>
        <v>97370</v>
      </c>
    </row>
    <row r="36" spans="1:12" ht="12.75">
      <c r="A36" s="332">
        <f t="shared" si="5"/>
        <v>33</v>
      </c>
      <c r="B36" s="375"/>
      <c r="C36" s="427" t="s">
        <v>223</v>
      </c>
      <c r="D36" s="421" t="s">
        <v>250</v>
      </c>
      <c r="E36" s="378" t="s">
        <v>324</v>
      </c>
      <c r="F36" s="422"/>
      <c r="G36" s="428">
        <f>ROUND(K36/30.126,1)</f>
        <v>1991.6</v>
      </c>
      <c r="H36" s="381">
        <f>výdavky!D153</f>
        <v>57938</v>
      </c>
      <c r="I36" s="381">
        <f>výdavky!E153</f>
        <v>54000</v>
      </c>
      <c r="J36" s="546">
        <f>výdavky!F153</f>
        <v>54000</v>
      </c>
      <c r="K36" s="381">
        <f>výdavky!G153</f>
        <v>60000</v>
      </c>
      <c r="L36" s="381">
        <f>výdavky!H153</f>
        <v>60000</v>
      </c>
    </row>
    <row r="37" spans="1:12" ht="12.75">
      <c r="A37" s="332">
        <f t="shared" si="5"/>
        <v>34</v>
      </c>
      <c r="B37" s="375"/>
      <c r="C37" s="427" t="s">
        <v>225</v>
      </c>
      <c r="D37" s="426" t="s">
        <v>252</v>
      </c>
      <c r="E37" s="387" t="s">
        <v>226</v>
      </c>
      <c r="F37" s="394"/>
      <c r="G37" s="395"/>
      <c r="H37" s="386">
        <f>výdavky!D154</f>
        <v>20315</v>
      </c>
      <c r="I37" s="386">
        <f>výdavky!E154</f>
        <v>19300</v>
      </c>
      <c r="J37" s="547">
        <f>výdavky!F154</f>
        <v>19300</v>
      </c>
      <c r="K37" s="386">
        <f>výdavky!G154</f>
        <v>22000</v>
      </c>
      <c r="L37" s="386">
        <f>výdavky!H154</f>
        <v>22000</v>
      </c>
    </row>
    <row r="38" spans="1:12" ht="12.75">
      <c r="A38" s="332">
        <f t="shared" si="5"/>
        <v>35</v>
      </c>
      <c r="B38" s="375"/>
      <c r="C38" s="427" t="s">
        <v>229</v>
      </c>
      <c r="D38" s="421" t="s">
        <v>263</v>
      </c>
      <c r="E38" s="378" t="s">
        <v>230</v>
      </c>
      <c r="F38" s="422"/>
      <c r="G38" s="428">
        <f>ROUND(K38/30.126,1)</f>
        <v>59.7</v>
      </c>
      <c r="H38" s="381">
        <f>výdavky!D155</f>
        <v>1482</v>
      </c>
      <c r="I38" s="381">
        <f>výdavky!E155</f>
        <v>1500</v>
      </c>
      <c r="J38" s="546">
        <f>výdavky!F155</f>
        <v>1500</v>
      </c>
      <c r="K38" s="381">
        <f>výdavky!G155</f>
        <v>1800</v>
      </c>
      <c r="L38" s="381">
        <f>výdavky!H155</f>
        <v>1800</v>
      </c>
    </row>
    <row r="39" spans="1:12" ht="12.75">
      <c r="A39" s="332">
        <f t="shared" si="5"/>
        <v>36</v>
      </c>
      <c r="B39" s="375"/>
      <c r="C39" s="427" t="s">
        <v>231</v>
      </c>
      <c r="D39" s="426" t="s">
        <v>265</v>
      </c>
      <c r="E39" s="387" t="s">
        <v>232</v>
      </c>
      <c r="F39" s="394"/>
      <c r="G39" s="395"/>
      <c r="H39" s="386">
        <f>výdavky!D156</f>
        <v>1759</v>
      </c>
      <c r="I39" s="386">
        <f>výdavky!E156</f>
        <v>400</v>
      </c>
      <c r="J39" s="547">
        <f>výdavky!F156</f>
        <v>1800</v>
      </c>
      <c r="K39" s="386">
        <f>výdavky!G156</f>
        <v>1800</v>
      </c>
      <c r="L39" s="386">
        <f>výdavky!H156</f>
        <v>1800</v>
      </c>
    </row>
    <row r="40" spans="1:12" ht="12.75">
      <c r="A40" s="332">
        <f t="shared" si="5"/>
        <v>37</v>
      </c>
      <c r="B40" s="375"/>
      <c r="C40" s="427" t="s">
        <v>233</v>
      </c>
      <c r="D40" s="421" t="s">
        <v>267</v>
      </c>
      <c r="E40" s="378" t="s">
        <v>234</v>
      </c>
      <c r="F40" s="422"/>
      <c r="G40" s="428"/>
      <c r="H40" s="381">
        <f>výdavky!D160</f>
        <v>9603</v>
      </c>
      <c r="I40" s="381">
        <f>výdavky!E160</f>
        <v>7800</v>
      </c>
      <c r="J40" s="546">
        <f>výdavky!F160</f>
        <v>7800</v>
      </c>
      <c r="K40" s="381">
        <f>výdavky!G160</f>
        <v>8000</v>
      </c>
      <c r="L40" s="381">
        <f>výdavky!H160</f>
        <v>8000</v>
      </c>
    </row>
    <row r="41" spans="1:12" ht="12.75">
      <c r="A41" s="332">
        <f t="shared" si="5"/>
        <v>38</v>
      </c>
      <c r="B41" s="375"/>
      <c r="C41" s="427" t="s">
        <v>235</v>
      </c>
      <c r="D41" s="426" t="s">
        <v>271</v>
      </c>
      <c r="E41" s="387" t="s">
        <v>339</v>
      </c>
      <c r="F41" s="394"/>
      <c r="G41" s="395"/>
      <c r="H41" s="386">
        <f>výdavky!D164</f>
        <v>2050</v>
      </c>
      <c r="I41" s="386">
        <f>výdavky!E164</f>
        <v>3500</v>
      </c>
      <c r="J41" s="547">
        <f>výdavky!F164</f>
        <v>3500</v>
      </c>
      <c r="K41" s="386">
        <f>výdavky!G164</f>
        <v>3500</v>
      </c>
      <c r="L41" s="386">
        <f>výdavky!H164</f>
        <v>3500</v>
      </c>
    </row>
    <row r="42" spans="1:12" ht="12.75">
      <c r="A42" s="332">
        <f t="shared" si="5"/>
        <v>39</v>
      </c>
      <c r="B42" s="375"/>
      <c r="C42" s="427" t="s">
        <v>239</v>
      </c>
      <c r="D42" s="421" t="s">
        <v>274</v>
      </c>
      <c r="E42" s="378" t="s">
        <v>305</v>
      </c>
      <c r="F42" s="422"/>
      <c r="G42" s="428"/>
      <c r="H42" s="381">
        <f>výdavky!D165</f>
        <v>253</v>
      </c>
      <c r="I42" s="381">
        <f>výdavky!E165</f>
        <v>270</v>
      </c>
      <c r="J42" s="546">
        <f>výdavky!F165</f>
        <v>270</v>
      </c>
      <c r="K42" s="381">
        <f>výdavky!G165</f>
        <v>270</v>
      </c>
      <c r="L42" s="381">
        <f>výdavky!H165</f>
        <v>270</v>
      </c>
    </row>
    <row r="43" spans="1:12" ht="12.75">
      <c r="A43" s="332">
        <f t="shared" si="5"/>
        <v>40</v>
      </c>
      <c r="B43" s="375"/>
      <c r="C43" s="427" t="s">
        <v>249</v>
      </c>
      <c r="D43" s="426" t="s">
        <v>304</v>
      </c>
      <c r="E43" s="387" t="s">
        <v>340</v>
      </c>
      <c r="F43" s="394"/>
      <c r="G43" s="395"/>
      <c r="H43" s="386">
        <f>výdavky!D166</f>
        <v>0</v>
      </c>
      <c r="I43" s="386">
        <f>výdavky!E166</f>
        <v>1119</v>
      </c>
      <c r="J43" s="547">
        <f>výdavky!F166</f>
        <v>1200</v>
      </c>
      <c r="K43" s="386">
        <f>výdavky!G166</f>
        <v>0</v>
      </c>
      <c r="L43" s="386">
        <f>výdavky!H166</f>
        <v>0</v>
      </c>
    </row>
    <row r="44" spans="1:12" ht="12.75">
      <c r="A44" s="332">
        <v>41</v>
      </c>
      <c r="B44" s="375"/>
      <c r="C44" s="376"/>
      <c r="D44" s="336" t="s">
        <v>216</v>
      </c>
      <c r="E44" s="393"/>
      <c r="F44" s="365"/>
      <c r="G44" s="366" t="e">
        <f aca="true" t="shared" si="7" ref="G44:L44">G45</f>
        <v>#REF!</v>
      </c>
      <c r="H44" s="367">
        <f t="shared" si="7"/>
        <v>0</v>
      </c>
      <c r="I44" s="367">
        <f t="shared" si="7"/>
        <v>0</v>
      </c>
      <c r="J44" s="545">
        <f t="shared" si="7"/>
        <v>0</v>
      </c>
      <c r="K44" s="367">
        <f t="shared" si="7"/>
        <v>0</v>
      </c>
      <c r="L44" s="367">
        <f t="shared" si="7"/>
        <v>0</v>
      </c>
    </row>
    <row r="45" spans="1:12" ht="12.75">
      <c r="A45" s="332">
        <f>A44+1</f>
        <v>42</v>
      </c>
      <c r="B45" s="375"/>
      <c r="C45" s="447" t="s">
        <v>341</v>
      </c>
      <c r="D45" s="370" t="s">
        <v>338</v>
      </c>
      <c r="E45" s="371"/>
      <c r="F45" s="372"/>
      <c r="G45" s="406" t="e">
        <f>SUM(#REF!)</f>
        <v>#REF!</v>
      </c>
      <c r="H45" s="374">
        <f>SUM(H46:H46)</f>
        <v>0</v>
      </c>
      <c r="I45" s="374">
        <f>SUM(I46:I46)</f>
        <v>0</v>
      </c>
      <c r="J45" s="374">
        <f>SUM(J46:J46)</f>
        <v>0</v>
      </c>
      <c r="K45" s="374">
        <f>SUM(K46:K46)</f>
        <v>0</v>
      </c>
      <c r="L45" s="374">
        <f>SUM(L46:L46)</f>
        <v>0</v>
      </c>
    </row>
    <row r="46" spans="1:12" s="402" customFormat="1" ht="12.75">
      <c r="A46" s="456">
        <v>43</v>
      </c>
      <c r="B46" s="570"/>
      <c r="C46" s="571" t="s">
        <v>329</v>
      </c>
      <c r="D46" s="501" t="s">
        <v>306</v>
      </c>
      <c r="E46" s="572"/>
      <c r="F46" s="573"/>
      <c r="G46" s="574"/>
      <c r="H46" s="506">
        <v>0</v>
      </c>
      <c r="I46" s="506">
        <v>0</v>
      </c>
      <c r="J46" s="575">
        <v>0</v>
      </c>
      <c r="K46" s="506">
        <v>0</v>
      </c>
      <c r="L46" s="506">
        <v>0</v>
      </c>
    </row>
  </sheetData>
  <mergeCells count="3">
    <mergeCell ref="G3:L3"/>
    <mergeCell ref="D4:F6"/>
    <mergeCell ref="D24:E24"/>
  </mergeCells>
  <printOptions/>
  <pageMargins left="0.7874015748031497" right="0.1968503937007874" top="0.3937007874015748" bottom="0.3937007874015748" header="0.5118110236220472" footer="0.5118110236220472"/>
  <pageSetup horizontalDpi="300" verticalDpi="3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4">
      <selection activeCell="I34" sqref="I34"/>
    </sheetView>
  </sheetViews>
  <sheetFormatPr defaultColWidth="9.140625" defaultRowHeight="12.75"/>
  <cols>
    <col min="1" max="1" width="3.57421875" style="295" customWidth="1"/>
    <col min="2" max="2" width="4.140625" style="1" customWidth="1"/>
    <col min="3" max="3" width="7.57421875" style="0" customWidth="1"/>
    <col min="4" max="4" width="3.421875" style="0" customWidth="1"/>
    <col min="5" max="5" width="31.421875" style="0" customWidth="1"/>
    <col min="6" max="6" width="9.8515625" style="0" customWidth="1"/>
    <col min="7" max="7" width="0" style="0" hidden="1" customWidth="1"/>
    <col min="10" max="10" width="9.7109375" style="0" customWidth="1"/>
    <col min="11" max="12" width="8.421875" style="0" customWidth="1"/>
  </cols>
  <sheetData>
    <row r="1" spans="2:12" ht="15.75">
      <c r="B1" s="299" t="s">
        <v>342</v>
      </c>
      <c r="E1" s="299" t="s">
        <v>343</v>
      </c>
      <c r="F1" s="297"/>
      <c r="G1" s="464" t="e">
        <f>G2-G7</f>
        <v>#REF!</v>
      </c>
      <c r="H1" s="464"/>
      <c r="I1" s="464"/>
      <c r="J1" s="465">
        <f>J2-J7</f>
        <v>0</v>
      </c>
      <c r="K1" s="465">
        <f>K2-K7</f>
        <v>0</v>
      </c>
      <c r="L1" s="465">
        <f>L2-L7</f>
        <v>0</v>
      </c>
    </row>
    <row r="2" spans="2:12" ht="15.75">
      <c r="B2" s="299"/>
      <c r="G2" s="466" t="e">
        <f>SUM(G8:G10)</f>
        <v>#REF!</v>
      </c>
      <c r="H2" s="466"/>
      <c r="I2" s="466"/>
      <c r="J2" s="307">
        <f>SUM(J8:J10)</f>
        <v>597000</v>
      </c>
      <c r="K2" s="307">
        <f>SUM(K8:K10)</f>
        <v>91050</v>
      </c>
      <c r="L2" s="307">
        <f>SUM(L8:L10)</f>
        <v>91050</v>
      </c>
    </row>
    <row r="3" spans="1:12" ht="15.75">
      <c r="A3" s="308"/>
      <c r="B3" s="309"/>
      <c r="C3" s="310"/>
      <c r="D3" s="310"/>
      <c r="E3" s="311"/>
      <c r="F3" s="312"/>
      <c r="G3" s="1275" t="s">
        <v>201</v>
      </c>
      <c r="H3" s="1275"/>
      <c r="I3" s="1275"/>
      <c r="J3" s="1275"/>
      <c r="K3" s="1275"/>
      <c r="L3" s="1275"/>
    </row>
    <row r="4" spans="1:12" ht="11.25" customHeight="1">
      <c r="A4" s="313"/>
      <c r="B4" s="314" t="s">
        <v>202</v>
      </c>
      <c r="C4" s="315" t="s">
        <v>203</v>
      </c>
      <c r="D4" s="1277" t="s">
        <v>204</v>
      </c>
      <c r="E4" s="1277"/>
      <c r="F4" s="1277"/>
      <c r="G4" s="316"/>
      <c r="H4" s="318">
        <v>2011</v>
      </c>
      <c r="I4" s="318">
        <v>2012</v>
      </c>
      <c r="J4" s="317">
        <v>2013</v>
      </c>
      <c r="K4" s="318">
        <v>2014</v>
      </c>
      <c r="L4" s="318">
        <v>2015</v>
      </c>
    </row>
    <row r="5" spans="1:12" ht="15" customHeight="1">
      <c r="A5" s="313"/>
      <c r="B5" s="314" t="s">
        <v>205</v>
      </c>
      <c r="C5" s="315" t="s">
        <v>206</v>
      </c>
      <c r="D5" s="1277"/>
      <c r="E5" s="1277"/>
      <c r="F5" s="1277"/>
      <c r="G5" s="319" t="s">
        <v>207</v>
      </c>
      <c r="H5" s="320" t="s">
        <v>209</v>
      </c>
      <c r="I5" s="320" t="s">
        <v>209</v>
      </c>
      <c r="J5" s="320" t="s">
        <v>208</v>
      </c>
      <c r="K5" s="320" t="s">
        <v>209</v>
      </c>
      <c r="L5" s="320" t="s">
        <v>209</v>
      </c>
    </row>
    <row r="6" spans="1:12" ht="12.75">
      <c r="A6" s="468"/>
      <c r="B6" s="469" t="s">
        <v>210</v>
      </c>
      <c r="C6" s="470" t="s">
        <v>211</v>
      </c>
      <c r="D6" s="1277"/>
      <c r="E6" s="1277"/>
      <c r="F6" s="1277"/>
      <c r="G6" s="471">
        <v>1</v>
      </c>
      <c r="H6" s="472">
        <v>-2</v>
      </c>
      <c r="I6" s="472">
        <v>-1</v>
      </c>
      <c r="J6" s="472">
        <v>1</v>
      </c>
      <c r="K6" s="472">
        <v>2</v>
      </c>
      <c r="L6" s="472">
        <v>3</v>
      </c>
    </row>
    <row r="7" spans="1:12" ht="15">
      <c r="A7" s="332">
        <v>1</v>
      </c>
      <c r="B7" s="473" t="s">
        <v>342</v>
      </c>
      <c r="C7" s="474"/>
      <c r="D7" s="475"/>
      <c r="E7" s="476" t="s">
        <v>343</v>
      </c>
      <c r="F7" s="477"/>
      <c r="G7" s="478" t="e">
        <f>G11+G22</f>
        <v>#REF!</v>
      </c>
      <c r="H7" s="331">
        <f>SUM(H8,H9,H10)</f>
        <v>112185</v>
      </c>
      <c r="I7" s="331">
        <f>SUM(I8,I9,I10)</f>
        <v>97000</v>
      </c>
      <c r="J7" s="479">
        <f>SUM(J8,J9,J10)</f>
        <v>597000</v>
      </c>
      <c r="K7" s="331">
        <f>SUM(K8,K9,K10)</f>
        <v>91050</v>
      </c>
      <c r="L7" s="331">
        <f>SUM(L8,L9,L10)</f>
        <v>91050</v>
      </c>
    </row>
    <row r="8" spans="1:12" ht="12.75">
      <c r="A8" s="332">
        <f aca="true" t="shared" si="0" ref="A8:A17">A7+1</f>
        <v>2</v>
      </c>
      <c r="B8" s="480" t="s">
        <v>213</v>
      </c>
      <c r="C8" s="334" t="s">
        <v>214</v>
      </c>
      <c r="D8" s="335"/>
      <c r="E8" s="336"/>
      <c r="F8" s="337"/>
      <c r="G8" s="481" t="e">
        <f>G12+G23</f>
        <v>#REF!</v>
      </c>
      <c r="H8" s="483">
        <f>SUM(H12+H23)</f>
        <v>112185</v>
      </c>
      <c r="I8" s="483">
        <f>SUM(I12+I23)</f>
        <v>97000</v>
      </c>
      <c r="J8" s="482">
        <f>SUM(J12+J23)</f>
        <v>97000</v>
      </c>
      <c r="K8" s="483">
        <f>SUM(K12+K23)</f>
        <v>91050</v>
      </c>
      <c r="L8" s="483">
        <f>SUM(L12+L23)</f>
        <v>91050</v>
      </c>
    </row>
    <row r="9" spans="1:12" ht="12.75">
      <c r="A9" s="332">
        <f t="shared" si="0"/>
        <v>3</v>
      </c>
      <c r="B9" s="480" t="s">
        <v>215</v>
      </c>
      <c r="C9" s="334" t="s">
        <v>216</v>
      </c>
      <c r="D9" s="335"/>
      <c r="E9" s="336"/>
      <c r="F9" s="337"/>
      <c r="G9" s="481" t="e">
        <f>#REF!</f>
        <v>#REF!</v>
      </c>
      <c r="H9" s="483">
        <f>H18</f>
        <v>0</v>
      </c>
      <c r="I9" s="483">
        <f>I18</f>
        <v>0</v>
      </c>
      <c r="J9" s="483">
        <f>J18</f>
        <v>500000</v>
      </c>
      <c r="K9" s="483">
        <f>K18</f>
        <v>0</v>
      </c>
      <c r="L9" s="483">
        <f>L18</f>
        <v>0</v>
      </c>
    </row>
    <row r="10" spans="1:12" ht="12.75">
      <c r="A10" s="332">
        <f t="shared" si="0"/>
        <v>4</v>
      </c>
      <c r="B10" s="485"/>
      <c r="C10" s="341" t="s">
        <v>217</v>
      </c>
      <c r="D10" s="342"/>
      <c r="E10" s="343"/>
      <c r="F10" s="344"/>
      <c r="G10" s="486">
        <v>0</v>
      </c>
      <c r="H10" s="483">
        <v>0</v>
      </c>
      <c r="I10" s="483">
        <v>0</v>
      </c>
      <c r="J10" s="482">
        <v>0</v>
      </c>
      <c r="K10" s="483">
        <v>0</v>
      </c>
      <c r="L10" s="483">
        <v>0</v>
      </c>
    </row>
    <row r="11" spans="1:12" ht="12.75">
      <c r="A11" s="332">
        <f t="shared" si="0"/>
        <v>5</v>
      </c>
      <c r="B11" s="489">
        <v>1</v>
      </c>
      <c r="C11" s="449" t="s">
        <v>344</v>
      </c>
      <c r="D11" s="349"/>
      <c r="E11" s="349"/>
      <c r="F11" s="350"/>
      <c r="G11" s="351" t="e">
        <f>SUM(G13)+#REF!</f>
        <v>#REF!</v>
      </c>
      <c r="H11" s="352">
        <f aca="true" t="shared" si="1" ref="H11:L12">H12</f>
        <v>82027</v>
      </c>
      <c r="I11" s="352">
        <f t="shared" si="1"/>
        <v>72000</v>
      </c>
      <c r="J11" s="352">
        <f t="shared" si="1"/>
        <v>72000</v>
      </c>
      <c r="K11" s="352">
        <f t="shared" si="1"/>
        <v>65000</v>
      </c>
      <c r="L11" s="352">
        <f t="shared" si="1"/>
        <v>65000</v>
      </c>
    </row>
    <row r="12" spans="1:12" s="402" customFormat="1" ht="12.75">
      <c r="A12" s="332">
        <f t="shared" si="0"/>
        <v>6</v>
      </c>
      <c r="B12" s="491"/>
      <c r="C12" s="363"/>
      <c r="D12" s="337" t="s">
        <v>214</v>
      </c>
      <c r="E12" s="364"/>
      <c r="F12" s="365"/>
      <c r="G12" s="366" t="e">
        <f>G13</f>
        <v>#REF!</v>
      </c>
      <c r="H12" s="367">
        <f t="shared" si="1"/>
        <v>82027</v>
      </c>
      <c r="I12" s="367">
        <f t="shared" si="1"/>
        <v>72000</v>
      </c>
      <c r="J12" s="367">
        <f t="shared" si="1"/>
        <v>72000</v>
      </c>
      <c r="K12" s="367">
        <f t="shared" si="1"/>
        <v>65000</v>
      </c>
      <c r="L12" s="367">
        <f t="shared" si="1"/>
        <v>65000</v>
      </c>
    </row>
    <row r="13" spans="1:12" ht="12.75">
      <c r="A13" s="332">
        <f t="shared" si="0"/>
        <v>7</v>
      </c>
      <c r="B13" s="493"/>
      <c r="C13" s="494" t="s">
        <v>345</v>
      </c>
      <c r="D13" s="404" t="s">
        <v>346</v>
      </c>
      <c r="E13" s="495"/>
      <c r="F13" s="496"/>
      <c r="G13" s="406" t="e">
        <f>SUM(#REF!)</f>
        <v>#REF!</v>
      </c>
      <c r="H13" s="374">
        <f>SUM(H14,H15,H16,H17)</f>
        <v>82027</v>
      </c>
      <c r="I13" s="374">
        <f>SUM(I14,I15,I16,I17)</f>
        <v>72000</v>
      </c>
      <c r="J13" s="374">
        <f>SUM(J14,J15,J16,J17)</f>
        <v>72000</v>
      </c>
      <c r="K13" s="374">
        <f>SUM(K14,K15,K16,K17)</f>
        <v>65000</v>
      </c>
      <c r="L13" s="374">
        <f>SUM(L14,L15,L16,L17)</f>
        <v>65000</v>
      </c>
    </row>
    <row r="14" spans="1:12" ht="12.75">
      <c r="A14" s="332">
        <f t="shared" si="0"/>
        <v>8</v>
      </c>
      <c r="B14" s="493"/>
      <c r="C14" s="425" t="s">
        <v>231</v>
      </c>
      <c r="D14" s="426" t="s">
        <v>250</v>
      </c>
      <c r="E14" s="383" t="s">
        <v>232</v>
      </c>
      <c r="F14" s="414"/>
      <c r="G14" s="415"/>
      <c r="H14" s="386">
        <v>0</v>
      </c>
      <c r="I14" s="386">
        <v>0</v>
      </c>
      <c r="J14" s="386">
        <f>výdavky!F196</f>
        <v>0</v>
      </c>
      <c r="K14" s="386">
        <f>výdavky!G196</f>
        <v>0</v>
      </c>
      <c r="L14" s="386">
        <f>výdavky!H196</f>
        <v>0</v>
      </c>
    </row>
    <row r="15" spans="1:12" ht="12.75">
      <c r="A15" s="332">
        <f t="shared" si="0"/>
        <v>9</v>
      </c>
      <c r="B15" s="493"/>
      <c r="C15" s="425" t="s">
        <v>233</v>
      </c>
      <c r="D15" s="426" t="s">
        <v>252</v>
      </c>
      <c r="E15" s="383" t="s">
        <v>234</v>
      </c>
      <c r="F15" s="414"/>
      <c r="G15" s="415"/>
      <c r="H15" s="386">
        <v>0</v>
      </c>
      <c r="I15" s="386">
        <v>0</v>
      </c>
      <c r="J15" s="386">
        <f>výdavky!F197</f>
        <v>0</v>
      </c>
      <c r="K15" s="386">
        <f>výdavky!G197</f>
        <v>0</v>
      </c>
      <c r="L15" s="386">
        <f>výdavky!H197</f>
        <v>0</v>
      </c>
    </row>
    <row r="16" spans="1:12" ht="12.75">
      <c r="A16" s="332">
        <f t="shared" si="0"/>
        <v>10</v>
      </c>
      <c r="B16" s="493"/>
      <c r="C16" s="425" t="s">
        <v>235</v>
      </c>
      <c r="D16" s="426" t="s">
        <v>263</v>
      </c>
      <c r="E16" s="383" t="s">
        <v>316</v>
      </c>
      <c r="F16" s="414"/>
      <c r="G16" s="415"/>
      <c r="H16" s="386">
        <v>0</v>
      </c>
      <c r="I16" s="386">
        <v>0</v>
      </c>
      <c r="J16" s="386">
        <f>výdavky!F200</f>
        <v>0</v>
      </c>
      <c r="K16" s="386">
        <f>výdavky!G200</f>
        <v>0</v>
      </c>
      <c r="L16" s="386">
        <f>výdavky!H200</f>
        <v>0</v>
      </c>
    </row>
    <row r="17" spans="1:12" ht="12.75">
      <c r="A17" s="332">
        <f t="shared" si="0"/>
        <v>11</v>
      </c>
      <c r="B17" s="493"/>
      <c r="C17" s="425" t="s">
        <v>239</v>
      </c>
      <c r="D17" s="426" t="s">
        <v>265</v>
      </c>
      <c r="E17" s="383" t="s">
        <v>347</v>
      </c>
      <c r="F17" s="414"/>
      <c r="G17" s="415"/>
      <c r="H17" s="386">
        <f>výdavky!D202</f>
        <v>82027</v>
      </c>
      <c r="I17" s="386">
        <f>výdavky!E202</f>
        <v>72000</v>
      </c>
      <c r="J17" s="386">
        <f>výdavky!F202</f>
        <v>72000</v>
      </c>
      <c r="K17" s="386">
        <f>výdavky!G202</f>
        <v>65000</v>
      </c>
      <c r="L17" s="386">
        <f>výdavky!H202</f>
        <v>65000</v>
      </c>
    </row>
    <row r="18" spans="1:12" ht="12.75">
      <c r="A18" s="332">
        <v>12</v>
      </c>
      <c r="B18" s="368"/>
      <c r="C18" s="376"/>
      <c r="D18" s="336" t="s">
        <v>216</v>
      </c>
      <c r="E18" s="393"/>
      <c r="F18" s="365"/>
      <c r="G18" s="366">
        <f>G20</f>
        <v>0</v>
      </c>
      <c r="H18" s="367">
        <f>H19</f>
        <v>0</v>
      </c>
      <c r="I18" s="367">
        <f>I19</f>
        <v>0</v>
      </c>
      <c r="J18" s="367">
        <f>J19</f>
        <v>500000</v>
      </c>
      <c r="K18" s="367">
        <f>K19</f>
        <v>0</v>
      </c>
      <c r="L18" s="367">
        <f>L19</f>
        <v>0</v>
      </c>
    </row>
    <row r="19" spans="1:12" ht="12.75">
      <c r="A19" s="332">
        <f aca="true" t="shared" si="2" ref="A19:A24">A18+1</f>
        <v>13</v>
      </c>
      <c r="B19" s="368"/>
      <c r="C19" s="369" t="s">
        <v>348</v>
      </c>
      <c r="D19" s="370" t="s">
        <v>346</v>
      </c>
      <c r="E19" s="371"/>
      <c r="F19" s="372"/>
      <c r="G19" s="373">
        <f>SUM(G20:G24)</f>
        <v>234.29999999999998</v>
      </c>
      <c r="H19" s="374">
        <f>H20+SUM(H20,H21)</f>
        <v>0</v>
      </c>
      <c r="I19" s="374">
        <f>I20+SUM(I20,I21)</f>
        <v>0</v>
      </c>
      <c r="J19" s="374">
        <f>SUM(J20,J21)</f>
        <v>500000</v>
      </c>
      <c r="K19" s="374">
        <f>K20+SUM(K20,K21)</f>
        <v>0</v>
      </c>
      <c r="L19" s="374">
        <f>L20+SUM(L20,L21)</f>
        <v>0</v>
      </c>
    </row>
    <row r="20" spans="1:12" ht="12.75">
      <c r="A20" s="332">
        <f t="shared" si="2"/>
        <v>14</v>
      </c>
      <c r="B20" s="493"/>
      <c r="C20" s="425" t="s">
        <v>329</v>
      </c>
      <c r="D20" s="426" t="s">
        <v>267</v>
      </c>
      <c r="E20" s="522" t="s">
        <v>349</v>
      </c>
      <c r="F20" s="394"/>
      <c r="G20" s="395"/>
      <c r="H20" s="386">
        <v>0</v>
      </c>
      <c r="I20" s="386">
        <v>0</v>
      </c>
      <c r="J20" s="386">
        <v>475000</v>
      </c>
      <c r="K20" s="386">
        <v>0</v>
      </c>
      <c r="L20" s="386">
        <v>0</v>
      </c>
    </row>
    <row r="21" spans="1:12" ht="12.75">
      <c r="A21" s="332">
        <f t="shared" si="2"/>
        <v>15</v>
      </c>
      <c r="B21" s="493"/>
      <c r="C21" s="425" t="s">
        <v>329</v>
      </c>
      <c r="D21" s="426" t="s">
        <v>271</v>
      </c>
      <c r="E21" s="522" t="s">
        <v>350</v>
      </c>
      <c r="F21" s="394"/>
      <c r="G21" s="395"/>
      <c r="H21" s="386">
        <v>0</v>
      </c>
      <c r="I21" s="386">
        <v>0</v>
      </c>
      <c r="J21" s="386">
        <v>25000</v>
      </c>
      <c r="K21" s="386">
        <v>0</v>
      </c>
      <c r="L21" s="386">
        <v>0</v>
      </c>
    </row>
    <row r="22" spans="1:12" ht="12.75">
      <c r="A22" s="332">
        <f t="shared" si="2"/>
        <v>16</v>
      </c>
      <c r="B22" s="489">
        <v>2</v>
      </c>
      <c r="C22" s="576" t="s">
        <v>351</v>
      </c>
      <c r="D22" s="349"/>
      <c r="E22" s="349"/>
      <c r="F22" s="350"/>
      <c r="G22" s="351">
        <f>SUM(G24)</f>
        <v>78.1</v>
      </c>
      <c r="H22" s="353">
        <f aca="true" t="shared" si="3" ref="H22:L23">H23</f>
        <v>30158</v>
      </c>
      <c r="I22" s="353">
        <f t="shared" si="3"/>
        <v>25000</v>
      </c>
      <c r="J22" s="353">
        <f t="shared" si="3"/>
        <v>25000</v>
      </c>
      <c r="K22" s="353">
        <f t="shared" si="3"/>
        <v>26050</v>
      </c>
      <c r="L22" s="353">
        <f t="shared" si="3"/>
        <v>26050</v>
      </c>
    </row>
    <row r="23" spans="1:12" s="402" customFormat="1" ht="12.75">
      <c r="A23" s="332">
        <f t="shared" si="2"/>
        <v>17</v>
      </c>
      <c r="B23" s="491"/>
      <c r="C23" s="577"/>
      <c r="D23" s="337" t="s">
        <v>214</v>
      </c>
      <c r="E23" s="364"/>
      <c r="F23" s="365"/>
      <c r="G23" s="366">
        <f>G24</f>
        <v>78.1</v>
      </c>
      <c r="H23" s="367">
        <f t="shared" si="3"/>
        <v>30158</v>
      </c>
      <c r="I23" s="367">
        <f t="shared" si="3"/>
        <v>25000</v>
      </c>
      <c r="J23" s="367">
        <f t="shared" si="3"/>
        <v>25000</v>
      </c>
      <c r="K23" s="367">
        <f t="shared" si="3"/>
        <v>26050</v>
      </c>
      <c r="L23" s="367">
        <f t="shared" si="3"/>
        <v>26050</v>
      </c>
    </row>
    <row r="24" spans="1:12" ht="12.75">
      <c r="A24" s="332">
        <f t="shared" si="2"/>
        <v>18</v>
      </c>
      <c r="B24" s="493"/>
      <c r="C24" s="578" t="s">
        <v>352</v>
      </c>
      <c r="D24" s="404" t="s">
        <v>351</v>
      </c>
      <c r="E24" s="495"/>
      <c r="F24" s="496"/>
      <c r="G24" s="406">
        <f>G35</f>
        <v>78.1</v>
      </c>
      <c r="H24" s="374">
        <f>H35+SUM(H25,H26,H27,H28,H29,H30)</f>
        <v>30158</v>
      </c>
      <c r="I24" s="374">
        <f>I35+SUM(I25,I26,I27,I28,I29,I30)</f>
        <v>25000</v>
      </c>
      <c r="J24" s="374">
        <f>J35+SUM(J25,J26,J27,J28,J29,J30)</f>
        <v>25000</v>
      </c>
      <c r="K24" s="374">
        <f>K35+SUM(K25,K26,K27,K28,K29,K30)</f>
        <v>26050</v>
      </c>
      <c r="L24" s="374">
        <f>L35+SUM(L25,L26,L27,L28,L29,L30)</f>
        <v>26050</v>
      </c>
    </row>
    <row r="25" spans="1:12" ht="12.75">
      <c r="A25" s="332">
        <v>19</v>
      </c>
      <c r="B25" s="493"/>
      <c r="C25" s="425" t="s">
        <v>223</v>
      </c>
      <c r="D25" s="412">
        <v>1</v>
      </c>
      <c r="E25" s="413" t="s">
        <v>224</v>
      </c>
      <c r="F25" s="414"/>
      <c r="G25" s="415"/>
      <c r="H25" s="386">
        <f>výdavky!D206</f>
        <v>4801</v>
      </c>
      <c r="I25" s="386">
        <f>výdavky!E206</f>
        <v>5000</v>
      </c>
      <c r="J25" s="386">
        <f>výdavky!F206</f>
        <v>5000</v>
      </c>
      <c r="K25" s="386">
        <f>výdavky!G206</f>
        <v>5500</v>
      </c>
      <c r="L25" s="386">
        <f>výdavky!H206</f>
        <v>5500</v>
      </c>
    </row>
    <row r="26" spans="1:12" ht="12.75">
      <c r="A26" s="332">
        <v>20</v>
      </c>
      <c r="B26" s="493"/>
      <c r="C26" s="425" t="s">
        <v>225</v>
      </c>
      <c r="D26" s="412">
        <v>2</v>
      </c>
      <c r="E26" s="413" t="s">
        <v>226</v>
      </c>
      <c r="F26" s="414"/>
      <c r="G26" s="415"/>
      <c r="H26" s="386">
        <f>výdavky!D207</f>
        <v>1724</v>
      </c>
      <c r="I26" s="386">
        <f>výdavky!E207</f>
        <v>1500</v>
      </c>
      <c r="J26" s="386">
        <f>výdavky!F207</f>
        <v>1500</v>
      </c>
      <c r="K26" s="386">
        <f>výdavky!G207</f>
        <v>1550</v>
      </c>
      <c r="L26" s="386">
        <f>výdavky!H207</f>
        <v>1550</v>
      </c>
    </row>
    <row r="27" spans="1:12" ht="12.75">
      <c r="A27" s="332">
        <v>21</v>
      </c>
      <c r="B27" s="493"/>
      <c r="C27" s="425" t="s">
        <v>229</v>
      </c>
      <c r="D27" s="412">
        <v>3</v>
      </c>
      <c r="E27" s="413" t="s">
        <v>230</v>
      </c>
      <c r="F27" s="414"/>
      <c r="G27" s="415"/>
      <c r="H27" s="386">
        <f>výdavky!D208</f>
        <v>5702</v>
      </c>
      <c r="I27" s="386">
        <f>výdavky!E208</f>
        <v>5500</v>
      </c>
      <c r="J27" s="386">
        <f>výdavky!F208</f>
        <v>5500</v>
      </c>
      <c r="K27" s="386">
        <f>výdavky!G208</f>
        <v>6000</v>
      </c>
      <c r="L27" s="386">
        <f>výdavky!H208</f>
        <v>6000</v>
      </c>
    </row>
    <row r="28" spans="1:12" ht="12.75">
      <c r="A28" s="332">
        <v>22</v>
      </c>
      <c r="B28" s="493"/>
      <c r="C28" s="425" t="s">
        <v>231</v>
      </c>
      <c r="D28" s="412">
        <v>4</v>
      </c>
      <c r="E28" s="413" t="s">
        <v>232</v>
      </c>
      <c r="F28" s="414"/>
      <c r="G28" s="415"/>
      <c r="H28" s="386">
        <f>výdavky!D209</f>
        <v>0</v>
      </c>
      <c r="I28" s="386">
        <f>výdavky!E209</f>
        <v>0</v>
      </c>
      <c r="J28" s="386">
        <f>výdavky!F209</f>
        <v>0</v>
      </c>
      <c r="K28" s="386">
        <f>výdavky!G209</f>
        <v>0</v>
      </c>
      <c r="L28" s="386">
        <f>výdavky!H209</f>
        <v>0</v>
      </c>
    </row>
    <row r="29" spans="1:12" ht="12.75">
      <c r="A29" s="332">
        <v>23</v>
      </c>
      <c r="B29" s="493"/>
      <c r="C29" s="425" t="s">
        <v>233</v>
      </c>
      <c r="D29" s="412">
        <v>5</v>
      </c>
      <c r="E29" s="413" t="s">
        <v>234</v>
      </c>
      <c r="F29" s="414"/>
      <c r="G29" s="415"/>
      <c r="H29" s="386">
        <f>výdavky!D210</f>
        <v>10346</v>
      </c>
      <c r="I29" s="386">
        <f>výdavky!E210</f>
        <v>9500</v>
      </c>
      <c r="J29" s="386">
        <f>výdavky!F210</f>
        <v>9500</v>
      </c>
      <c r="K29" s="386">
        <f>výdavky!G210</f>
        <v>9500</v>
      </c>
      <c r="L29" s="386">
        <f>výdavky!H210</f>
        <v>9500</v>
      </c>
    </row>
    <row r="30" spans="1:12" ht="12.75">
      <c r="A30" s="332">
        <v>24</v>
      </c>
      <c r="B30" s="493"/>
      <c r="C30" s="425" t="s">
        <v>239</v>
      </c>
      <c r="D30" s="412">
        <v>6</v>
      </c>
      <c r="E30" s="413" t="s">
        <v>353</v>
      </c>
      <c r="F30" s="414"/>
      <c r="G30" s="415"/>
      <c r="H30" s="386">
        <f>výdavky!D213</f>
        <v>7585</v>
      </c>
      <c r="I30" s="386">
        <f>výdavky!E213</f>
        <v>3500</v>
      </c>
      <c r="J30" s="386">
        <f>výdavky!F213</f>
        <v>3500</v>
      </c>
      <c r="K30" s="386">
        <f>výdavky!G213</f>
        <v>3500</v>
      </c>
      <c r="L30" s="386">
        <f>výdavky!H213</f>
        <v>3500</v>
      </c>
    </row>
    <row r="31" spans="1:12" ht="12.75">
      <c r="A31" s="332">
        <v>25</v>
      </c>
      <c r="B31" s="493"/>
      <c r="C31" s="425"/>
      <c r="D31" s="1279" t="s">
        <v>216</v>
      </c>
      <c r="E31" s="1279"/>
      <c r="F31" s="552"/>
      <c r="G31" s="579"/>
      <c r="H31" s="554">
        <f>SUM(H32)</f>
        <v>0</v>
      </c>
      <c r="I31" s="554">
        <f>SUM(I32)</f>
        <v>0</v>
      </c>
      <c r="J31" s="554">
        <f>SUM(J32)</f>
        <v>0</v>
      </c>
      <c r="K31" s="554">
        <f>SUM(K32)</f>
        <v>0</v>
      </c>
      <c r="L31" s="554">
        <f>SUM(L32)</f>
        <v>0</v>
      </c>
    </row>
    <row r="32" spans="1:12" ht="12.75">
      <c r="A32" s="332">
        <v>26</v>
      </c>
      <c r="B32" s="493"/>
      <c r="C32" s="578" t="s">
        <v>352</v>
      </c>
      <c r="D32" s="1280" t="s">
        <v>351</v>
      </c>
      <c r="E32" s="1280"/>
      <c r="F32" s="496"/>
      <c r="G32" s="406"/>
      <c r="H32" s="580">
        <f>SUM(H33,H34,H35)</f>
        <v>0</v>
      </c>
      <c r="I32" s="580">
        <f>SUM(I33,I34,I35)</f>
        <v>0</v>
      </c>
      <c r="J32" s="580">
        <f>SUM(J33,J34,J35)</f>
        <v>0</v>
      </c>
      <c r="K32" s="580">
        <f>SUM(K33,K34,K35)</f>
        <v>0</v>
      </c>
      <c r="L32" s="580">
        <f>SUM(L33,L34,L35)</f>
        <v>0</v>
      </c>
    </row>
    <row r="33" spans="1:12" ht="12.75">
      <c r="A33" s="332">
        <v>27</v>
      </c>
      <c r="B33" s="493"/>
      <c r="C33" s="425" t="s">
        <v>329</v>
      </c>
      <c r="D33" s="412">
        <v>7</v>
      </c>
      <c r="E33" s="413" t="s">
        <v>354</v>
      </c>
      <c r="F33" s="384"/>
      <c r="G33" s="581"/>
      <c r="H33" s="386">
        <v>0</v>
      </c>
      <c r="I33" s="386">
        <v>0</v>
      </c>
      <c r="J33" s="386">
        <f>výdavky!F395</f>
        <v>0</v>
      </c>
      <c r="K33" s="386">
        <f>výdavky!G395</f>
        <v>0</v>
      </c>
      <c r="L33" s="386">
        <f>výdavky!H395</f>
        <v>0</v>
      </c>
    </row>
    <row r="34" spans="1:12" ht="12.75">
      <c r="A34" s="332">
        <v>28</v>
      </c>
      <c r="B34" s="493"/>
      <c r="C34" s="425"/>
      <c r="D34" s="412"/>
      <c r="E34" s="413"/>
      <c r="F34" s="414"/>
      <c r="G34" s="415"/>
      <c r="H34" s="386"/>
      <c r="I34" s="386"/>
      <c r="J34" s="386"/>
      <c r="K34" s="386"/>
      <c r="L34" s="386"/>
    </row>
    <row r="35" spans="1:12" s="402" customFormat="1" ht="12.75">
      <c r="A35" s="456">
        <v>29</v>
      </c>
      <c r="B35" s="582"/>
      <c r="C35" s="500"/>
      <c r="D35" s="459"/>
      <c r="E35" s="583"/>
      <c r="F35" s="503"/>
      <c r="G35" s="574">
        <v>78.1</v>
      </c>
      <c r="H35" s="506"/>
      <c r="I35" s="506"/>
      <c r="J35" s="506"/>
      <c r="K35" s="506"/>
      <c r="L35" s="506"/>
    </row>
  </sheetData>
  <mergeCells count="4">
    <mergeCell ref="G3:L3"/>
    <mergeCell ref="D4:F6"/>
    <mergeCell ref="D31:E31"/>
    <mergeCell ref="D32:E32"/>
  </mergeCells>
  <printOptions/>
  <pageMargins left="0.7874015748031497" right="0.1968503937007874" top="0.7874015748031497" bottom="0.7874015748031497" header="0.5118110236220472" footer="0.5118110236220472"/>
  <pageSetup horizontalDpi="300" verticalDpi="3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">
      <selection activeCell="L10" sqref="L10"/>
    </sheetView>
  </sheetViews>
  <sheetFormatPr defaultColWidth="9.140625" defaultRowHeight="12.75"/>
  <cols>
    <col min="1" max="1" width="3.57421875" style="295" customWidth="1"/>
    <col min="2" max="2" width="4.140625" style="1" customWidth="1"/>
    <col min="3" max="3" width="7.57421875" style="0" customWidth="1"/>
    <col min="4" max="4" width="3.421875" style="0" customWidth="1"/>
    <col min="5" max="5" width="31.421875" style="0" customWidth="1"/>
    <col min="6" max="6" width="9.8515625" style="0" customWidth="1"/>
    <col min="7" max="7" width="0" style="0" hidden="1" customWidth="1"/>
    <col min="10" max="12" width="9.7109375" style="0" customWidth="1"/>
  </cols>
  <sheetData>
    <row r="1" spans="2:12" ht="15.75">
      <c r="B1" s="299" t="s">
        <v>355</v>
      </c>
      <c r="E1" s="299" t="s">
        <v>356</v>
      </c>
      <c r="F1" s="297"/>
      <c r="G1" s="464" t="e">
        <f>G2-G7</f>
        <v>#REF!</v>
      </c>
      <c r="H1" s="464"/>
      <c r="I1" s="464"/>
      <c r="J1" s="465">
        <f>J2-J7</f>
        <v>0</v>
      </c>
      <c r="K1" s="465">
        <f>K2-K7</f>
        <v>0</v>
      </c>
      <c r="L1" s="465">
        <f>L2-L7</f>
        <v>0</v>
      </c>
    </row>
    <row r="2" spans="2:12" ht="15.75">
      <c r="B2" s="299"/>
      <c r="G2" s="466" t="e">
        <f>SUM(G8:G10)</f>
        <v>#REF!</v>
      </c>
      <c r="H2" s="466"/>
      <c r="I2" s="466"/>
      <c r="J2" s="307">
        <f>SUM(J8:J10)</f>
        <v>81650</v>
      </c>
      <c r="K2" s="307">
        <f>SUM(K8:K10)</f>
        <v>16650</v>
      </c>
      <c r="L2" s="307">
        <f>SUM(L8:L10)</f>
        <v>16650</v>
      </c>
    </row>
    <row r="3" spans="1:12" ht="15.75">
      <c r="A3" s="308"/>
      <c r="B3" s="309"/>
      <c r="C3" s="310"/>
      <c r="D3" s="310"/>
      <c r="E3" s="311"/>
      <c r="F3" s="312"/>
      <c r="G3" s="1275" t="s">
        <v>201</v>
      </c>
      <c r="H3" s="1275"/>
      <c r="I3" s="1275"/>
      <c r="J3" s="1275"/>
      <c r="K3" s="1275"/>
      <c r="L3" s="1275"/>
    </row>
    <row r="4" spans="1:12" ht="11.25" customHeight="1">
      <c r="A4" s="313"/>
      <c r="B4" s="314" t="s">
        <v>202</v>
      </c>
      <c r="C4" s="315" t="s">
        <v>203</v>
      </c>
      <c r="D4" s="1277" t="s">
        <v>204</v>
      </c>
      <c r="E4" s="1277"/>
      <c r="F4" s="1277"/>
      <c r="G4" s="316"/>
      <c r="H4" s="318">
        <v>2011</v>
      </c>
      <c r="I4" s="318">
        <v>2012</v>
      </c>
      <c r="J4" s="317">
        <v>2013</v>
      </c>
      <c r="K4" s="318">
        <v>2014</v>
      </c>
      <c r="L4" s="318">
        <v>2015</v>
      </c>
    </row>
    <row r="5" spans="1:12" ht="15" customHeight="1">
      <c r="A5" s="313"/>
      <c r="B5" s="314" t="s">
        <v>205</v>
      </c>
      <c r="C5" s="315" t="s">
        <v>206</v>
      </c>
      <c r="D5" s="1277"/>
      <c r="E5" s="1277"/>
      <c r="F5" s="1277"/>
      <c r="G5" s="319" t="s">
        <v>207</v>
      </c>
      <c r="H5" s="320" t="s">
        <v>209</v>
      </c>
      <c r="I5" s="320" t="s">
        <v>209</v>
      </c>
      <c r="J5" s="320" t="s">
        <v>208</v>
      </c>
      <c r="K5" s="320" t="s">
        <v>209</v>
      </c>
      <c r="L5" s="320" t="s">
        <v>209</v>
      </c>
    </row>
    <row r="6" spans="1:12" ht="12.75">
      <c r="A6" s="468"/>
      <c r="B6" s="469" t="s">
        <v>210</v>
      </c>
      <c r="C6" s="470" t="s">
        <v>211</v>
      </c>
      <c r="D6" s="1277"/>
      <c r="E6" s="1277"/>
      <c r="F6" s="1277"/>
      <c r="G6" s="471">
        <v>1</v>
      </c>
      <c r="H6" s="472">
        <v>-2</v>
      </c>
      <c r="I6" s="472">
        <v>-1</v>
      </c>
      <c r="J6" s="472">
        <v>1</v>
      </c>
      <c r="K6" s="472">
        <v>2</v>
      </c>
      <c r="L6" s="472">
        <v>3</v>
      </c>
    </row>
    <row r="7" spans="1:12" ht="15">
      <c r="A7" s="332">
        <v>1</v>
      </c>
      <c r="B7" s="473" t="s">
        <v>355</v>
      </c>
      <c r="C7" s="474"/>
      <c r="D7" s="475"/>
      <c r="E7" s="476" t="s">
        <v>356</v>
      </c>
      <c r="F7" s="477"/>
      <c r="G7" s="478" t="e">
        <f>G11+G23</f>
        <v>#REF!</v>
      </c>
      <c r="H7" s="331">
        <f>SUM(H8:H10)</f>
        <v>761474</v>
      </c>
      <c r="I7" s="331">
        <f>SUM(I8:I10)</f>
        <v>183361.32</v>
      </c>
      <c r="J7" s="479">
        <f>SUM(J8:J10)</f>
        <v>81650</v>
      </c>
      <c r="K7" s="331">
        <f>SUM(K8:K10)</f>
        <v>16650</v>
      </c>
      <c r="L7" s="331">
        <f>SUM(L8:L10)</f>
        <v>16650</v>
      </c>
    </row>
    <row r="8" spans="1:12" ht="12.75">
      <c r="A8" s="332">
        <f aca="true" t="shared" si="0" ref="A8:A17">A7+1</f>
        <v>2</v>
      </c>
      <c r="B8" s="480" t="s">
        <v>213</v>
      </c>
      <c r="C8" s="334" t="s">
        <v>214</v>
      </c>
      <c r="D8" s="335"/>
      <c r="E8" s="336"/>
      <c r="F8" s="337"/>
      <c r="G8" s="481" t="e">
        <f>G12+G24</f>
        <v>#REF!</v>
      </c>
      <c r="H8" s="483">
        <f>SUM(H12+H24)</f>
        <v>54221</v>
      </c>
      <c r="I8" s="483">
        <f>SUM(I12+I24)</f>
        <v>35907.270000000004</v>
      </c>
      <c r="J8" s="482">
        <f>SUM(J12+J24)</f>
        <v>16650</v>
      </c>
      <c r="K8" s="483">
        <f>SUM(K12+K24)</f>
        <v>16650</v>
      </c>
      <c r="L8" s="483">
        <f>SUM(L12+L24)</f>
        <v>16650</v>
      </c>
    </row>
    <row r="9" spans="1:12" ht="12.75">
      <c r="A9" s="332">
        <f t="shared" si="0"/>
        <v>3</v>
      </c>
      <c r="B9" s="480" t="s">
        <v>215</v>
      </c>
      <c r="C9" s="334" t="s">
        <v>216</v>
      </c>
      <c r="D9" s="335"/>
      <c r="E9" s="336"/>
      <c r="F9" s="337"/>
      <c r="G9" s="481" t="e">
        <f>#REF!</f>
        <v>#REF!</v>
      </c>
      <c r="H9" s="483">
        <f>H18+H30</f>
        <v>707253</v>
      </c>
      <c r="I9" s="483">
        <f>I18+I30</f>
        <v>147454.05</v>
      </c>
      <c r="J9" s="483">
        <f>J18+J30</f>
        <v>65000</v>
      </c>
      <c r="K9" s="483">
        <f>K18+K30</f>
        <v>0</v>
      </c>
      <c r="L9" s="483">
        <f>L18+L30</f>
        <v>0</v>
      </c>
    </row>
    <row r="10" spans="1:12" ht="12.75">
      <c r="A10" s="332">
        <f t="shared" si="0"/>
        <v>4</v>
      </c>
      <c r="B10" s="485"/>
      <c r="C10" s="341" t="s">
        <v>217</v>
      </c>
      <c r="D10" s="342"/>
      <c r="E10" s="343"/>
      <c r="F10" s="344"/>
      <c r="G10" s="486">
        <v>0</v>
      </c>
      <c r="H10" s="483">
        <v>0</v>
      </c>
      <c r="I10" s="483">
        <v>0</v>
      </c>
      <c r="J10" s="482">
        <v>0</v>
      </c>
      <c r="K10" s="483">
        <v>0</v>
      </c>
      <c r="L10" s="483">
        <v>0</v>
      </c>
    </row>
    <row r="11" spans="1:12" ht="12.75">
      <c r="A11" s="332">
        <f t="shared" si="0"/>
        <v>5</v>
      </c>
      <c r="B11" s="489">
        <v>1</v>
      </c>
      <c r="C11" s="449" t="s">
        <v>357</v>
      </c>
      <c r="D11" s="349"/>
      <c r="E11" s="349"/>
      <c r="F11" s="350"/>
      <c r="G11" s="351" t="e">
        <f>SUM(G13)+#REF!</f>
        <v>#REF!</v>
      </c>
      <c r="H11" s="352">
        <f>SUM(H12,H18)</f>
        <v>554003</v>
      </c>
      <c r="I11" s="352">
        <f>SUM(I12,I18)</f>
        <v>167711.31999999998</v>
      </c>
      <c r="J11" s="352">
        <f>SUM(J12,J18)</f>
        <v>66000</v>
      </c>
      <c r="K11" s="352">
        <f>SUM(K12,K18)</f>
        <v>1000</v>
      </c>
      <c r="L11" s="352">
        <f>SUM(L12,L18)</f>
        <v>1000</v>
      </c>
    </row>
    <row r="12" spans="1:12" s="402" customFormat="1" ht="12.75">
      <c r="A12" s="332">
        <f t="shared" si="0"/>
        <v>6</v>
      </c>
      <c r="B12" s="491"/>
      <c r="C12" s="363"/>
      <c r="D12" s="337" t="s">
        <v>214</v>
      </c>
      <c r="E12" s="364"/>
      <c r="F12" s="365"/>
      <c r="G12" s="366" t="e">
        <f aca="true" t="shared" si="1" ref="G12:L12">G13</f>
        <v>#REF!</v>
      </c>
      <c r="H12" s="367">
        <f t="shared" si="1"/>
        <v>35546</v>
      </c>
      <c r="I12" s="367">
        <f t="shared" si="1"/>
        <v>20257.27</v>
      </c>
      <c r="J12" s="367">
        <f t="shared" si="1"/>
        <v>1000</v>
      </c>
      <c r="K12" s="367">
        <f t="shared" si="1"/>
        <v>1000</v>
      </c>
      <c r="L12" s="367">
        <f t="shared" si="1"/>
        <v>1000</v>
      </c>
    </row>
    <row r="13" spans="1:12" ht="12.75">
      <c r="A13" s="332">
        <f t="shared" si="0"/>
        <v>7</v>
      </c>
      <c r="B13" s="493"/>
      <c r="C13" s="494" t="s">
        <v>358</v>
      </c>
      <c r="D13" s="404" t="s">
        <v>357</v>
      </c>
      <c r="E13" s="495"/>
      <c r="F13" s="496"/>
      <c r="G13" s="406" t="e">
        <f>SUM(#REF!)</f>
        <v>#REF!</v>
      </c>
      <c r="H13" s="374">
        <f>SUM(H14,H15,H16,H17)</f>
        <v>35546</v>
      </c>
      <c r="I13" s="374">
        <f>SUM(I14,I15,I16,I17)</f>
        <v>20257.27</v>
      </c>
      <c r="J13" s="374">
        <f>SUM(J14,J15,J16,J17)</f>
        <v>1000</v>
      </c>
      <c r="K13" s="374">
        <f>SUM(K14,K15,K16,K17)</f>
        <v>1000</v>
      </c>
      <c r="L13" s="374">
        <f>SUM(L14,L15,L16,L17)</f>
        <v>1000</v>
      </c>
    </row>
    <row r="14" spans="1:12" ht="12.75">
      <c r="A14" s="332">
        <f t="shared" si="0"/>
        <v>8</v>
      </c>
      <c r="B14" s="493"/>
      <c r="C14" s="425" t="s">
        <v>223</v>
      </c>
      <c r="D14" s="426" t="s">
        <v>250</v>
      </c>
      <c r="E14" s="383" t="s">
        <v>224</v>
      </c>
      <c r="F14" s="414"/>
      <c r="G14" s="415"/>
      <c r="H14" s="386">
        <f>výdavky!D226</f>
        <v>0</v>
      </c>
      <c r="I14" s="386">
        <f>výdavky!E226</f>
        <v>1790.49</v>
      </c>
      <c r="J14" s="386">
        <f>výdavky!F226</f>
        <v>0</v>
      </c>
      <c r="K14" s="386">
        <f>výdavky!G226</f>
        <v>0</v>
      </c>
      <c r="L14" s="386">
        <f>výdavky!H226</f>
        <v>0</v>
      </c>
    </row>
    <row r="15" spans="1:12" ht="12.75">
      <c r="A15" s="332">
        <f t="shared" si="0"/>
        <v>9</v>
      </c>
      <c r="B15" s="493"/>
      <c r="C15" s="425" t="s">
        <v>229</v>
      </c>
      <c r="D15" s="426" t="s">
        <v>252</v>
      </c>
      <c r="E15" s="383" t="s">
        <v>230</v>
      </c>
      <c r="F15" s="414"/>
      <c r="G15" s="415"/>
      <c r="H15" s="386">
        <f>výdavky!D227</f>
        <v>236</v>
      </c>
      <c r="I15" s="386">
        <f>výdavky!E227</f>
        <v>250</v>
      </c>
      <c r="J15" s="386">
        <f>výdavky!F227</f>
        <v>0</v>
      </c>
      <c r="K15" s="386">
        <f>výdavky!G227</f>
        <v>0</v>
      </c>
      <c r="L15" s="386">
        <f>výdavky!H227</f>
        <v>0</v>
      </c>
    </row>
    <row r="16" spans="1:12" ht="12.75">
      <c r="A16" s="332">
        <f t="shared" si="0"/>
        <v>10</v>
      </c>
      <c r="B16" s="493"/>
      <c r="C16" s="425" t="s">
        <v>239</v>
      </c>
      <c r="D16" s="426" t="s">
        <v>263</v>
      </c>
      <c r="E16" s="383" t="s">
        <v>240</v>
      </c>
      <c r="F16" s="414"/>
      <c r="G16" s="415"/>
      <c r="H16" s="386">
        <f>výdavky!D228</f>
        <v>31452</v>
      </c>
      <c r="I16" s="386">
        <f>výdavky!E228</f>
        <v>10500</v>
      </c>
      <c r="J16" s="386">
        <f>výdavky!F228</f>
        <v>1000</v>
      </c>
      <c r="K16" s="386">
        <f>výdavky!G228</f>
        <v>1000</v>
      </c>
      <c r="L16" s="386">
        <f>výdavky!H228</f>
        <v>1000</v>
      </c>
    </row>
    <row r="17" spans="1:12" ht="12.75">
      <c r="A17" s="332">
        <f t="shared" si="0"/>
        <v>11</v>
      </c>
      <c r="B17" s="493"/>
      <c r="C17" s="425" t="s">
        <v>239</v>
      </c>
      <c r="D17" s="426" t="s">
        <v>265</v>
      </c>
      <c r="E17" s="584" t="s">
        <v>359</v>
      </c>
      <c r="F17" s="585"/>
      <c r="G17" s="586"/>
      <c r="H17" s="386">
        <f>výdavky!D229</f>
        <v>3858</v>
      </c>
      <c r="I17" s="386">
        <f>výdavky!E229</f>
        <v>7716.78</v>
      </c>
      <c r="J17" s="386">
        <f>výdavky!F229</f>
        <v>0</v>
      </c>
      <c r="K17" s="386">
        <f>výdavky!G229</f>
        <v>0</v>
      </c>
      <c r="L17" s="386">
        <f>výdavky!H229</f>
        <v>0</v>
      </c>
    </row>
    <row r="18" spans="1:12" ht="12.75">
      <c r="A18" s="332">
        <v>12</v>
      </c>
      <c r="B18" s="368"/>
      <c r="C18" s="427"/>
      <c r="D18" s="337" t="s">
        <v>216</v>
      </c>
      <c r="E18" s="393"/>
      <c r="F18" s="365"/>
      <c r="G18" s="366">
        <f>G20</f>
        <v>0</v>
      </c>
      <c r="H18" s="367">
        <f>H19</f>
        <v>518457</v>
      </c>
      <c r="I18" s="367">
        <f>I19</f>
        <v>147454.05</v>
      </c>
      <c r="J18" s="367">
        <f>J19</f>
        <v>65000</v>
      </c>
      <c r="K18" s="367">
        <f>K19</f>
        <v>0</v>
      </c>
      <c r="L18" s="367">
        <f>L19</f>
        <v>0</v>
      </c>
    </row>
    <row r="19" spans="1:12" ht="12.75">
      <c r="A19" s="332">
        <f>A18+1</f>
        <v>13</v>
      </c>
      <c r="B19" s="368"/>
      <c r="C19" s="369" t="s">
        <v>358</v>
      </c>
      <c r="D19" s="370" t="s">
        <v>357</v>
      </c>
      <c r="E19" s="371"/>
      <c r="F19" s="372"/>
      <c r="G19" s="373">
        <f>SUM(G20:G25)</f>
        <v>234.29999999999998</v>
      </c>
      <c r="H19" s="374">
        <f>SUM(H20,H21,H22)</f>
        <v>518457</v>
      </c>
      <c r="I19" s="374">
        <f>SUM(I20,I21,I22)</f>
        <v>147454.05</v>
      </c>
      <c r="J19" s="374">
        <f>SUM(J20,J21,J22)</f>
        <v>65000</v>
      </c>
      <c r="K19" s="374">
        <f>SUM(K20,K21,K22)</f>
        <v>0</v>
      </c>
      <c r="L19" s="374">
        <f>SUM(L20,L21,L22)</f>
        <v>0</v>
      </c>
    </row>
    <row r="20" spans="1:12" ht="12.75">
      <c r="A20" s="332">
        <f>A19+1</f>
        <v>14</v>
      </c>
      <c r="B20" s="493"/>
      <c r="C20" s="425" t="s">
        <v>360</v>
      </c>
      <c r="D20" s="426" t="s">
        <v>267</v>
      </c>
      <c r="E20" s="522" t="s">
        <v>361</v>
      </c>
      <c r="F20" s="394"/>
      <c r="G20" s="395"/>
      <c r="H20" s="386">
        <f>výdavky!D404</f>
        <v>2892</v>
      </c>
      <c r="I20" s="386">
        <f>výdavky!E404</f>
        <v>4500</v>
      </c>
      <c r="J20" s="386">
        <v>0</v>
      </c>
      <c r="K20" s="386">
        <v>0</v>
      </c>
      <c r="L20" s="386">
        <v>0</v>
      </c>
    </row>
    <row r="21" spans="1:12" ht="12.75">
      <c r="A21" s="332"/>
      <c r="B21" s="493"/>
      <c r="C21" s="425"/>
      <c r="D21" s="426" t="s">
        <v>271</v>
      </c>
      <c r="E21" s="522" t="s">
        <v>91</v>
      </c>
      <c r="F21" s="394"/>
      <c r="G21" s="395"/>
      <c r="H21" s="386">
        <v>0</v>
      </c>
      <c r="I21" s="386">
        <v>0</v>
      </c>
      <c r="J21" s="386">
        <f>výdavky!F403</f>
        <v>65000</v>
      </c>
      <c r="K21" s="386">
        <v>0</v>
      </c>
      <c r="L21" s="386">
        <v>0</v>
      </c>
    </row>
    <row r="22" spans="1:12" ht="12.75">
      <c r="A22" s="332">
        <f>A20+1</f>
        <v>15</v>
      </c>
      <c r="B22" s="493"/>
      <c r="C22" s="425" t="s">
        <v>362</v>
      </c>
      <c r="D22" s="426" t="s">
        <v>274</v>
      </c>
      <c r="E22" s="522" t="s">
        <v>363</v>
      </c>
      <c r="F22" s="394"/>
      <c r="G22" s="395"/>
      <c r="H22" s="386">
        <f>výdavky!D407</f>
        <v>515565</v>
      </c>
      <c r="I22" s="386">
        <f>výdavky!E407</f>
        <v>142954.05</v>
      </c>
      <c r="J22" s="386">
        <v>0</v>
      </c>
      <c r="K22" s="386">
        <v>0</v>
      </c>
      <c r="L22" s="386">
        <v>0</v>
      </c>
    </row>
    <row r="23" spans="1:12" ht="12.75">
      <c r="A23" s="332">
        <f>A22+1</f>
        <v>16</v>
      </c>
      <c r="B23" s="489">
        <v>2</v>
      </c>
      <c r="C23" s="576" t="s">
        <v>364</v>
      </c>
      <c r="D23" s="349"/>
      <c r="E23" s="349"/>
      <c r="F23" s="350"/>
      <c r="G23" s="351">
        <f>SUM(G25)</f>
        <v>78.1</v>
      </c>
      <c r="H23" s="353">
        <f aca="true" t="shared" si="2" ref="H23:L24">H24</f>
        <v>18675</v>
      </c>
      <c r="I23" s="353">
        <f t="shared" si="2"/>
        <v>15650</v>
      </c>
      <c r="J23" s="353">
        <f t="shared" si="2"/>
        <v>15650</v>
      </c>
      <c r="K23" s="353">
        <f t="shared" si="2"/>
        <v>15650</v>
      </c>
      <c r="L23" s="353">
        <f t="shared" si="2"/>
        <v>15650</v>
      </c>
    </row>
    <row r="24" spans="1:12" s="402" customFormat="1" ht="12.75">
      <c r="A24" s="332">
        <f>A23+1</f>
        <v>17</v>
      </c>
      <c r="B24" s="491"/>
      <c r="C24" s="577"/>
      <c r="D24" s="337" t="s">
        <v>214</v>
      </c>
      <c r="E24" s="364"/>
      <c r="F24" s="365"/>
      <c r="G24" s="366">
        <f>G25</f>
        <v>78.1</v>
      </c>
      <c r="H24" s="367">
        <f t="shared" si="2"/>
        <v>18675</v>
      </c>
      <c r="I24" s="367">
        <f t="shared" si="2"/>
        <v>15650</v>
      </c>
      <c r="J24" s="367">
        <f t="shared" si="2"/>
        <v>15650</v>
      </c>
      <c r="K24" s="367">
        <f t="shared" si="2"/>
        <v>15650</v>
      </c>
      <c r="L24" s="367">
        <f t="shared" si="2"/>
        <v>15650</v>
      </c>
    </row>
    <row r="25" spans="1:12" ht="12.75">
      <c r="A25" s="332">
        <f>A24+1</f>
        <v>18</v>
      </c>
      <c r="B25" s="493"/>
      <c r="C25" s="578" t="s">
        <v>365</v>
      </c>
      <c r="D25" s="404" t="s">
        <v>364</v>
      </c>
      <c r="E25" s="495"/>
      <c r="F25" s="496"/>
      <c r="G25" s="406">
        <f>G34</f>
        <v>78.1</v>
      </c>
      <c r="H25" s="374">
        <f>H34+SUM(H26,H27,H28,H29)</f>
        <v>18675</v>
      </c>
      <c r="I25" s="374">
        <f>I34+SUM(I26,I27,I28,I29)</f>
        <v>15650</v>
      </c>
      <c r="J25" s="374">
        <f>J34+SUM(J26,J27,J28,J29)</f>
        <v>15650</v>
      </c>
      <c r="K25" s="374">
        <f>K34+SUM(K26,K27,K28,K29)</f>
        <v>15650</v>
      </c>
      <c r="L25" s="374">
        <f>L34+SUM(L26,L27,L28,L29)</f>
        <v>15650</v>
      </c>
    </row>
    <row r="26" spans="1:12" ht="12.75">
      <c r="A26" s="332">
        <v>19</v>
      </c>
      <c r="B26" s="493"/>
      <c r="C26" s="425" t="s">
        <v>229</v>
      </c>
      <c r="D26" s="412">
        <v>1</v>
      </c>
      <c r="E26" s="413" t="s">
        <v>230</v>
      </c>
      <c r="F26" s="414"/>
      <c r="G26" s="415"/>
      <c r="H26" s="386">
        <f>výdavky!D232</f>
        <v>15240</v>
      </c>
      <c r="I26" s="386">
        <f>výdavky!E232</f>
        <v>15000</v>
      </c>
      <c r="J26" s="386">
        <f>výdavky!F232</f>
        <v>15000</v>
      </c>
      <c r="K26" s="386">
        <f>výdavky!G232</f>
        <v>15000</v>
      </c>
      <c r="L26" s="386">
        <f>výdavky!H232</f>
        <v>15000</v>
      </c>
    </row>
    <row r="27" spans="1:12" ht="12.75">
      <c r="A27" s="332">
        <v>20</v>
      </c>
      <c r="B27" s="493"/>
      <c r="C27" s="425" t="s">
        <v>231</v>
      </c>
      <c r="D27" s="412">
        <v>2</v>
      </c>
      <c r="E27" s="413" t="s">
        <v>232</v>
      </c>
      <c r="F27" s="414"/>
      <c r="G27" s="415"/>
      <c r="H27" s="386">
        <f>výdavky!D233</f>
        <v>115</v>
      </c>
      <c r="I27" s="386">
        <f>výdavky!E233</f>
        <v>150</v>
      </c>
      <c r="J27" s="386">
        <f>výdavky!F233</f>
        <v>150</v>
      </c>
      <c r="K27" s="386">
        <f>výdavky!G233</f>
        <v>150</v>
      </c>
      <c r="L27" s="386">
        <f>výdavky!H233</f>
        <v>150</v>
      </c>
    </row>
    <row r="28" spans="1:12" ht="12.75">
      <c r="A28" s="332">
        <v>21</v>
      </c>
      <c r="B28" s="493"/>
      <c r="C28" s="425" t="s">
        <v>235</v>
      </c>
      <c r="D28" s="412">
        <v>3</v>
      </c>
      <c r="E28" s="413" t="s">
        <v>316</v>
      </c>
      <c r="F28" s="414"/>
      <c r="G28" s="415"/>
      <c r="H28" s="386">
        <f>výdavky!D234</f>
        <v>181</v>
      </c>
      <c r="I28" s="386">
        <f>výdavky!E234</f>
        <v>500</v>
      </c>
      <c r="J28" s="386">
        <f>výdavky!F234</f>
        <v>500</v>
      </c>
      <c r="K28" s="386">
        <f>výdavky!G234</f>
        <v>500</v>
      </c>
      <c r="L28" s="386">
        <f>výdavky!H234</f>
        <v>500</v>
      </c>
    </row>
    <row r="29" spans="1:12" ht="12.75">
      <c r="A29" s="332">
        <v>22</v>
      </c>
      <c r="B29" s="493"/>
      <c r="C29" s="425" t="s">
        <v>239</v>
      </c>
      <c r="D29" s="412">
        <v>4</v>
      </c>
      <c r="E29" s="413" t="s">
        <v>240</v>
      </c>
      <c r="F29" s="414"/>
      <c r="G29" s="415"/>
      <c r="H29" s="386">
        <f>výdavky!D235</f>
        <v>3139</v>
      </c>
      <c r="I29" s="386">
        <f>výdavky!E235</f>
        <v>0</v>
      </c>
      <c r="J29" s="386">
        <f>výdavky!F235</f>
        <v>0</v>
      </c>
      <c r="K29" s="386">
        <f>výdavky!G235</f>
        <v>0</v>
      </c>
      <c r="L29" s="386">
        <f>výdavky!H235</f>
        <v>0</v>
      </c>
    </row>
    <row r="30" spans="1:12" ht="12.75">
      <c r="A30" s="332">
        <v>25</v>
      </c>
      <c r="B30" s="493"/>
      <c r="C30" s="425"/>
      <c r="D30" s="1279" t="s">
        <v>216</v>
      </c>
      <c r="E30" s="1279"/>
      <c r="F30" s="552"/>
      <c r="G30" s="579"/>
      <c r="H30" s="554">
        <f>SUM(H31)</f>
        <v>188796</v>
      </c>
      <c r="I30" s="554">
        <f>SUM(I31)</f>
        <v>0</v>
      </c>
      <c r="J30" s="554">
        <f>SUM(J31)</f>
        <v>0</v>
      </c>
      <c r="K30" s="554">
        <f>SUM(K31)</f>
        <v>0</v>
      </c>
      <c r="L30" s="554">
        <f>SUM(L31)</f>
        <v>0</v>
      </c>
    </row>
    <row r="31" spans="1:12" ht="12.75">
      <c r="A31" s="332">
        <v>26</v>
      </c>
      <c r="B31" s="493"/>
      <c r="C31" s="578" t="s">
        <v>365</v>
      </c>
      <c r="D31" s="1280" t="s">
        <v>364</v>
      </c>
      <c r="E31" s="1280"/>
      <c r="F31" s="496"/>
      <c r="G31" s="406"/>
      <c r="H31" s="580">
        <f>SUM(H32,H33,H34)</f>
        <v>188796</v>
      </c>
      <c r="I31" s="580">
        <f>SUM(I32,I33,I34)</f>
        <v>0</v>
      </c>
      <c r="J31" s="580">
        <f>SUM(J32,J33,J34)</f>
        <v>0</v>
      </c>
      <c r="K31" s="580">
        <f>SUM(K32,K33,K34)</f>
        <v>0</v>
      </c>
      <c r="L31" s="580">
        <f>SUM(L32,L33,L34)</f>
        <v>0</v>
      </c>
    </row>
    <row r="32" spans="1:12" ht="12.75">
      <c r="A32" s="332">
        <v>27</v>
      </c>
      <c r="B32" s="493"/>
      <c r="C32" s="425" t="s">
        <v>329</v>
      </c>
      <c r="D32" s="412">
        <v>7</v>
      </c>
      <c r="E32" s="413" t="s">
        <v>366</v>
      </c>
      <c r="F32" s="384"/>
      <c r="G32" s="581"/>
      <c r="H32" s="386">
        <f>výdavky!D408</f>
        <v>188796</v>
      </c>
      <c r="I32" s="386">
        <v>0</v>
      </c>
      <c r="J32" s="386">
        <v>0</v>
      </c>
      <c r="K32" s="386">
        <v>0</v>
      </c>
      <c r="L32" s="386">
        <v>0</v>
      </c>
    </row>
    <row r="33" spans="1:12" ht="12.75">
      <c r="A33" s="332">
        <v>28</v>
      </c>
      <c r="B33" s="493"/>
      <c r="C33" s="425"/>
      <c r="D33" s="412"/>
      <c r="E33" s="413"/>
      <c r="F33" s="414"/>
      <c r="G33" s="415"/>
      <c r="H33" s="386"/>
      <c r="I33" s="386"/>
      <c r="J33" s="386"/>
      <c r="K33" s="386"/>
      <c r="L33" s="386"/>
    </row>
    <row r="34" spans="1:12" s="402" customFormat="1" ht="12.75">
      <c r="A34" s="456">
        <v>29</v>
      </c>
      <c r="B34" s="582"/>
      <c r="C34" s="500"/>
      <c r="D34" s="459"/>
      <c r="E34" s="583"/>
      <c r="F34" s="503"/>
      <c r="G34" s="574">
        <v>78.1</v>
      </c>
      <c r="H34" s="506"/>
      <c r="I34" s="506"/>
      <c r="J34" s="506"/>
      <c r="K34" s="506"/>
      <c r="L34" s="506"/>
    </row>
  </sheetData>
  <mergeCells count="4">
    <mergeCell ref="G3:L3"/>
    <mergeCell ref="D4:F6"/>
    <mergeCell ref="D30:E30"/>
    <mergeCell ref="D31:E31"/>
  </mergeCells>
  <printOptions/>
  <pageMargins left="0.5905511811023623" right="0.1968503937007874" top="0.984251968503937" bottom="0.984251968503937" header="0.5118110236220472" footer="0.5118110236220472"/>
  <pageSetup horizontalDpi="300" verticalDpi="3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L20" sqref="L20"/>
    </sheetView>
  </sheetViews>
  <sheetFormatPr defaultColWidth="9.140625" defaultRowHeight="12.75"/>
  <cols>
    <col min="1" max="1" width="3.57421875" style="295" customWidth="1"/>
    <col min="2" max="2" width="4.140625" style="1" customWidth="1"/>
    <col min="3" max="3" width="7.57421875" style="0" customWidth="1"/>
    <col min="4" max="4" width="3.421875" style="0" customWidth="1"/>
    <col min="5" max="5" width="31.421875" style="0" customWidth="1"/>
    <col min="6" max="6" width="9.8515625" style="0" customWidth="1"/>
    <col min="7" max="7" width="0" style="0" hidden="1" customWidth="1"/>
    <col min="8" max="12" width="8.28125" style="0" customWidth="1"/>
  </cols>
  <sheetData>
    <row r="1" spans="2:12" ht="15.75">
      <c r="B1" s="299" t="s">
        <v>367</v>
      </c>
      <c r="E1" s="299" t="s">
        <v>368</v>
      </c>
      <c r="F1" s="297"/>
      <c r="G1" s="464" t="e">
        <f>G2-G7</f>
        <v>#REF!</v>
      </c>
      <c r="H1" s="464"/>
      <c r="I1" s="464"/>
      <c r="J1" s="465">
        <f>J2-J7</f>
        <v>0</v>
      </c>
      <c r="K1" s="465">
        <f>K2-K7</f>
        <v>0</v>
      </c>
      <c r="L1" s="465">
        <f>L2-L7</f>
        <v>0</v>
      </c>
    </row>
    <row r="2" spans="2:12" ht="15.75">
      <c r="B2" s="299"/>
      <c r="G2" s="466" t="e">
        <f>SUM(G8:G10)</f>
        <v>#REF!</v>
      </c>
      <c r="H2" s="466"/>
      <c r="I2" s="466"/>
      <c r="J2" s="307">
        <f>SUM(J8:J10)</f>
        <v>15500</v>
      </c>
      <c r="K2" s="307">
        <f>SUM(K8:K10)</f>
        <v>13500</v>
      </c>
      <c r="L2" s="307">
        <f>SUM(L8:L10)</f>
        <v>13500</v>
      </c>
    </row>
    <row r="3" spans="1:12" ht="15.75">
      <c r="A3" s="308"/>
      <c r="B3" s="309"/>
      <c r="C3" s="310"/>
      <c r="D3" s="310"/>
      <c r="E3" s="311"/>
      <c r="F3" s="312"/>
      <c r="G3" s="1275" t="s">
        <v>201</v>
      </c>
      <c r="H3" s="1275"/>
      <c r="I3" s="1275"/>
      <c r="J3" s="1275"/>
      <c r="K3" s="1275"/>
      <c r="L3" s="1275"/>
    </row>
    <row r="4" spans="1:12" ht="11.25" customHeight="1">
      <c r="A4" s="313"/>
      <c r="B4" s="314" t="s">
        <v>202</v>
      </c>
      <c r="C4" s="315" t="s">
        <v>203</v>
      </c>
      <c r="D4" s="1277" t="s">
        <v>204</v>
      </c>
      <c r="E4" s="1277"/>
      <c r="F4" s="1277"/>
      <c r="G4" s="316"/>
      <c r="H4" s="318">
        <v>2011</v>
      </c>
      <c r="I4" s="318">
        <v>2012</v>
      </c>
      <c r="J4" s="317">
        <v>2013</v>
      </c>
      <c r="K4" s="318">
        <v>2014</v>
      </c>
      <c r="L4" s="318">
        <v>2015</v>
      </c>
    </row>
    <row r="5" spans="1:12" ht="15" customHeight="1">
      <c r="A5" s="313"/>
      <c r="B5" s="314" t="s">
        <v>205</v>
      </c>
      <c r="C5" s="315" t="s">
        <v>206</v>
      </c>
      <c r="D5" s="1277"/>
      <c r="E5" s="1277"/>
      <c r="F5" s="1277"/>
      <c r="G5" s="319" t="s">
        <v>207</v>
      </c>
      <c r="H5" s="320" t="s">
        <v>209</v>
      </c>
      <c r="I5" s="320" t="s">
        <v>209</v>
      </c>
      <c r="J5" s="320" t="s">
        <v>208</v>
      </c>
      <c r="K5" s="320" t="s">
        <v>209</v>
      </c>
      <c r="L5" s="320" t="s">
        <v>209</v>
      </c>
    </row>
    <row r="6" spans="1:12" ht="12.75">
      <c r="A6" s="468"/>
      <c r="B6" s="469" t="s">
        <v>210</v>
      </c>
      <c r="C6" s="470" t="s">
        <v>211</v>
      </c>
      <c r="D6" s="1277"/>
      <c r="E6" s="1277"/>
      <c r="F6" s="1277"/>
      <c r="G6" s="471">
        <v>1</v>
      </c>
      <c r="H6" s="472">
        <v>-2</v>
      </c>
      <c r="I6" s="472">
        <v>-1</v>
      </c>
      <c r="J6" s="472">
        <v>1</v>
      </c>
      <c r="K6" s="472">
        <v>2</v>
      </c>
      <c r="L6" s="472">
        <v>3</v>
      </c>
    </row>
    <row r="7" spans="1:12" ht="15">
      <c r="A7" s="332">
        <v>1</v>
      </c>
      <c r="B7" s="473" t="s">
        <v>367</v>
      </c>
      <c r="C7" s="474"/>
      <c r="D7" s="475"/>
      <c r="E7" s="476" t="s">
        <v>368</v>
      </c>
      <c r="F7" s="477"/>
      <c r="G7" s="478" t="e">
        <f>G11+#REF!</f>
        <v>#REF!</v>
      </c>
      <c r="H7" s="331">
        <f>SUM(H8:H10)</f>
        <v>32967</v>
      </c>
      <c r="I7" s="331">
        <f>SUM(I8:I10)</f>
        <v>18500</v>
      </c>
      <c r="J7" s="479">
        <f>SUM(J8:J10)</f>
        <v>15500</v>
      </c>
      <c r="K7" s="331">
        <f>SUM(K8:K10)</f>
        <v>13500</v>
      </c>
      <c r="L7" s="331">
        <f>SUM(L8:L10)</f>
        <v>13500</v>
      </c>
    </row>
    <row r="8" spans="1:12" ht="12.75">
      <c r="A8" s="332">
        <f aca="true" t="shared" si="0" ref="A8:A14">A7+1</f>
        <v>2</v>
      </c>
      <c r="B8" s="480" t="s">
        <v>213</v>
      </c>
      <c r="C8" s="334" t="s">
        <v>214</v>
      </c>
      <c r="D8" s="335"/>
      <c r="E8" s="336"/>
      <c r="F8" s="337"/>
      <c r="G8" s="481" t="e">
        <f>G12+#REF!</f>
        <v>#REF!</v>
      </c>
      <c r="H8" s="483">
        <f>SUM(H12)</f>
        <v>32967</v>
      </c>
      <c r="I8" s="483">
        <f>SUM(I12)</f>
        <v>18500</v>
      </c>
      <c r="J8" s="482">
        <f>SUM(J12)</f>
        <v>15500</v>
      </c>
      <c r="K8" s="483">
        <f>SUM(K12)</f>
        <v>13500</v>
      </c>
      <c r="L8" s="483">
        <f>SUM(L12)</f>
        <v>13500</v>
      </c>
    </row>
    <row r="9" spans="1:12" ht="12.75">
      <c r="A9" s="332">
        <f t="shared" si="0"/>
        <v>3</v>
      </c>
      <c r="B9" s="480" t="s">
        <v>215</v>
      </c>
      <c r="C9" s="334" t="s">
        <v>216</v>
      </c>
      <c r="D9" s="335"/>
      <c r="E9" s="336"/>
      <c r="F9" s="337"/>
      <c r="G9" s="481" t="e">
        <f>#REF!</f>
        <v>#REF!</v>
      </c>
      <c r="H9" s="483">
        <f>H20</f>
        <v>0</v>
      </c>
      <c r="I9" s="483">
        <f>I20</f>
        <v>0</v>
      </c>
      <c r="J9" s="483">
        <f>J20</f>
        <v>0</v>
      </c>
      <c r="K9" s="483">
        <f>K20</f>
        <v>0</v>
      </c>
      <c r="L9" s="483">
        <f>L20</f>
        <v>0</v>
      </c>
    </row>
    <row r="10" spans="1:12" ht="12.75">
      <c r="A10" s="332">
        <f t="shared" si="0"/>
        <v>4</v>
      </c>
      <c r="B10" s="480"/>
      <c r="C10" s="334" t="s">
        <v>217</v>
      </c>
      <c r="D10" s="335"/>
      <c r="E10" s="336"/>
      <c r="F10" s="337"/>
      <c r="G10" s="481">
        <v>0</v>
      </c>
      <c r="H10" s="483">
        <v>0</v>
      </c>
      <c r="I10" s="483">
        <v>0</v>
      </c>
      <c r="J10" s="482">
        <v>0</v>
      </c>
      <c r="K10" s="483">
        <v>0</v>
      </c>
      <c r="L10" s="483">
        <v>0</v>
      </c>
    </row>
    <row r="11" spans="1:12" ht="12.75">
      <c r="A11" s="332">
        <f t="shared" si="0"/>
        <v>5</v>
      </c>
      <c r="B11" s="587">
        <v>1</v>
      </c>
      <c r="C11" s="588" t="s">
        <v>369</v>
      </c>
      <c r="D11" s="589"/>
      <c r="E11" s="589"/>
      <c r="F11" s="590"/>
      <c r="G11" s="591" t="e">
        <f>SUM(G13)+#REF!</f>
        <v>#REF!</v>
      </c>
      <c r="H11" s="352">
        <f aca="true" t="shared" si="1" ref="H11:L12">H12</f>
        <v>32967</v>
      </c>
      <c r="I11" s="352">
        <f t="shared" si="1"/>
        <v>18500</v>
      </c>
      <c r="J11" s="352">
        <f t="shared" si="1"/>
        <v>15500</v>
      </c>
      <c r="K11" s="352">
        <f t="shared" si="1"/>
        <v>13500</v>
      </c>
      <c r="L11" s="352">
        <f t="shared" si="1"/>
        <v>13500</v>
      </c>
    </row>
    <row r="12" spans="1:12" s="402" customFormat="1" ht="12.75">
      <c r="A12" s="332">
        <f t="shared" si="0"/>
        <v>6</v>
      </c>
      <c r="B12" s="491"/>
      <c r="C12" s="363"/>
      <c r="D12" s="337" t="s">
        <v>214</v>
      </c>
      <c r="E12" s="364"/>
      <c r="F12" s="365"/>
      <c r="G12" s="366" t="e">
        <f>G13</f>
        <v>#REF!</v>
      </c>
      <c r="H12" s="367">
        <f t="shared" si="1"/>
        <v>32967</v>
      </c>
      <c r="I12" s="367">
        <f t="shared" si="1"/>
        <v>18500</v>
      </c>
      <c r="J12" s="367">
        <f t="shared" si="1"/>
        <v>15500</v>
      </c>
      <c r="K12" s="367">
        <f t="shared" si="1"/>
        <v>13500</v>
      </c>
      <c r="L12" s="367">
        <f t="shared" si="1"/>
        <v>13500</v>
      </c>
    </row>
    <row r="13" spans="1:12" ht="12.75">
      <c r="A13" s="332">
        <f t="shared" si="0"/>
        <v>7</v>
      </c>
      <c r="B13" s="493"/>
      <c r="C13" s="494" t="s">
        <v>370</v>
      </c>
      <c r="D13" s="404" t="s">
        <v>371</v>
      </c>
      <c r="E13" s="495"/>
      <c r="F13" s="496"/>
      <c r="G13" s="406" t="e">
        <f>SUM(#REF!)</f>
        <v>#REF!</v>
      </c>
      <c r="H13" s="374">
        <f>SUM(H14,H15,H16,H17,H18,H19)</f>
        <v>32967</v>
      </c>
      <c r="I13" s="374">
        <f>SUM(I14,I15,I16,I17,I18,I19)</f>
        <v>18500</v>
      </c>
      <c r="J13" s="374">
        <f>SUM(J14,J15,J16,J17,J18,J19)</f>
        <v>15500</v>
      </c>
      <c r="K13" s="374">
        <f>SUM(K14,K15,K16,K17,K18,K19)</f>
        <v>13500</v>
      </c>
      <c r="L13" s="374">
        <f>SUM(L14,L15,L16,L17,L18,L19)</f>
        <v>13500</v>
      </c>
    </row>
    <row r="14" spans="1:12" ht="12.75">
      <c r="A14" s="332">
        <f t="shared" si="0"/>
        <v>8</v>
      </c>
      <c r="B14" s="493"/>
      <c r="C14" s="425" t="s">
        <v>223</v>
      </c>
      <c r="D14" s="426" t="s">
        <v>250</v>
      </c>
      <c r="E14" s="383" t="s">
        <v>224</v>
      </c>
      <c r="F14" s="414"/>
      <c r="G14" s="415"/>
      <c r="H14" s="386">
        <f>výdavky!D244</f>
        <v>2525</v>
      </c>
      <c r="I14" s="386">
        <f>výdavky!E244</f>
        <v>3000</v>
      </c>
      <c r="J14" s="386">
        <f>výdavky!F244</f>
        <v>3000</v>
      </c>
      <c r="K14" s="386">
        <f>výdavky!G244</f>
        <v>3000</v>
      </c>
      <c r="L14" s="386">
        <f>výdavky!H244</f>
        <v>3000</v>
      </c>
    </row>
    <row r="15" spans="1:12" ht="12.75">
      <c r="A15" s="332"/>
      <c r="B15" s="493"/>
      <c r="C15" s="425" t="s">
        <v>225</v>
      </c>
      <c r="D15" s="426" t="s">
        <v>252</v>
      </c>
      <c r="E15" s="383" t="s">
        <v>226</v>
      </c>
      <c r="F15" s="414"/>
      <c r="G15" s="415"/>
      <c r="H15" s="386">
        <f>výdavky!D245</f>
        <v>831</v>
      </c>
      <c r="I15" s="386">
        <f>výdavky!E245</f>
        <v>1500</v>
      </c>
      <c r="J15" s="386">
        <f>výdavky!F245</f>
        <v>1500</v>
      </c>
      <c r="K15" s="386">
        <f>výdavky!G245</f>
        <v>1500</v>
      </c>
      <c r="L15" s="386">
        <f>výdavky!H245</f>
        <v>1500</v>
      </c>
    </row>
    <row r="16" spans="1:12" ht="12.75">
      <c r="A16" s="332">
        <f>A14+1</f>
        <v>9</v>
      </c>
      <c r="B16" s="493"/>
      <c r="C16" s="425" t="s">
        <v>229</v>
      </c>
      <c r="D16" s="426" t="s">
        <v>263</v>
      </c>
      <c r="E16" s="383" t="s">
        <v>230</v>
      </c>
      <c r="F16" s="414"/>
      <c r="G16" s="415"/>
      <c r="H16" s="386">
        <f>výdavky!D246</f>
        <v>28924</v>
      </c>
      <c r="I16" s="386">
        <f>výdavky!E246</f>
        <v>13000</v>
      </c>
      <c r="J16" s="386">
        <f>výdavky!F246</f>
        <v>10000</v>
      </c>
      <c r="K16" s="386">
        <f>výdavky!G246</f>
        <v>8000</v>
      </c>
      <c r="L16" s="386">
        <f>výdavky!H246</f>
        <v>8000</v>
      </c>
    </row>
    <row r="17" spans="1:12" ht="12.75">
      <c r="A17" s="332"/>
      <c r="B17" s="493"/>
      <c r="C17" s="425" t="s">
        <v>231</v>
      </c>
      <c r="D17" s="426" t="s">
        <v>265</v>
      </c>
      <c r="E17" s="383" t="s">
        <v>232</v>
      </c>
      <c r="F17" s="414"/>
      <c r="G17" s="415"/>
      <c r="H17" s="386">
        <f>výdavky!D247</f>
        <v>129</v>
      </c>
      <c r="I17" s="386">
        <f>výdavky!E247</f>
        <v>100</v>
      </c>
      <c r="J17" s="386">
        <f>výdavky!F247</f>
        <v>100</v>
      </c>
      <c r="K17" s="386">
        <f>výdavky!G247</f>
        <v>100</v>
      </c>
      <c r="L17" s="386">
        <f>výdavky!H247</f>
        <v>100</v>
      </c>
    </row>
    <row r="18" spans="1:12" ht="12.75">
      <c r="A18" s="332">
        <f>A16+1</f>
        <v>10</v>
      </c>
      <c r="B18" s="493"/>
      <c r="C18" s="425" t="s">
        <v>235</v>
      </c>
      <c r="D18" s="426" t="s">
        <v>267</v>
      </c>
      <c r="E18" s="383" t="s">
        <v>316</v>
      </c>
      <c r="F18" s="414"/>
      <c r="G18" s="415"/>
      <c r="H18" s="386">
        <f>výdavky!D248</f>
        <v>388</v>
      </c>
      <c r="I18" s="386">
        <f>výdavky!E248</f>
        <v>500</v>
      </c>
      <c r="J18" s="386">
        <f>výdavky!F248</f>
        <v>500</v>
      </c>
      <c r="K18" s="386">
        <f>výdavky!G248</f>
        <v>500</v>
      </c>
      <c r="L18" s="386">
        <f>výdavky!H248</f>
        <v>500</v>
      </c>
    </row>
    <row r="19" spans="1:12" ht="12.75">
      <c r="A19" s="332">
        <f>A18+1</f>
        <v>11</v>
      </c>
      <c r="B19" s="493"/>
      <c r="C19" s="425" t="s">
        <v>239</v>
      </c>
      <c r="D19" s="426" t="s">
        <v>265</v>
      </c>
      <c r="E19" s="383" t="s">
        <v>240</v>
      </c>
      <c r="F19" s="414"/>
      <c r="G19" s="415"/>
      <c r="H19" s="386">
        <f>výdavky!D249</f>
        <v>170</v>
      </c>
      <c r="I19" s="386">
        <f>výdavky!E249</f>
        <v>400</v>
      </c>
      <c r="J19" s="386">
        <f>výdavky!F249</f>
        <v>400</v>
      </c>
      <c r="K19" s="386">
        <f>výdavky!G249</f>
        <v>400</v>
      </c>
      <c r="L19" s="386">
        <f>výdavky!H249</f>
        <v>400</v>
      </c>
    </row>
    <row r="20" spans="1:12" ht="12.75">
      <c r="A20" s="332">
        <v>12</v>
      </c>
      <c r="B20" s="518"/>
      <c r="C20" s="376"/>
      <c r="D20" s="336" t="s">
        <v>216</v>
      </c>
      <c r="E20" s="393"/>
      <c r="F20" s="365"/>
      <c r="G20" s="366">
        <f>G22</f>
        <v>0</v>
      </c>
      <c r="H20" s="367">
        <f>H21</f>
        <v>0</v>
      </c>
      <c r="I20" s="367">
        <f>I21</f>
        <v>0</v>
      </c>
      <c r="J20" s="367">
        <f>J21</f>
        <v>0</v>
      </c>
      <c r="K20" s="367">
        <f>K21</f>
        <v>0</v>
      </c>
      <c r="L20" s="367">
        <f>L21</f>
        <v>0</v>
      </c>
    </row>
    <row r="21" spans="1:12" ht="12.75">
      <c r="A21" s="332">
        <f>A20+1</f>
        <v>13</v>
      </c>
      <c r="B21" s="518"/>
      <c r="C21" s="447" t="s">
        <v>372</v>
      </c>
      <c r="D21" s="370" t="s">
        <v>371</v>
      </c>
      <c r="E21" s="371"/>
      <c r="F21" s="372"/>
      <c r="G21" s="373">
        <f>SUM(G22:G23)</f>
        <v>0</v>
      </c>
      <c r="H21" s="374">
        <f>H22+SUM(H22,H23)</f>
        <v>0</v>
      </c>
      <c r="I21" s="374">
        <f>I22+SUM(I22,I23)</f>
        <v>0</v>
      </c>
      <c r="J21" s="374">
        <f>J22+SUM(J22,J23)</f>
        <v>0</v>
      </c>
      <c r="K21" s="374">
        <f>K22+SUM(K22,K23)</f>
        <v>0</v>
      </c>
      <c r="L21" s="374">
        <f>L22+SUM(L22,L23)</f>
        <v>0</v>
      </c>
    </row>
    <row r="22" spans="1:12" ht="12.75">
      <c r="A22" s="332">
        <f>A21+1</f>
        <v>14</v>
      </c>
      <c r="B22" s="493"/>
      <c r="C22" s="425" t="s">
        <v>360</v>
      </c>
      <c r="D22" s="426" t="s">
        <v>267</v>
      </c>
      <c r="E22" s="522" t="s">
        <v>361</v>
      </c>
      <c r="F22" s="394"/>
      <c r="G22" s="395"/>
      <c r="H22" s="386">
        <v>0</v>
      </c>
      <c r="I22" s="386">
        <v>0</v>
      </c>
      <c r="J22" s="386">
        <v>0</v>
      </c>
      <c r="K22" s="386">
        <v>0</v>
      </c>
      <c r="L22" s="386">
        <v>0</v>
      </c>
    </row>
    <row r="23" spans="1:12" ht="12.75">
      <c r="A23" s="456">
        <f>A22+1</f>
        <v>15</v>
      </c>
      <c r="B23" s="499"/>
      <c r="C23" s="500" t="s">
        <v>362</v>
      </c>
      <c r="D23" s="592" t="s">
        <v>271</v>
      </c>
      <c r="E23" s="593" t="s">
        <v>373</v>
      </c>
      <c r="F23" s="594"/>
      <c r="G23" s="595"/>
      <c r="H23" s="596">
        <v>0</v>
      </c>
      <c r="I23" s="596">
        <v>0</v>
      </c>
      <c r="J23" s="596">
        <v>0</v>
      </c>
      <c r="K23" s="596">
        <v>0</v>
      </c>
      <c r="L23" s="596">
        <v>0</v>
      </c>
    </row>
  </sheetData>
  <mergeCells count="2">
    <mergeCell ref="G3:L3"/>
    <mergeCell ref="D4:F6"/>
  </mergeCells>
  <printOptions/>
  <pageMargins left="0.5905511811023623" right="0.1968503937007874" top="0.984251968503937" bottom="0.984251968503937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Obec Tekovské Lužany</cp:lastModifiedBy>
  <cp:lastPrinted>2013-02-06T09:49:04Z</cp:lastPrinted>
  <dcterms:modified xsi:type="dcterms:W3CDTF">2013-02-06T09:56:35Z</dcterms:modified>
  <cp:category/>
  <cp:version/>
  <cp:contentType/>
  <cp:contentStatus/>
</cp:coreProperties>
</file>