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D:\Prenos\ROZPOČET\2024\"/>
    </mc:Choice>
  </mc:AlternateContent>
  <xr:revisionPtr revIDLastSave="0" documentId="13_ncr:1_{8B0292AD-33EA-4A33-967C-9F2EFF701FF2}" xr6:coauthVersionLast="36" xr6:coauthVersionMax="36" xr10:uidLastSave="{00000000-0000-0000-0000-000000000000}"/>
  <bookViews>
    <workbookView xWindow="0" yWindow="0" windowWidth="28800" windowHeight="11835" firstSheet="1" activeTab="11" xr2:uid="{00000000-000D-0000-FFFF-FFFF00000000}"/>
  </bookViews>
  <sheets>
    <sheet name="príjmová časť" sheetId="1" r:id="rId1"/>
    <sheet name="príjmy" sheetId="2" r:id="rId2"/>
    <sheet name="Program 1" sheetId="3" r:id="rId3"/>
    <sheet name="Program 2" sheetId="4" r:id="rId4"/>
    <sheet name="Program 3" sheetId="5" r:id="rId5"/>
    <sheet name="Program 4" sheetId="6" r:id="rId6"/>
    <sheet name="Program 5" sheetId="7" r:id="rId7"/>
    <sheet name="Program 6" sheetId="8" r:id="rId8"/>
    <sheet name="Program 7" sheetId="9" r:id="rId9"/>
    <sheet name="Program 8" sheetId="10" r:id="rId10"/>
    <sheet name="Program 9" sheetId="11" r:id="rId11"/>
    <sheet name="Program 10" sheetId="12" r:id="rId12"/>
    <sheet name="Bilancia" sheetId="13" r:id="rId13"/>
    <sheet name="výdavky" sheetId="15" r:id="rId14"/>
  </sheets>
  <externalReferences>
    <externalReference r:id="rId15"/>
  </externalReferences>
  <definedNames>
    <definedName name="Excel_BuiltIn_Print_Area_1">výdavky!$A$1:$AX$819</definedName>
    <definedName name="_xlnm.Print_Area" localSheetId="1">príjmy!$A$1:$R$298</definedName>
    <definedName name="_xlnm.Print_Area" localSheetId="13">výdavky!$A$1:$L$830</definedName>
  </definedNames>
  <calcPr calcId="191029"/>
</workbook>
</file>

<file path=xl/calcChain.xml><?xml version="1.0" encoding="utf-8"?>
<calcChain xmlns="http://schemas.openxmlformats.org/spreadsheetml/2006/main">
  <c r="K32" i="8" l="1"/>
  <c r="K27" i="10"/>
  <c r="N9" i="11"/>
  <c r="M9" i="11"/>
  <c r="L9" i="11"/>
  <c r="N57" i="11"/>
  <c r="N58" i="11"/>
  <c r="M57" i="11"/>
  <c r="M58" i="11"/>
  <c r="L57" i="11"/>
  <c r="L58" i="11"/>
  <c r="K9" i="11"/>
  <c r="K57" i="11"/>
  <c r="K58" i="11"/>
  <c r="K59" i="11"/>
  <c r="K24" i="10"/>
  <c r="K18" i="7"/>
  <c r="I238" i="15"/>
  <c r="K13" i="7"/>
  <c r="M127" i="1"/>
  <c r="L69" i="1"/>
  <c r="L93" i="1"/>
  <c r="L127" i="1"/>
  <c r="L120" i="1"/>
  <c r="L150" i="1"/>
  <c r="I727" i="15"/>
  <c r="I328" i="15"/>
  <c r="J199" i="15"/>
  <c r="I199" i="15"/>
  <c r="O219" i="2"/>
  <c r="I49" i="15" l="1"/>
  <c r="I792" i="15" l="1"/>
  <c r="I245" i="15"/>
  <c r="I17" i="15" l="1"/>
  <c r="O84" i="2"/>
  <c r="M145" i="1" l="1"/>
  <c r="K127" i="1"/>
  <c r="I121" i="1"/>
  <c r="I90" i="1"/>
  <c r="I27" i="1"/>
  <c r="I46" i="1"/>
  <c r="K157" i="1"/>
  <c r="K156" i="1"/>
  <c r="K155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25" i="1"/>
  <c r="K122" i="1"/>
  <c r="K121" i="1"/>
  <c r="K120" i="1"/>
  <c r="K119" i="1"/>
  <c r="K118" i="1"/>
  <c r="K114" i="1"/>
  <c r="K112" i="1"/>
  <c r="K95" i="1"/>
  <c r="K94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54" i="1"/>
  <c r="K52" i="1"/>
  <c r="K50" i="1"/>
  <c r="K48" i="1"/>
  <c r="K46" i="1"/>
  <c r="K44" i="1"/>
  <c r="K42" i="1"/>
  <c r="K40" i="1"/>
  <c r="K38" i="1"/>
  <c r="K36" i="1"/>
  <c r="K34" i="1"/>
  <c r="K32" i="1"/>
  <c r="K30" i="1"/>
  <c r="K20" i="1"/>
  <c r="K18" i="1"/>
  <c r="K16" i="1"/>
  <c r="K14" i="1"/>
  <c r="K12" i="1"/>
  <c r="K10" i="1"/>
  <c r="K8" i="1"/>
  <c r="J157" i="1"/>
  <c r="J156" i="1"/>
  <c r="J155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27" i="1"/>
  <c r="J126" i="1"/>
  <c r="J125" i="1"/>
  <c r="J124" i="1"/>
  <c r="J122" i="1"/>
  <c r="J121" i="1"/>
  <c r="J120" i="1"/>
  <c r="J119" i="1"/>
  <c r="J118" i="1"/>
  <c r="J114" i="1"/>
  <c r="J113" i="1"/>
  <c r="J112" i="1"/>
  <c r="J95" i="1"/>
  <c r="J94" i="1"/>
  <c r="J92" i="1"/>
  <c r="J91" i="1"/>
  <c r="J90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0" i="1"/>
  <c r="J18" i="1"/>
  <c r="J16" i="1"/>
  <c r="J14" i="1"/>
  <c r="J12" i="1"/>
  <c r="J10" i="1"/>
  <c r="J8" i="1"/>
  <c r="I157" i="1"/>
  <c r="I156" i="1"/>
  <c r="I155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27" i="1"/>
  <c r="I126" i="1"/>
  <c r="I125" i="1"/>
  <c r="I124" i="1"/>
  <c r="I122" i="1"/>
  <c r="I120" i="1"/>
  <c r="I119" i="1"/>
  <c r="I118" i="1"/>
  <c r="I114" i="1"/>
  <c r="I112" i="1"/>
  <c r="I95" i="1"/>
  <c r="I94" i="1"/>
  <c r="I92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54" i="1"/>
  <c r="I52" i="1"/>
  <c r="I50" i="1"/>
  <c r="I48" i="1"/>
  <c r="I44" i="1"/>
  <c r="I42" i="1"/>
  <c r="I40" i="1"/>
  <c r="I38" i="1"/>
  <c r="I36" i="1"/>
  <c r="I34" i="1"/>
  <c r="I32" i="1"/>
  <c r="I30" i="1"/>
  <c r="I20" i="1"/>
  <c r="I18" i="1"/>
  <c r="I16" i="1"/>
  <c r="I14" i="1"/>
  <c r="I12" i="1"/>
  <c r="I10" i="1"/>
  <c r="I8" i="1"/>
  <c r="E20" i="13"/>
  <c r="E19" i="13"/>
  <c r="E18" i="13"/>
  <c r="E17" i="13"/>
  <c r="E13" i="13"/>
  <c r="E12" i="13"/>
  <c r="E11" i="13"/>
  <c r="E10" i="13"/>
  <c r="D20" i="13"/>
  <c r="D19" i="13"/>
  <c r="D18" i="13"/>
  <c r="D17" i="13"/>
  <c r="D13" i="13"/>
  <c r="D12" i="13"/>
  <c r="D11" i="13"/>
  <c r="D10" i="13"/>
  <c r="C20" i="13"/>
  <c r="C19" i="13"/>
  <c r="C18" i="13"/>
  <c r="C17" i="13"/>
  <c r="C13" i="13"/>
  <c r="C12" i="13"/>
  <c r="C11" i="13"/>
  <c r="C10" i="13"/>
  <c r="J40" i="12"/>
  <c r="J39" i="12"/>
  <c r="J38" i="12"/>
  <c r="J34" i="12"/>
  <c r="J33" i="12"/>
  <c r="J29" i="12"/>
  <c r="J26" i="12"/>
  <c r="J25" i="12"/>
  <c r="J21" i="12"/>
  <c r="J20" i="12"/>
  <c r="J16" i="12"/>
  <c r="J15" i="12"/>
  <c r="J14" i="12"/>
  <c r="I40" i="12"/>
  <c r="I39" i="12"/>
  <c r="I38" i="12"/>
  <c r="I34" i="12"/>
  <c r="I33" i="12"/>
  <c r="I29" i="12"/>
  <c r="I26" i="12"/>
  <c r="I25" i="12"/>
  <c r="I21" i="12"/>
  <c r="I20" i="12"/>
  <c r="I16" i="12"/>
  <c r="I15" i="12"/>
  <c r="I14" i="12"/>
  <c r="H33" i="12"/>
  <c r="H40" i="12"/>
  <c r="H39" i="12"/>
  <c r="H38" i="12"/>
  <c r="H34" i="12"/>
  <c r="H29" i="12"/>
  <c r="H26" i="12"/>
  <c r="H25" i="12"/>
  <c r="H21" i="12"/>
  <c r="H20" i="12"/>
  <c r="H16" i="12"/>
  <c r="H15" i="12"/>
  <c r="H14" i="12"/>
  <c r="N14" i="11"/>
  <c r="N17" i="11"/>
  <c r="M17" i="11"/>
  <c r="M14" i="11"/>
  <c r="J458" i="15"/>
  <c r="K62" i="11"/>
  <c r="I509" i="15"/>
  <c r="K27" i="11" s="1"/>
  <c r="F509" i="15"/>
  <c r="G509" i="15"/>
  <c r="I27" i="11" s="1"/>
  <c r="H508" i="15"/>
  <c r="I443" i="15"/>
  <c r="K14" i="11"/>
  <c r="I442" i="15"/>
  <c r="K39" i="11"/>
  <c r="K33" i="11"/>
  <c r="I458" i="15"/>
  <c r="J28" i="11"/>
  <c r="J22" i="11"/>
  <c r="J17" i="11"/>
  <c r="J62" i="11"/>
  <c r="J56" i="11"/>
  <c r="J55" i="11"/>
  <c r="J54" i="11"/>
  <c r="J53" i="11"/>
  <c r="J52" i="11"/>
  <c r="J51" i="11"/>
  <c r="J50" i="11"/>
  <c r="J49" i="11"/>
  <c r="J48" i="11"/>
  <c r="J47" i="11"/>
  <c r="J43" i="11"/>
  <c r="J42" i="11"/>
  <c r="J39" i="11"/>
  <c r="J38" i="11"/>
  <c r="J37" i="11"/>
  <c r="J36" i="11"/>
  <c r="J35" i="11"/>
  <c r="J34" i="11"/>
  <c r="J33" i="11"/>
  <c r="J32" i="11"/>
  <c r="J27" i="11"/>
  <c r="J19" i="11"/>
  <c r="J18" i="11"/>
  <c r="J15" i="11"/>
  <c r="J14" i="11"/>
  <c r="I28" i="11"/>
  <c r="H520" i="15"/>
  <c r="H458" i="15"/>
  <c r="G520" i="15"/>
  <c r="G458" i="15"/>
  <c r="I15" i="11"/>
  <c r="G392" i="15"/>
  <c r="I17" i="11"/>
  <c r="I14" i="11"/>
  <c r="I62" i="11"/>
  <c r="I56" i="11"/>
  <c r="I55" i="11"/>
  <c r="I54" i="11"/>
  <c r="I53" i="11"/>
  <c r="I52" i="11"/>
  <c r="I51" i="11"/>
  <c r="I50" i="11"/>
  <c r="I49" i="11"/>
  <c r="I48" i="11"/>
  <c r="I47" i="11"/>
  <c r="I42" i="11"/>
  <c r="I39" i="11"/>
  <c r="I38" i="11"/>
  <c r="I37" i="11"/>
  <c r="I36" i="11"/>
  <c r="I35" i="11"/>
  <c r="I34" i="11"/>
  <c r="I33" i="11"/>
  <c r="I32" i="11"/>
  <c r="I22" i="11"/>
  <c r="I19" i="11"/>
  <c r="I18" i="11"/>
  <c r="I16" i="11"/>
  <c r="F416" i="15"/>
  <c r="F392" i="15"/>
  <c r="F422" i="15"/>
  <c r="H17" i="11"/>
  <c r="H29" i="11"/>
  <c r="H39" i="11"/>
  <c r="H38" i="11"/>
  <c r="H37" i="11"/>
  <c r="H36" i="11"/>
  <c r="H35" i="11"/>
  <c r="H34" i="11"/>
  <c r="H33" i="11"/>
  <c r="H32" i="11"/>
  <c r="F458" i="15"/>
  <c r="H14" i="11"/>
  <c r="H62" i="11"/>
  <c r="H56" i="11"/>
  <c r="H55" i="11"/>
  <c r="H54" i="11"/>
  <c r="H53" i="11"/>
  <c r="H52" i="11"/>
  <c r="H51" i="11"/>
  <c r="H50" i="11"/>
  <c r="H49" i="11"/>
  <c r="H48" i="11"/>
  <c r="H47" i="11"/>
  <c r="H42" i="11"/>
  <c r="H28" i="11"/>
  <c r="H27" i="11"/>
  <c r="H22" i="11"/>
  <c r="H19" i="11"/>
  <c r="H18" i="11"/>
  <c r="H16" i="11"/>
  <c r="J74" i="10"/>
  <c r="J73" i="10"/>
  <c r="J69" i="10"/>
  <c r="J64" i="10"/>
  <c r="J61" i="10"/>
  <c r="J60" i="10"/>
  <c r="J59" i="10"/>
  <c r="J55" i="10"/>
  <c r="J54" i="10"/>
  <c r="J50" i="10"/>
  <c r="J46" i="10"/>
  <c r="J42" i="10"/>
  <c r="J39" i="10"/>
  <c r="J38" i="10"/>
  <c r="J37" i="10"/>
  <c r="J36" i="10"/>
  <c r="J35" i="10"/>
  <c r="J34" i="10"/>
  <c r="J33" i="10"/>
  <c r="J32" i="10"/>
  <c r="J27" i="10"/>
  <c r="J24" i="10"/>
  <c r="J23" i="10"/>
  <c r="J22" i="10"/>
  <c r="J18" i="10"/>
  <c r="J17" i="10"/>
  <c r="J16" i="10"/>
  <c r="J15" i="10"/>
  <c r="J14" i="10"/>
  <c r="I74" i="10"/>
  <c r="I73" i="10"/>
  <c r="I69" i="10"/>
  <c r="I64" i="10"/>
  <c r="I61" i="10"/>
  <c r="I60" i="10"/>
  <c r="I59" i="10"/>
  <c r="I55" i="10"/>
  <c r="I54" i="10"/>
  <c r="I50" i="10"/>
  <c r="I46" i="10"/>
  <c r="I42" i="10"/>
  <c r="I39" i="10"/>
  <c r="I38" i="10"/>
  <c r="I37" i="10"/>
  <c r="I36" i="10"/>
  <c r="I35" i="10"/>
  <c r="I34" i="10"/>
  <c r="I33" i="10"/>
  <c r="I32" i="10"/>
  <c r="I27" i="10"/>
  <c r="I24" i="10"/>
  <c r="I23" i="10"/>
  <c r="I22" i="10"/>
  <c r="I18" i="10"/>
  <c r="I17" i="10"/>
  <c r="I16" i="10"/>
  <c r="I15" i="10"/>
  <c r="I14" i="10"/>
  <c r="H74" i="10"/>
  <c r="H73" i="10"/>
  <c r="H69" i="10"/>
  <c r="H64" i="10"/>
  <c r="H61" i="10"/>
  <c r="H60" i="10"/>
  <c r="H59" i="10"/>
  <c r="H55" i="10"/>
  <c r="H54" i="10"/>
  <c r="H50" i="10"/>
  <c r="H46" i="10"/>
  <c r="H39" i="10"/>
  <c r="H38" i="10"/>
  <c r="H37" i="10"/>
  <c r="H36" i="10"/>
  <c r="H35" i="10"/>
  <c r="H34" i="10"/>
  <c r="H33" i="10"/>
  <c r="H32" i="10"/>
  <c r="H27" i="10"/>
  <c r="H24" i="10"/>
  <c r="H23" i="10"/>
  <c r="H22" i="10"/>
  <c r="H18" i="10"/>
  <c r="H17" i="10"/>
  <c r="H16" i="10"/>
  <c r="H15" i="10"/>
  <c r="H14" i="10"/>
  <c r="J23" i="9"/>
  <c r="H23" i="9"/>
  <c r="K17" i="9"/>
  <c r="J19" i="9"/>
  <c r="J18" i="9"/>
  <c r="J17" i="9"/>
  <c r="J16" i="9"/>
  <c r="J15" i="9"/>
  <c r="J14" i="9"/>
  <c r="I23" i="9"/>
  <c r="I22" i="9"/>
  <c r="I19" i="9"/>
  <c r="I18" i="9"/>
  <c r="I17" i="9"/>
  <c r="I16" i="9"/>
  <c r="I15" i="9"/>
  <c r="I14" i="9"/>
  <c r="H19" i="9"/>
  <c r="H22" i="9"/>
  <c r="H18" i="9"/>
  <c r="H17" i="9"/>
  <c r="H16" i="9"/>
  <c r="H15" i="9"/>
  <c r="H14" i="9"/>
  <c r="J29" i="8"/>
  <c r="J28" i="8"/>
  <c r="J27" i="8"/>
  <c r="J26" i="8"/>
  <c r="J21" i="8"/>
  <c r="J20" i="8"/>
  <c r="J17" i="8"/>
  <c r="J16" i="8"/>
  <c r="J15" i="8"/>
  <c r="J14" i="8"/>
  <c r="I29" i="8"/>
  <c r="I28" i="8"/>
  <c r="I27" i="8"/>
  <c r="I26" i="8"/>
  <c r="I22" i="8"/>
  <c r="I21" i="8"/>
  <c r="I20" i="8"/>
  <c r="I17" i="8"/>
  <c r="I16" i="8"/>
  <c r="I15" i="8"/>
  <c r="I14" i="8"/>
  <c r="J32" i="8"/>
  <c r="H29" i="8"/>
  <c r="H28" i="8"/>
  <c r="H27" i="8"/>
  <c r="H26" i="8"/>
  <c r="H22" i="8"/>
  <c r="H21" i="8"/>
  <c r="H20" i="8"/>
  <c r="H17" i="8"/>
  <c r="H16" i="8"/>
  <c r="H15" i="8"/>
  <c r="H14" i="8"/>
  <c r="K46" i="7"/>
  <c r="J21" i="7"/>
  <c r="J51" i="7"/>
  <c r="J50" i="7"/>
  <c r="J46" i="7"/>
  <c r="J45" i="7"/>
  <c r="J44" i="7"/>
  <c r="J41" i="7"/>
  <c r="J40" i="7"/>
  <c r="J39" i="7"/>
  <c r="J36" i="7"/>
  <c r="J35" i="7"/>
  <c r="J34" i="7"/>
  <c r="J33" i="7"/>
  <c r="J32" i="7"/>
  <c r="J31" i="7"/>
  <c r="J30" i="7"/>
  <c r="J26" i="7"/>
  <c r="J25" i="7"/>
  <c r="J22" i="7"/>
  <c r="J20" i="7"/>
  <c r="J19" i="7"/>
  <c r="J18" i="7"/>
  <c r="J17" i="7"/>
  <c r="J16" i="7"/>
  <c r="J15" i="7"/>
  <c r="J14" i="7"/>
  <c r="I51" i="7"/>
  <c r="I50" i="7"/>
  <c r="I46" i="7"/>
  <c r="I45" i="7"/>
  <c r="I44" i="7"/>
  <c r="I41" i="7"/>
  <c r="I40" i="7"/>
  <c r="I39" i="7"/>
  <c r="I36" i="7"/>
  <c r="I35" i="7"/>
  <c r="I34" i="7"/>
  <c r="I33" i="7"/>
  <c r="I32" i="7"/>
  <c r="I31" i="7"/>
  <c r="I30" i="7"/>
  <c r="I26" i="7"/>
  <c r="I25" i="7"/>
  <c r="I22" i="7"/>
  <c r="I21" i="7"/>
  <c r="I20" i="7"/>
  <c r="I19" i="7"/>
  <c r="I18" i="7"/>
  <c r="I17" i="7"/>
  <c r="I16" i="7"/>
  <c r="I15" i="7"/>
  <c r="I14" i="7"/>
  <c r="H36" i="7"/>
  <c r="H51" i="7"/>
  <c r="H50" i="7"/>
  <c r="H46" i="7"/>
  <c r="H45" i="7"/>
  <c r="H44" i="7"/>
  <c r="H41" i="7"/>
  <c r="H40" i="7"/>
  <c r="H39" i="7"/>
  <c r="H35" i="7"/>
  <c r="H34" i="7"/>
  <c r="H33" i="7"/>
  <c r="H32" i="7"/>
  <c r="H31" i="7"/>
  <c r="H30" i="7"/>
  <c r="H26" i="7"/>
  <c r="H25" i="7"/>
  <c r="H22" i="7"/>
  <c r="H21" i="7"/>
  <c r="H20" i="7"/>
  <c r="H19" i="7"/>
  <c r="H18" i="7"/>
  <c r="H17" i="7"/>
  <c r="H16" i="7"/>
  <c r="H15" i="7"/>
  <c r="H14" i="7"/>
  <c r="J48" i="6"/>
  <c r="J45" i="6"/>
  <c r="J44" i="6"/>
  <c r="J43" i="6"/>
  <c r="J42" i="6"/>
  <c r="J41" i="6"/>
  <c r="J40" i="6"/>
  <c r="J39" i="6"/>
  <c r="J38" i="6"/>
  <c r="J37" i="6"/>
  <c r="J33" i="6"/>
  <c r="J32" i="6"/>
  <c r="J28" i="6"/>
  <c r="J27" i="6"/>
  <c r="J24" i="6"/>
  <c r="J23" i="6"/>
  <c r="J19" i="6"/>
  <c r="J18" i="6"/>
  <c r="J17" i="6"/>
  <c r="J16" i="6"/>
  <c r="J15" i="6"/>
  <c r="J14" i="6"/>
  <c r="I45" i="6"/>
  <c r="I44" i="6"/>
  <c r="I43" i="6"/>
  <c r="I42" i="6"/>
  <c r="I41" i="6"/>
  <c r="I40" i="6"/>
  <c r="I39" i="6"/>
  <c r="I38" i="6"/>
  <c r="I37" i="6"/>
  <c r="I33" i="6"/>
  <c r="I32" i="6"/>
  <c r="I28" i="6"/>
  <c r="I27" i="6"/>
  <c r="I23" i="6"/>
  <c r="I19" i="6"/>
  <c r="I18" i="6"/>
  <c r="I17" i="6"/>
  <c r="I16" i="6"/>
  <c r="I15" i="6"/>
  <c r="I14" i="6"/>
  <c r="H45" i="6"/>
  <c r="H44" i="6"/>
  <c r="H43" i="6"/>
  <c r="H42" i="6"/>
  <c r="H41" i="6"/>
  <c r="H40" i="6"/>
  <c r="H39" i="6"/>
  <c r="H38" i="6"/>
  <c r="H37" i="6"/>
  <c r="H33" i="6"/>
  <c r="H32" i="6"/>
  <c r="H28" i="6"/>
  <c r="H27" i="6"/>
  <c r="H24" i="6"/>
  <c r="H23" i="6"/>
  <c r="H19" i="6"/>
  <c r="H18" i="6"/>
  <c r="H17" i="6"/>
  <c r="H16" i="6"/>
  <c r="H15" i="6"/>
  <c r="H14" i="6"/>
  <c r="J45" i="5"/>
  <c r="J42" i="5"/>
  <c r="J41" i="5"/>
  <c r="J40" i="5"/>
  <c r="J39" i="5"/>
  <c r="J38" i="5"/>
  <c r="J37" i="5"/>
  <c r="J33" i="5"/>
  <c r="J29" i="5"/>
  <c r="J23" i="5"/>
  <c r="J22" i="5"/>
  <c r="J21" i="5"/>
  <c r="J20" i="5"/>
  <c r="J19" i="5"/>
  <c r="J18" i="5"/>
  <c r="J17" i="5"/>
  <c r="J16" i="5"/>
  <c r="J15" i="5"/>
  <c r="J14" i="5"/>
  <c r="I42" i="5"/>
  <c r="I41" i="5"/>
  <c r="I40" i="5"/>
  <c r="I39" i="5"/>
  <c r="I38" i="5"/>
  <c r="I37" i="5"/>
  <c r="N26" i="5"/>
  <c r="M26" i="5"/>
  <c r="L26" i="5"/>
  <c r="K26" i="5"/>
  <c r="J26" i="5"/>
  <c r="I26" i="5"/>
  <c r="H26" i="5"/>
  <c r="H33" i="5"/>
  <c r="I33" i="5"/>
  <c r="I29" i="5"/>
  <c r="I23" i="5"/>
  <c r="I22" i="5"/>
  <c r="I21" i="5"/>
  <c r="I20" i="5"/>
  <c r="I19" i="5"/>
  <c r="I18" i="5"/>
  <c r="I17" i="5"/>
  <c r="I16" i="5"/>
  <c r="I15" i="5"/>
  <c r="I14" i="5"/>
  <c r="I45" i="5"/>
  <c r="H45" i="5"/>
  <c r="H42" i="5"/>
  <c r="H41" i="5"/>
  <c r="H40" i="5"/>
  <c r="H39" i="5"/>
  <c r="H38" i="5"/>
  <c r="H37" i="5"/>
  <c r="H29" i="5"/>
  <c r="H23" i="5"/>
  <c r="H22" i="5"/>
  <c r="H21" i="5"/>
  <c r="H20" i="5"/>
  <c r="H19" i="5"/>
  <c r="H18" i="5"/>
  <c r="H17" i="5"/>
  <c r="H16" i="5"/>
  <c r="H15" i="5"/>
  <c r="H14" i="5"/>
  <c r="J17" i="4"/>
  <c r="J16" i="4"/>
  <c r="J15" i="4"/>
  <c r="J14" i="4"/>
  <c r="I17" i="4"/>
  <c r="I16" i="4"/>
  <c r="I15" i="4"/>
  <c r="I14" i="4"/>
  <c r="H17" i="4"/>
  <c r="H16" i="4"/>
  <c r="H15" i="4"/>
  <c r="H14" i="4"/>
  <c r="N24" i="3"/>
  <c r="M24" i="3"/>
  <c r="L24" i="3"/>
  <c r="K24" i="3"/>
  <c r="J23" i="3"/>
  <c r="J67" i="3"/>
  <c r="J63" i="3"/>
  <c r="J62" i="3"/>
  <c r="J61" i="3"/>
  <c r="J60" i="3"/>
  <c r="J59" i="3"/>
  <c r="J58" i="3"/>
  <c r="J54" i="3"/>
  <c r="J53" i="3"/>
  <c r="J52" i="3"/>
  <c r="J49" i="3"/>
  <c r="J47" i="3"/>
  <c r="J46" i="3"/>
  <c r="J44" i="3"/>
  <c r="J40" i="3"/>
  <c r="J39" i="3"/>
  <c r="J35" i="3"/>
  <c r="J34" i="3"/>
  <c r="J33" i="3"/>
  <c r="J32" i="3"/>
  <c r="J31" i="3"/>
  <c r="J27" i="3"/>
  <c r="J22" i="3"/>
  <c r="J21" i="3"/>
  <c r="J20" i="3"/>
  <c r="J19" i="3"/>
  <c r="J18" i="3"/>
  <c r="J17" i="3"/>
  <c r="J16" i="3"/>
  <c r="J15" i="3"/>
  <c r="I23" i="3"/>
  <c r="I35" i="3"/>
  <c r="H31" i="11" l="1"/>
  <c r="I31" i="11"/>
  <c r="I26" i="11"/>
  <c r="H26" i="11"/>
  <c r="F387" i="15"/>
  <c r="F386" i="15" s="1"/>
  <c r="H15" i="11"/>
  <c r="H13" i="11" s="1"/>
  <c r="I46" i="3"/>
  <c r="I40" i="3"/>
  <c r="I58" i="3"/>
  <c r="I61" i="3"/>
  <c r="I67" i="3"/>
  <c r="I63" i="3"/>
  <c r="I62" i="3"/>
  <c r="I60" i="3"/>
  <c r="I59" i="3"/>
  <c r="I54" i="3"/>
  <c r="I53" i="3"/>
  <c r="I52" i="3"/>
  <c r="I49" i="3"/>
  <c r="I47" i="3"/>
  <c r="I44" i="3"/>
  <c r="I39" i="3"/>
  <c r="I34" i="3"/>
  <c r="I33" i="3"/>
  <c r="I32" i="3"/>
  <c r="I31" i="3"/>
  <c r="I27" i="3"/>
  <c r="I22" i="3"/>
  <c r="I21" i="3"/>
  <c r="I20" i="3"/>
  <c r="I19" i="3"/>
  <c r="I18" i="3"/>
  <c r="I17" i="3"/>
  <c r="I16" i="3"/>
  <c r="I15" i="3"/>
  <c r="H67" i="3"/>
  <c r="H63" i="3"/>
  <c r="H62" i="3"/>
  <c r="H61" i="3"/>
  <c r="H60" i="3"/>
  <c r="H59" i="3"/>
  <c r="H58" i="3"/>
  <c r="H54" i="3"/>
  <c r="H53" i="3"/>
  <c r="H52" i="3"/>
  <c r="H47" i="3"/>
  <c r="H46" i="3"/>
  <c r="H44" i="3"/>
  <c r="H40" i="3"/>
  <c r="H39" i="3"/>
  <c r="H35" i="3"/>
  <c r="H34" i="3"/>
  <c r="H33" i="3"/>
  <c r="H32" i="3"/>
  <c r="H31" i="3"/>
  <c r="H27" i="3"/>
  <c r="H23" i="3"/>
  <c r="H22" i="3"/>
  <c r="H21" i="3"/>
  <c r="H20" i="3"/>
  <c r="H19" i="3"/>
  <c r="H18" i="3"/>
  <c r="H17" i="3"/>
  <c r="H16" i="3"/>
  <c r="H15" i="3"/>
  <c r="I14" i="3" l="1"/>
  <c r="J460" i="15"/>
  <c r="J476" i="15"/>
  <c r="J486" i="15"/>
  <c r="J394" i="15"/>
  <c r="L392" i="15"/>
  <c r="L387" i="15"/>
  <c r="K387" i="15"/>
  <c r="J193" i="15"/>
  <c r="J153" i="15"/>
  <c r="K153" i="15"/>
  <c r="L153" i="15"/>
  <c r="I486" i="15"/>
  <c r="I436" i="15"/>
  <c r="I432" i="15"/>
  <c r="I426" i="15"/>
  <c r="I425" i="15"/>
  <c r="I416" i="15"/>
  <c r="I408" i="15"/>
  <c r="I404" i="15"/>
  <c r="I394" i="15"/>
  <c r="I359" i="15"/>
  <c r="H570" i="15"/>
  <c r="H535" i="15"/>
  <c r="H533" i="15"/>
  <c r="H486" i="15"/>
  <c r="H472" i="15"/>
  <c r="H470" i="15"/>
  <c r="H460" i="15" s="1"/>
  <c r="H359" i="15"/>
  <c r="H337" i="15"/>
  <c r="H328" i="15"/>
  <c r="H262" i="15"/>
  <c r="H245" i="15"/>
  <c r="H199" i="15"/>
  <c r="H193" i="15"/>
  <c r="H160" i="15"/>
  <c r="H142" i="15"/>
  <c r="H133" i="15"/>
  <c r="H98" i="15"/>
  <c r="H68" i="15"/>
  <c r="G570" i="15"/>
  <c r="G535" i="15"/>
  <c r="G533" i="15"/>
  <c r="G472" i="15"/>
  <c r="G470" i="15"/>
  <c r="G68" i="15"/>
  <c r="H792" i="15"/>
  <c r="G792" i="15"/>
  <c r="G744" i="15"/>
  <c r="G674" i="15"/>
  <c r="G548" i="15"/>
  <c r="H548" i="15"/>
  <c r="H443" i="15"/>
  <c r="G443" i="15"/>
  <c r="G370" i="15"/>
  <c r="G337" i="15"/>
  <c r="G328" i="15"/>
  <c r="G262" i="15"/>
  <c r="G245" i="15"/>
  <c r="G199" i="15"/>
  <c r="G193" i="15"/>
  <c r="G160" i="15"/>
  <c r="G142" i="15"/>
  <c r="G133" i="15"/>
  <c r="G98" i="15"/>
  <c r="G49" i="15"/>
  <c r="G41" i="15"/>
  <c r="I392" i="15" l="1"/>
  <c r="R258" i="2"/>
  <c r="Q258" i="2"/>
  <c r="P258" i="2"/>
  <c r="O258" i="2"/>
  <c r="N219" i="2" l="1"/>
  <c r="P219" i="2"/>
  <c r="M219" i="2"/>
  <c r="K21" i="12" l="1"/>
  <c r="K42" i="11"/>
  <c r="K43" i="11"/>
  <c r="N39" i="11"/>
  <c r="M39" i="11"/>
  <c r="L39" i="11"/>
  <c r="L460" i="15"/>
  <c r="F570" i="15"/>
  <c r="F566" i="15"/>
  <c r="K570" i="15"/>
  <c r="K566" i="15" s="1"/>
  <c r="J570" i="15"/>
  <c r="E508" i="15"/>
  <c r="F337" i="15"/>
  <c r="F334" i="15"/>
  <c r="L23" i="9"/>
  <c r="K21" i="8"/>
  <c r="N45" i="7"/>
  <c r="N46" i="7"/>
  <c r="M46" i="7"/>
  <c r="M45" i="7"/>
  <c r="L46" i="7"/>
  <c r="L45" i="7"/>
  <c r="K45" i="7"/>
  <c r="L42" i="5"/>
  <c r="L41" i="5"/>
  <c r="L40" i="5"/>
  <c r="L38" i="5"/>
  <c r="L37" i="5"/>
  <c r="L17" i="5"/>
  <c r="L16" i="5"/>
  <c r="L15" i="5"/>
  <c r="L14" i="5"/>
  <c r="L23" i="5"/>
  <c r="L22" i="5"/>
  <c r="L21" i="5"/>
  <c r="L20" i="5"/>
  <c r="N54" i="3"/>
  <c r="M54" i="3"/>
  <c r="L54" i="3"/>
  <c r="K54" i="3"/>
  <c r="K16" i="3"/>
  <c r="L89" i="1"/>
  <c r="M126" i="1"/>
  <c r="L598" i="15" l="1"/>
  <c r="K598" i="15"/>
  <c r="J598" i="15"/>
  <c r="I598" i="15"/>
  <c r="L603" i="15"/>
  <c r="I603" i="15"/>
  <c r="J603" i="15"/>
  <c r="K603" i="15"/>
  <c r="O242" i="2" l="1"/>
  <c r="L792" i="15" l="1"/>
  <c r="K792" i="15"/>
  <c r="J792" i="15"/>
  <c r="O135" i="2"/>
  <c r="I674" i="15"/>
  <c r="L486" i="15" l="1"/>
  <c r="K486" i="15"/>
  <c r="I476" i="15"/>
  <c r="I460" i="15"/>
  <c r="R219" i="2"/>
  <c r="Q219" i="2"/>
  <c r="I753" i="15" l="1"/>
  <c r="I744" i="15"/>
  <c r="I702" i="15"/>
  <c r="I570" i="15"/>
  <c r="I337" i="15"/>
  <c r="I262" i="15"/>
  <c r="I142" i="15"/>
  <c r="I133" i="15"/>
  <c r="I68" i="15"/>
  <c r="H753" i="15"/>
  <c r="H744" i="15"/>
  <c r="H702" i="15"/>
  <c r="H674" i="15"/>
  <c r="H394" i="15"/>
  <c r="H392" i="15" s="1"/>
  <c r="H404" i="15"/>
  <c r="H408" i="15"/>
  <c r="H416" i="15"/>
  <c r="H334" i="15"/>
  <c r="H92" i="15"/>
  <c r="H49" i="15"/>
  <c r="H387" i="15" l="1"/>
  <c r="G753" i="15" l="1"/>
  <c r="G539" i="15"/>
  <c r="G522" i="15"/>
  <c r="G508" i="15" s="1"/>
  <c r="G486" i="15"/>
  <c r="G476" i="15"/>
  <c r="G460" i="15"/>
  <c r="G436" i="15"/>
  <c r="G432" i="15"/>
  <c r="G426" i="15"/>
  <c r="G416" i="15"/>
  <c r="G408" i="15"/>
  <c r="G404" i="15"/>
  <c r="G394" i="15"/>
  <c r="G334" i="15"/>
  <c r="G301" i="15"/>
  <c r="G117" i="15"/>
  <c r="G92" i="15"/>
  <c r="G83" i="15"/>
  <c r="G80" i="15"/>
  <c r="G72" i="15"/>
  <c r="G37" i="15"/>
  <c r="G30" i="15"/>
  <c r="G17" i="15"/>
  <c r="L219" i="2"/>
  <c r="L258" i="2"/>
  <c r="L205" i="2"/>
  <c r="L194" i="2"/>
  <c r="L141" i="2"/>
  <c r="L46" i="2"/>
  <c r="F142" i="15"/>
  <c r="F133" i="15"/>
  <c r="F98" i="15"/>
  <c r="F72" i="15"/>
  <c r="F68" i="15"/>
  <c r="F49" i="15"/>
  <c r="F41" i="15"/>
  <c r="F37" i="15"/>
  <c r="F30" i="15"/>
  <c r="F17" i="15"/>
  <c r="G442" i="15" l="1"/>
  <c r="G13" i="15"/>
  <c r="G7" i="15" s="1"/>
  <c r="G425" i="15"/>
  <c r="F13" i="15"/>
  <c r="F760" i="15"/>
  <c r="F727" i="15"/>
  <c r="F681" i="15"/>
  <c r="I681" i="15"/>
  <c r="F674" i="15"/>
  <c r="F598" i="15"/>
  <c r="F548" i="15"/>
  <c r="F539" i="15"/>
  <c r="F535" i="15"/>
  <c r="F533" i="15"/>
  <c r="F522" i="15"/>
  <c r="F520" i="15" s="1"/>
  <c r="F486" i="15"/>
  <c r="F476" i="15"/>
  <c r="F472" i="15"/>
  <c r="F470" i="15"/>
  <c r="F460" i="15"/>
  <c r="F443" i="15"/>
  <c r="F436" i="15"/>
  <c r="F432" i="15"/>
  <c r="F426" i="15"/>
  <c r="F425" i="15"/>
  <c r="F408" i="15"/>
  <c r="F404" i="15"/>
  <c r="F359" i="15"/>
  <c r="I334" i="15"/>
  <c r="F328" i="15"/>
  <c r="F301" i="15"/>
  <c r="F262" i="15"/>
  <c r="F245" i="15"/>
  <c r="F238" i="15" s="1"/>
  <c r="F199" i="15"/>
  <c r="F193" i="15"/>
  <c r="F160" i="15"/>
  <c r="F153" i="15"/>
  <c r="F92" i="15"/>
  <c r="E744" i="15"/>
  <c r="F744" i="15"/>
  <c r="E735" i="15"/>
  <c r="E688" i="15"/>
  <c r="E570" i="15"/>
  <c r="E387" i="15"/>
  <c r="E394" i="15"/>
  <c r="E359" i="15"/>
  <c r="E337" i="15"/>
  <c r="E328" i="15"/>
  <c r="E262" i="15"/>
  <c r="E245" i="15"/>
  <c r="E238" i="15" s="1"/>
  <c r="E223" i="15"/>
  <c r="E199" i="15"/>
  <c r="E193" i="15"/>
  <c r="E160" i="15"/>
  <c r="E153" i="15"/>
  <c r="E142" i="15"/>
  <c r="E133" i="15"/>
  <c r="E117" i="15"/>
  <c r="E122" i="15" s="1"/>
  <c r="E98" i="15"/>
  <c r="E49" i="15"/>
  <c r="P46" i="2"/>
  <c r="O205" i="2"/>
  <c r="N242" i="2"/>
  <c r="N205" i="2"/>
  <c r="F508" i="15" l="1"/>
  <c r="M242" i="2"/>
  <c r="P242" i="2"/>
  <c r="M46" i="2"/>
  <c r="K219" i="2"/>
  <c r="K194" i="2"/>
  <c r="K84" i="2"/>
  <c r="L84" i="2"/>
  <c r="F442" i="15" l="1"/>
  <c r="L123" i="1"/>
  <c r="L122" i="1"/>
  <c r="I20" i="13"/>
  <c r="H20" i="13"/>
  <c r="L40" i="12"/>
  <c r="L39" i="12"/>
  <c r="L38" i="12"/>
  <c r="L34" i="12"/>
  <c r="L33" i="12"/>
  <c r="L26" i="12"/>
  <c r="L25" i="12"/>
  <c r="L21" i="12"/>
  <c r="L20" i="12"/>
  <c r="L16" i="12"/>
  <c r="L15" i="12"/>
  <c r="L14" i="12"/>
  <c r="K33" i="12"/>
  <c r="K40" i="12"/>
  <c r="K39" i="12"/>
  <c r="K38" i="12"/>
  <c r="K34" i="12"/>
  <c r="K26" i="12"/>
  <c r="K25" i="12"/>
  <c r="K20" i="12"/>
  <c r="K16" i="12"/>
  <c r="K15" i="12"/>
  <c r="K14" i="12"/>
  <c r="L35" i="11"/>
  <c r="N54" i="11"/>
  <c r="M54" i="11"/>
  <c r="L62" i="11"/>
  <c r="L56" i="11"/>
  <c r="L55" i="11"/>
  <c r="L54" i="11"/>
  <c r="L53" i="11"/>
  <c r="L52" i="11"/>
  <c r="L51" i="11"/>
  <c r="L50" i="11"/>
  <c r="L49" i="11"/>
  <c r="L48" i="11"/>
  <c r="L47" i="11"/>
  <c r="L38" i="11"/>
  <c r="L37" i="11"/>
  <c r="L36" i="11"/>
  <c r="L34" i="11"/>
  <c r="L33" i="11"/>
  <c r="L32" i="11"/>
  <c r="L14" i="11"/>
  <c r="L19" i="11"/>
  <c r="L18" i="11"/>
  <c r="K55" i="11"/>
  <c r="K54" i="11"/>
  <c r="K53" i="11"/>
  <c r="K52" i="11"/>
  <c r="K51" i="11"/>
  <c r="K50" i="11"/>
  <c r="K49" i="11"/>
  <c r="K48" i="11"/>
  <c r="K47" i="11"/>
  <c r="K29" i="11"/>
  <c r="I548" i="15"/>
  <c r="K38" i="11"/>
  <c r="K37" i="11"/>
  <c r="K36" i="11"/>
  <c r="K34" i="11"/>
  <c r="K32" i="11"/>
  <c r="K18" i="11"/>
  <c r="K16" i="11"/>
  <c r="L31" i="11" l="1"/>
  <c r="J31" i="11"/>
  <c r="K31" i="11"/>
  <c r="I61" i="11"/>
  <c r="I60" i="11" s="1"/>
  <c r="H61" i="11"/>
  <c r="H60" i="11" s="1"/>
  <c r="K61" i="11"/>
  <c r="K60" i="11" s="1"/>
  <c r="J61" i="11"/>
  <c r="J60" i="11" s="1"/>
  <c r="L42" i="11"/>
  <c r="L43" i="11"/>
  <c r="K22" i="11"/>
  <c r="K21" i="11" s="1"/>
  <c r="I21" i="11"/>
  <c r="M60" i="10"/>
  <c r="N60" i="10"/>
  <c r="L74" i="10"/>
  <c r="L73" i="10"/>
  <c r="L69" i="10"/>
  <c r="L61" i="10"/>
  <c r="L60" i="10"/>
  <c r="L59" i="10"/>
  <c r="L39" i="10"/>
  <c r="L38" i="10"/>
  <c r="L37" i="10"/>
  <c r="L36" i="10"/>
  <c r="L35" i="10"/>
  <c r="L34" i="10"/>
  <c r="L33" i="10"/>
  <c r="L32" i="10"/>
  <c r="L24" i="10"/>
  <c r="L23" i="10"/>
  <c r="L22" i="10"/>
  <c r="L18" i="10"/>
  <c r="L17" i="10"/>
  <c r="L16" i="10"/>
  <c r="L15" i="10"/>
  <c r="L14" i="10"/>
  <c r="K74" i="10"/>
  <c r="K73" i="10"/>
  <c r="K69" i="10"/>
  <c r="K61" i="10"/>
  <c r="K60" i="10"/>
  <c r="K59" i="10"/>
  <c r="K46" i="10"/>
  <c r="K42" i="10"/>
  <c r="K39" i="10"/>
  <c r="K38" i="10"/>
  <c r="K37" i="10"/>
  <c r="K36" i="10"/>
  <c r="K35" i="10"/>
  <c r="K34" i="10"/>
  <c r="K33" i="10"/>
  <c r="K32" i="10"/>
  <c r="K23" i="10"/>
  <c r="K22" i="10"/>
  <c r="K18" i="10"/>
  <c r="K17" i="10"/>
  <c r="K16" i="10"/>
  <c r="K15" i="10"/>
  <c r="K14" i="10"/>
  <c r="N55" i="10"/>
  <c r="N54" i="10"/>
  <c r="N53" i="10" s="1"/>
  <c r="N52" i="10" s="1"/>
  <c r="N51" i="10" s="1"/>
  <c r="M55" i="10"/>
  <c r="M54" i="10"/>
  <c r="L55" i="10"/>
  <c r="L54" i="10"/>
  <c r="K55" i="10"/>
  <c r="K54" i="10"/>
  <c r="L372" i="15"/>
  <c r="K372" i="15"/>
  <c r="J372" i="15"/>
  <c r="I372" i="15"/>
  <c r="H372" i="15"/>
  <c r="G372" i="15"/>
  <c r="F372" i="15"/>
  <c r="I46" i="11" l="1"/>
  <c r="M53" i="10"/>
  <c r="M52" i="10" s="1"/>
  <c r="M51" i="10" s="1"/>
  <c r="L53" i="10"/>
  <c r="L52" i="10" s="1"/>
  <c r="L51" i="10" s="1"/>
  <c r="K53" i="10"/>
  <c r="K52" i="10" s="1"/>
  <c r="K51" i="10" s="1"/>
  <c r="L41" i="11"/>
  <c r="J31" i="10"/>
  <c r="I53" i="10"/>
  <c r="I52" i="10" s="1"/>
  <c r="I51" i="10" s="1"/>
  <c r="J53" i="10"/>
  <c r="J52" i="10" s="1"/>
  <c r="J51" i="10" s="1"/>
  <c r="H53" i="10"/>
  <c r="H52" i="10" s="1"/>
  <c r="H51" i="10" s="1"/>
  <c r="H45" i="10"/>
  <c r="N64" i="10"/>
  <c r="M64" i="10"/>
  <c r="L64" i="10"/>
  <c r="K64" i="10"/>
  <c r="N42" i="10"/>
  <c r="M42" i="10"/>
  <c r="L42" i="10"/>
  <c r="N27" i="10"/>
  <c r="M27" i="10"/>
  <c r="L27" i="10"/>
  <c r="H42" i="10"/>
  <c r="L17" i="9"/>
  <c r="L19" i="9"/>
  <c r="L18" i="9"/>
  <c r="L16" i="9"/>
  <c r="L15" i="9"/>
  <c r="L14" i="9"/>
  <c r="K19" i="9"/>
  <c r="K18" i="9"/>
  <c r="K16" i="9"/>
  <c r="K15" i="9"/>
  <c r="K14" i="9"/>
  <c r="L29" i="8"/>
  <c r="L28" i="8"/>
  <c r="L27" i="8"/>
  <c r="L26" i="8"/>
  <c r="L21" i="8"/>
  <c r="L20" i="8"/>
  <c r="L17" i="8"/>
  <c r="L16" i="8"/>
  <c r="L15" i="8"/>
  <c r="L14" i="8"/>
  <c r="K29" i="8"/>
  <c r="K28" i="8"/>
  <c r="K27" i="8"/>
  <c r="K26" i="8"/>
  <c r="K22" i="8"/>
  <c r="K20" i="8"/>
  <c r="K17" i="8"/>
  <c r="K16" i="8"/>
  <c r="K15" i="8"/>
  <c r="K14" i="8"/>
  <c r="L32" i="8"/>
  <c r="N51" i="7" l="1"/>
  <c r="N50" i="7"/>
  <c r="M51" i="7"/>
  <c r="M50" i="7"/>
  <c r="L51" i="7"/>
  <c r="L50" i="7"/>
  <c r="N41" i="7"/>
  <c r="M41" i="7"/>
  <c r="N36" i="7"/>
  <c r="M36" i="7"/>
  <c r="N26" i="7"/>
  <c r="N25" i="7"/>
  <c r="M26" i="7"/>
  <c r="M25" i="7"/>
  <c r="M22" i="7"/>
  <c r="N44" i="7"/>
  <c r="M44" i="7"/>
  <c r="L44" i="7"/>
  <c r="K44" i="7"/>
  <c r="L41" i="7"/>
  <c r="L40" i="7"/>
  <c r="L36" i="7"/>
  <c r="L35" i="7"/>
  <c r="L33" i="7"/>
  <c r="L32" i="7"/>
  <c r="L31" i="7"/>
  <c r="L30" i="7"/>
  <c r="L26" i="7"/>
  <c r="L25" i="7"/>
  <c r="L22" i="7"/>
  <c r="L21" i="7"/>
  <c r="L20" i="7"/>
  <c r="L19" i="7"/>
  <c r="L17" i="7"/>
  <c r="L16" i="7"/>
  <c r="L15" i="7"/>
  <c r="L14" i="7"/>
  <c r="K41" i="7"/>
  <c r="K39" i="7"/>
  <c r="K35" i="7"/>
  <c r="K36" i="7"/>
  <c r="K34" i="7"/>
  <c r="K33" i="7"/>
  <c r="K32" i="7"/>
  <c r="K31" i="7"/>
  <c r="K30" i="7"/>
  <c r="K26" i="7"/>
  <c r="K25" i="7"/>
  <c r="K22" i="7"/>
  <c r="K21" i="7"/>
  <c r="K20" i="7"/>
  <c r="K19" i="7"/>
  <c r="K17" i="7"/>
  <c r="K16" i="7"/>
  <c r="K15" i="7"/>
  <c r="K14" i="7"/>
  <c r="F710" i="15"/>
  <c r="N27" i="6"/>
  <c r="M27" i="6"/>
  <c r="L28" i="6"/>
  <c r="L27" i="6"/>
  <c r="L14" i="6"/>
  <c r="J208" i="15"/>
  <c r="L24" i="6"/>
  <c r="L23" i="6"/>
  <c r="L48" i="6"/>
  <c r="L45" i="6"/>
  <c r="L44" i="6"/>
  <c r="L43" i="6"/>
  <c r="L42" i="6"/>
  <c r="L39" i="6"/>
  <c r="L38" i="6"/>
  <c r="L37" i="6"/>
  <c r="L32" i="6"/>
  <c r="L33" i="6"/>
  <c r="L19" i="6"/>
  <c r="L18" i="6"/>
  <c r="L16" i="6"/>
  <c r="L15" i="6"/>
  <c r="L17" i="6"/>
  <c r="K27" i="6"/>
  <c r="K45" i="6"/>
  <c r="K44" i="6"/>
  <c r="K43" i="6"/>
  <c r="K42" i="6"/>
  <c r="K41" i="6"/>
  <c r="K40" i="6"/>
  <c r="K39" i="6"/>
  <c r="K38" i="6"/>
  <c r="K37" i="6"/>
  <c r="K32" i="6"/>
  <c r="K28" i="6"/>
  <c r="K24" i="6"/>
  <c r="K23" i="6"/>
  <c r="K19" i="6"/>
  <c r="K18" i="6"/>
  <c r="K17" i="6"/>
  <c r="K16" i="6"/>
  <c r="K15" i="6"/>
  <c r="K14" i="6"/>
  <c r="J47" i="6"/>
  <c r="K42" i="5"/>
  <c r="K41" i="5"/>
  <c r="K40" i="5"/>
  <c r="K39" i="5"/>
  <c r="K38" i="5"/>
  <c r="K37" i="5"/>
  <c r="K33" i="5"/>
  <c r="K29" i="5"/>
  <c r="K28" i="5" s="1"/>
  <c r="K27" i="5" s="1"/>
  <c r="K23" i="5"/>
  <c r="K22" i="5"/>
  <c r="K21" i="5"/>
  <c r="K20" i="5"/>
  <c r="K19" i="5"/>
  <c r="K18" i="5"/>
  <c r="K17" i="5"/>
  <c r="K16" i="5"/>
  <c r="K15" i="5"/>
  <c r="K14" i="5"/>
  <c r="K10" i="5"/>
  <c r="J28" i="5"/>
  <c r="J27" i="5" s="1"/>
  <c r="I28" i="5"/>
  <c r="I27" i="5" s="1"/>
  <c r="H28" i="5"/>
  <c r="H27" i="5" s="1"/>
  <c r="N28" i="5"/>
  <c r="M28" i="5"/>
  <c r="M27" i="5" s="1"/>
  <c r="L28" i="5"/>
  <c r="L27" i="5" s="1"/>
  <c r="N27" i="5"/>
  <c r="N17" i="4"/>
  <c r="N16" i="4"/>
  <c r="M17" i="4"/>
  <c r="M16" i="4"/>
  <c r="L17" i="4"/>
  <c r="L16" i="4"/>
  <c r="L15" i="4"/>
  <c r="L14" i="4"/>
  <c r="K17" i="4"/>
  <c r="K16" i="4"/>
  <c r="K15" i="4"/>
  <c r="K14" i="4"/>
  <c r="N53" i="3"/>
  <c r="M53" i="3"/>
  <c r="L53" i="3"/>
  <c r="K52" i="3"/>
  <c r="F19" i="13"/>
  <c r="L58" i="3"/>
  <c r="K58" i="3"/>
  <c r="L68" i="3"/>
  <c r="L63" i="3"/>
  <c r="L62" i="3"/>
  <c r="L60" i="3"/>
  <c r="L59" i="3"/>
  <c r="L52" i="3"/>
  <c r="L49" i="3"/>
  <c r="L47" i="3"/>
  <c r="L44" i="3"/>
  <c r="L40" i="3"/>
  <c r="L39" i="3"/>
  <c r="L35" i="3"/>
  <c r="L34" i="3"/>
  <c r="L33" i="3"/>
  <c r="L32" i="3"/>
  <c r="L31" i="3"/>
  <c r="L18" i="3"/>
  <c r="L17" i="3"/>
  <c r="L16" i="3"/>
  <c r="L15" i="3"/>
  <c r="K67" i="3"/>
  <c r="K63" i="3"/>
  <c r="K62" i="3"/>
  <c r="K61" i="3"/>
  <c r="K60" i="3"/>
  <c r="K59" i="3"/>
  <c r="K53" i="3"/>
  <c r="K49" i="3"/>
  <c r="K47" i="3"/>
  <c r="K44" i="3"/>
  <c r="K40" i="3"/>
  <c r="K39" i="3"/>
  <c r="K35" i="3"/>
  <c r="K34" i="3"/>
  <c r="K33" i="3"/>
  <c r="K32" i="3"/>
  <c r="K31" i="3"/>
  <c r="K23" i="3"/>
  <c r="K18" i="3"/>
  <c r="K17" i="3"/>
  <c r="K15" i="3"/>
  <c r="H49" i="3"/>
  <c r="O46" i="1"/>
  <c r="N46" i="1"/>
  <c r="M46" i="1"/>
  <c r="L46" i="1"/>
  <c r="N43" i="7" l="1"/>
  <c r="N42" i="7" s="1"/>
  <c r="N10" i="7" s="1"/>
  <c r="J31" i="6"/>
  <c r="J43" i="7"/>
  <c r="J42" i="7" s="1"/>
  <c r="J10" i="7" s="1"/>
  <c r="J51" i="3"/>
  <c r="L43" i="7"/>
  <c r="L42" i="7" s="1"/>
  <c r="L10" i="7" s="1"/>
  <c r="M43" i="7"/>
  <c r="M42" i="7" s="1"/>
  <c r="M10" i="7" s="1"/>
  <c r="L31" i="6"/>
  <c r="L13" i="6"/>
  <c r="K51" i="3"/>
  <c r="K43" i="7"/>
  <c r="K42" i="7" s="1"/>
  <c r="K10" i="7" s="1"/>
  <c r="H43" i="7"/>
  <c r="H42" i="7" s="1"/>
  <c r="H10" i="7" s="1"/>
  <c r="I43" i="7"/>
  <c r="I42" i="7" s="1"/>
  <c r="I10" i="7" s="1"/>
  <c r="H38" i="7"/>
  <c r="H37" i="7" s="1"/>
  <c r="K29" i="7"/>
  <c r="I29" i="7"/>
  <c r="M40" i="1"/>
  <c r="L40" i="1"/>
  <c r="J753" i="15" l="1"/>
  <c r="R46" i="2" l="1"/>
  <c r="Q46" i="2"/>
  <c r="M156" i="1"/>
  <c r="L146" i="1"/>
  <c r="L135" i="1"/>
  <c r="L136" i="1"/>
  <c r="L137" i="1"/>
  <c r="L138" i="1"/>
  <c r="L139" i="1"/>
  <c r="L140" i="1"/>
  <c r="L141" i="1"/>
  <c r="L142" i="1"/>
  <c r="L143" i="1"/>
  <c r="L144" i="1"/>
  <c r="L145" i="1"/>
  <c r="L148" i="1"/>
  <c r="L149" i="1"/>
  <c r="M150" i="1"/>
  <c r="M149" i="1"/>
  <c r="M148" i="1"/>
  <c r="M147" i="1"/>
  <c r="M146" i="1"/>
  <c r="M144" i="1"/>
  <c r="M143" i="1"/>
  <c r="M142" i="1"/>
  <c r="M141" i="1"/>
  <c r="M140" i="1"/>
  <c r="M139" i="1"/>
  <c r="M138" i="1"/>
  <c r="M137" i="1"/>
  <c r="M136" i="1"/>
  <c r="M135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O150" i="1"/>
  <c r="O149" i="1"/>
  <c r="O148" i="1"/>
  <c r="O147" i="1"/>
  <c r="O146" i="1"/>
  <c r="O135" i="1"/>
  <c r="O144" i="1"/>
  <c r="O143" i="1"/>
  <c r="O142" i="1"/>
  <c r="O141" i="1"/>
  <c r="O140" i="1"/>
  <c r="O139" i="1"/>
  <c r="O138" i="1"/>
  <c r="O137" i="1"/>
  <c r="O136" i="1"/>
  <c r="I116" i="1"/>
  <c r="J110" i="1"/>
  <c r="L121" i="1"/>
  <c r="L125" i="1"/>
  <c r="L119" i="1"/>
  <c r="L118" i="1"/>
  <c r="L112" i="1"/>
  <c r="L114" i="1"/>
  <c r="M122" i="1"/>
  <c r="M120" i="1"/>
  <c r="M125" i="1"/>
  <c r="M121" i="1"/>
  <c r="M119" i="1"/>
  <c r="M118" i="1"/>
  <c r="M114" i="1"/>
  <c r="M112" i="1"/>
  <c r="L83" i="1"/>
  <c r="L88" i="1"/>
  <c r="L95" i="1"/>
  <c r="L91" i="1"/>
  <c r="L94" i="1"/>
  <c r="L92" i="1"/>
  <c r="L90" i="1"/>
  <c r="L87" i="1"/>
  <c r="L86" i="1"/>
  <c r="L85" i="1"/>
  <c r="L84" i="1"/>
  <c r="L82" i="1"/>
  <c r="L81" i="1"/>
  <c r="L80" i="1"/>
  <c r="L79" i="1"/>
  <c r="L78" i="1"/>
  <c r="L77" i="1"/>
  <c r="L76" i="1"/>
  <c r="L75" i="1"/>
  <c r="L74" i="1"/>
  <c r="L73" i="1"/>
  <c r="L72" i="1"/>
  <c r="L71" i="1"/>
  <c r="M95" i="1"/>
  <c r="M94" i="1"/>
  <c r="M92" i="1"/>
  <c r="M91" i="1"/>
  <c r="M90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O78" i="1"/>
  <c r="L54" i="1"/>
  <c r="L52" i="1"/>
  <c r="L50" i="1"/>
  <c r="L48" i="1"/>
  <c r="L44" i="1"/>
  <c r="L42" i="1"/>
  <c r="L38" i="1"/>
  <c r="L36" i="1"/>
  <c r="L34" i="1"/>
  <c r="L32" i="1"/>
  <c r="L30" i="1"/>
  <c r="M54" i="1"/>
  <c r="M52" i="1"/>
  <c r="M50" i="1"/>
  <c r="M48" i="1"/>
  <c r="M44" i="1"/>
  <c r="M42" i="1"/>
  <c r="M38" i="1"/>
  <c r="M36" i="1"/>
  <c r="M34" i="1"/>
  <c r="M32" i="1"/>
  <c r="M30" i="1"/>
  <c r="L20" i="1"/>
  <c r="L18" i="1"/>
  <c r="L16" i="1"/>
  <c r="L14" i="1"/>
  <c r="L12" i="1"/>
  <c r="L8" i="1"/>
  <c r="M20" i="1"/>
  <c r="M18" i="1"/>
  <c r="M16" i="1"/>
  <c r="M14" i="1"/>
  <c r="M12" i="1"/>
  <c r="P23" i="2"/>
  <c r="P16" i="2"/>
  <c r="P9" i="2" s="1"/>
  <c r="M8" i="1"/>
  <c r="K27" i="1" l="1"/>
  <c r="J27" i="1"/>
  <c r="M10" i="1"/>
  <c r="L27" i="1"/>
  <c r="M27" i="1"/>
  <c r="K133" i="1"/>
  <c r="J133" i="1"/>
  <c r="L157" i="1" l="1"/>
  <c r="F792" i="15" l="1"/>
  <c r="E792" i="15"/>
  <c r="H21" i="11"/>
  <c r="J702" i="15"/>
  <c r="E472" i="15"/>
  <c r="K258" i="2"/>
  <c r="L157" i="2" l="1"/>
  <c r="L61" i="2"/>
  <c r="F151" i="15" l="1"/>
  <c r="F117" i="15"/>
  <c r="F122" i="15" s="1"/>
  <c r="F735" i="15"/>
  <c r="F695" i="15"/>
  <c r="E710" i="15"/>
  <c r="E695" i="15"/>
  <c r="E372" i="15" l="1"/>
  <c r="E301" i="15" l="1"/>
  <c r="E208" i="15"/>
  <c r="E83" i="15"/>
  <c r="K23" i="2"/>
  <c r="K16" i="2"/>
  <c r="L155" i="1" l="1"/>
  <c r="I92" i="15"/>
  <c r="L156" i="1"/>
  <c r="L337" i="15" l="1"/>
  <c r="L334" i="15" s="1"/>
  <c r="K337" i="15"/>
  <c r="K334" i="15" s="1"/>
  <c r="J337" i="15"/>
  <c r="J334" i="15" s="1"/>
  <c r="J262" i="15"/>
  <c r="L34" i="7" s="1"/>
  <c r="K262" i="15"/>
  <c r="K256" i="15" s="1"/>
  <c r="L262" i="15"/>
  <c r="L256" i="15" s="1"/>
  <c r="L548" i="15"/>
  <c r="K548" i="15"/>
  <c r="J256" i="15" l="1"/>
  <c r="L674" i="15"/>
  <c r="N27" i="3" s="1"/>
  <c r="K674" i="15"/>
  <c r="M27" i="3" s="1"/>
  <c r="K27" i="3"/>
  <c r="I760" i="15"/>
  <c r="I535" i="15"/>
  <c r="I533" i="15"/>
  <c r="I472" i="15"/>
  <c r="I470" i="15"/>
  <c r="J443" i="15"/>
  <c r="J416" i="15"/>
  <c r="I301" i="15"/>
  <c r="J117" i="15"/>
  <c r="J122" i="15" s="1"/>
  <c r="H598" i="15"/>
  <c r="H117" i="15"/>
  <c r="I117" i="15"/>
  <c r="I122" i="15" s="1"/>
  <c r="O141" i="2"/>
  <c r="N258" i="2"/>
  <c r="N61" i="2"/>
  <c r="N46" i="2"/>
  <c r="O46" i="2"/>
  <c r="G727" i="15"/>
  <c r="H509" i="15"/>
  <c r="J522" i="15" l="1"/>
  <c r="J548" i="15"/>
  <c r="J539" i="15"/>
  <c r="J674" i="15"/>
  <c r="L27" i="3" s="1"/>
  <c r="J49" i="15"/>
  <c r="L23" i="3" s="1"/>
  <c r="J37" i="15"/>
  <c r="L21" i="3" s="1"/>
  <c r="J30" i="15"/>
  <c r="L20" i="3" s="1"/>
  <c r="J17" i="15"/>
  <c r="L19" i="3" s="1"/>
  <c r="P141" i="2" l="1"/>
  <c r="J509" i="15"/>
  <c r="M155" i="1"/>
  <c r="L27" i="11" l="1"/>
  <c r="M157" i="1"/>
  <c r="J760" i="15" l="1"/>
  <c r="J681" i="15"/>
  <c r="L33" i="5" s="1"/>
  <c r="J301" i="15"/>
  <c r="J312" i="15" s="1"/>
  <c r="J813" i="15"/>
  <c r="G19" i="13" s="1"/>
  <c r="J762" i="15"/>
  <c r="L29" i="12" s="1"/>
  <c r="L28" i="12" s="1"/>
  <c r="L27" i="12" s="1"/>
  <c r="L9" i="12" s="1"/>
  <c r="J744" i="15"/>
  <c r="L22" i="11" s="1"/>
  <c r="L21" i="11" s="1"/>
  <c r="L20" i="11" s="1"/>
  <c r="J735" i="15"/>
  <c r="J727" i="15" s="1"/>
  <c r="J724" i="15"/>
  <c r="J715" i="15"/>
  <c r="J710" i="15"/>
  <c r="J699" i="15"/>
  <c r="L39" i="7" s="1"/>
  <c r="J693" i="15"/>
  <c r="J688" i="15"/>
  <c r="L45" i="5" s="1"/>
  <c r="L44" i="5" s="1"/>
  <c r="L43" i="5" s="1"/>
  <c r="J620" i="15"/>
  <c r="J591" i="15"/>
  <c r="J580" i="15"/>
  <c r="J566" i="15"/>
  <c r="J535" i="15"/>
  <c r="J533" i="15"/>
  <c r="J472" i="15"/>
  <c r="J470" i="15"/>
  <c r="J442" i="15" s="1"/>
  <c r="J436" i="15"/>
  <c r="J432" i="15"/>
  <c r="J426" i="15"/>
  <c r="J408" i="15"/>
  <c r="J404" i="15"/>
  <c r="J375" i="15"/>
  <c r="J370" i="15"/>
  <c r="J359" i="15"/>
  <c r="L46" i="10" s="1"/>
  <c r="L45" i="10" s="1"/>
  <c r="L44" i="10" s="1"/>
  <c r="L43" i="10" s="1"/>
  <c r="J358" i="15"/>
  <c r="J328" i="15"/>
  <c r="J321" i="15" s="1"/>
  <c r="J289" i="15"/>
  <c r="J283" i="15"/>
  <c r="J272" i="15"/>
  <c r="J245" i="15"/>
  <c r="L18" i="7" s="1"/>
  <c r="J238" i="15"/>
  <c r="J275" i="15" s="1"/>
  <c r="J223" i="15"/>
  <c r="J219" i="15"/>
  <c r="L41" i="6"/>
  <c r="L39" i="5"/>
  <c r="J151" i="15"/>
  <c r="J142" i="15"/>
  <c r="J133" i="15"/>
  <c r="L18" i="5" s="1"/>
  <c r="J98" i="15"/>
  <c r="J83" i="15"/>
  <c r="J80" i="15"/>
  <c r="J72" i="15"/>
  <c r="J68" i="15"/>
  <c r="J41" i="15"/>
  <c r="L22" i="3" s="1"/>
  <c r="L14" i="3" s="1"/>
  <c r="O118" i="1"/>
  <c r="N157" i="2"/>
  <c r="J157" i="2"/>
  <c r="P157" i="2"/>
  <c r="O157" i="2"/>
  <c r="P274" i="2"/>
  <c r="P205" i="2"/>
  <c r="P194" i="2"/>
  <c r="P135" i="2"/>
  <c r="P116" i="2"/>
  <c r="P84" i="2"/>
  <c r="P61" i="2"/>
  <c r="P38" i="2"/>
  <c r="I813" i="15"/>
  <c r="O61" i="2"/>
  <c r="I80" i="15"/>
  <c r="I762" i="15"/>
  <c r="K29" i="12" s="1"/>
  <c r="I735" i="15"/>
  <c r="K23" i="9" s="1"/>
  <c r="I724" i="15"/>
  <c r="I715" i="15"/>
  <c r="I710" i="15"/>
  <c r="K40" i="7" s="1"/>
  <c r="I699" i="15"/>
  <c r="I693" i="15"/>
  <c r="I688" i="15"/>
  <c r="K45" i="5" s="1"/>
  <c r="K44" i="5" s="1"/>
  <c r="K43" i="5" s="1"/>
  <c r="I620" i="15"/>
  <c r="I591" i="15"/>
  <c r="I580" i="15"/>
  <c r="I566" i="15"/>
  <c r="I539" i="15"/>
  <c r="I520" i="15" s="1"/>
  <c r="I522" i="15"/>
  <c r="I375" i="15"/>
  <c r="I370" i="15"/>
  <c r="K50" i="10" s="1"/>
  <c r="I358" i="15"/>
  <c r="I321" i="15"/>
  <c r="I312" i="15"/>
  <c r="I289" i="15"/>
  <c r="I294" i="15" s="1"/>
  <c r="I283" i="15"/>
  <c r="I272" i="15"/>
  <c r="I256" i="15"/>
  <c r="I228" i="15"/>
  <c r="I223" i="15"/>
  <c r="I219" i="15"/>
  <c r="I208" i="15"/>
  <c r="I188" i="15"/>
  <c r="I151" i="15"/>
  <c r="I128" i="15"/>
  <c r="I83" i="15"/>
  <c r="I72" i="15"/>
  <c r="I41" i="15"/>
  <c r="K22" i="3" s="1"/>
  <c r="I37" i="15"/>
  <c r="K21" i="3" s="1"/>
  <c r="I30" i="15"/>
  <c r="K20" i="3" s="1"/>
  <c r="K19" i="3"/>
  <c r="K14" i="3" s="1"/>
  <c r="K813" i="15"/>
  <c r="H19" i="13" s="1"/>
  <c r="H39" i="13" s="1"/>
  <c r="H813" i="15"/>
  <c r="O194" i="2"/>
  <c r="O206" i="2" s="1"/>
  <c r="O289" i="2" s="1"/>
  <c r="O116" i="2"/>
  <c r="O38" i="2"/>
  <c r="O23" i="2"/>
  <c r="O16" i="2"/>
  <c r="R242" i="2"/>
  <c r="O156" i="1" s="1"/>
  <c r="Q242" i="2"/>
  <c r="N156" i="1" s="1"/>
  <c r="O155" i="1"/>
  <c r="N155" i="1"/>
  <c r="G710" i="15"/>
  <c r="J38" i="7" s="1"/>
  <c r="J37" i="7" s="1"/>
  <c r="G688" i="15"/>
  <c r="J44" i="5" s="1"/>
  <c r="J43" i="5" s="1"/>
  <c r="F39" i="13"/>
  <c r="J21" i="11"/>
  <c r="J20" i="11" s="1"/>
  <c r="G735" i="15"/>
  <c r="G695" i="15"/>
  <c r="G566" i="15"/>
  <c r="G223" i="15"/>
  <c r="F762" i="15"/>
  <c r="I28" i="12" s="1"/>
  <c r="I27" i="12" s="1"/>
  <c r="I9" i="12" s="1"/>
  <c r="F753" i="15"/>
  <c r="I41" i="11" s="1"/>
  <c r="I40" i="11" s="1"/>
  <c r="F724" i="15"/>
  <c r="F715" i="15"/>
  <c r="F702" i="15"/>
  <c r="F699" i="15"/>
  <c r="F693" i="15"/>
  <c r="F688" i="15"/>
  <c r="I44" i="5" s="1"/>
  <c r="I43" i="5" s="1"/>
  <c r="F620" i="15"/>
  <c r="F603" i="15"/>
  <c r="F591" i="15"/>
  <c r="F580" i="15"/>
  <c r="F441" i="15"/>
  <c r="F394" i="15"/>
  <c r="F358" i="15"/>
  <c r="F321" i="15"/>
  <c r="F256" i="15"/>
  <c r="F188" i="15"/>
  <c r="F83" i="15"/>
  <c r="F80" i="15"/>
  <c r="E762" i="15"/>
  <c r="E760" i="15"/>
  <c r="E753" i="15"/>
  <c r="E739" i="15"/>
  <c r="E727" i="15"/>
  <c r="E724" i="15"/>
  <c r="E715" i="15"/>
  <c r="E702" i="15"/>
  <c r="E699" i="15"/>
  <c r="I22" i="6"/>
  <c r="I21" i="6" s="1"/>
  <c r="E693" i="15"/>
  <c r="H44" i="5"/>
  <c r="H43" i="5" s="1"/>
  <c r="E681" i="15"/>
  <c r="E674" i="15"/>
  <c r="E620" i="15"/>
  <c r="E603" i="15"/>
  <c r="E598" i="15"/>
  <c r="E591" i="15"/>
  <c r="G591" i="15"/>
  <c r="E580" i="15"/>
  <c r="E566" i="15"/>
  <c r="E535" i="15"/>
  <c r="E533" i="15"/>
  <c r="E470" i="15"/>
  <c r="E458" i="15" s="1"/>
  <c r="E375" i="15"/>
  <c r="E334" i="15"/>
  <c r="E321" i="15"/>
  <c r="E312" i="15"/>
  <c r="E289" i="15"/>
  <c r="E283" i="15"/>
  <c r="E272" i="15"/>
  <c r="E228" i="15"/>
  <c r="E219" i="15"/>
  <c r="E92" i="15"/>
  <c r="E80" i="15"/>
  <c r="E72" i="15"/>
  <c r="E41" i="15"/>
  <c r="E37" i="15"/>
  <c r="E30" i="15"/>
  <c r="E17" i="15"/>
  <c r="D735" i="15"/>
  <c r="D762" i="15"/>
  <c r="D760" i="15" s="1"/>
  <c r="D753" i="15"/>
  <c r="D744" i="15"/>
  <c r="D739" i="15"/>
  <c r="D727" i="15"/>
  <c r="D724" i="15"/>
  <c r="D715" i="15"/>
  <c r="D710" i="15"/>
  <c r="D702" i="15"/>
  <c r="D699" i="15"/>
  <c r="D695" i="15"/>
  <c r="D693" i="15"/>
  <c r="D688" i="15"/>
  <c r="D681" i="15"/>
  <c r="D674" i="15"/>
  <c r="D620" i="15"/>
  <c r="D603" i="15"/>
  <c r="D598" i="15"/>
  <c r="D570" i="15"/>
  <c r="D566" i="15" s="1"/>
  <c r="D555" i="15"/>
  <c r="D548" i="15" s="1"/>
  <c r="D539" i="15"/>
  <c r="D535" i="15"/>
  <c r="D522" i="15"/>
  <c r="D509" i="15"/>
  <c r="D504" i="15"/>
  <c r="D498" i="15"/>
  <c r="D494" i="15"/>
  <c r="D476" i="15"/>
  <c r="D472" i="15"/>
  <c r="D470" i="15"/>
  <c r="D460" i="15"/>
  <c r="D443" i="15"/>
  <c r="D436" i="15"/>
  <c r="D432" i="15"/>
  <c r="D426" i="15"/>
  <c r="D416" i="15"/>
  <c r="D408" i="15"/>
  <c r="D404" i="15"/>
  <c r="D394" i="15"/>
  <c r="D370" i="15"/>
  <c r="H49" i="10" s="1"/>
  <c r="H48" i="10" s="1"/>
  <c r="H47" i="10" s="1"/>
  <c r="D359" i="15"/>
  <c r="D337" i="15"/>
  <c r="D334" i="15" s="1"/>
  <c r="D379" i="15" s="1"/>
  <c r="D328" i="15"/>
  <c r="D321" i="15"/>
  <c r="D262" i="15"/>
  <c r="D256" i="15" s="1"/>
  <c r="D245" i="15"/>
  <c r="D199" i="15"/>
  <c r="D193" i="15"/>
  <c r="D160" i="15"/>
  <c r="D153" i="15"/>
  <c r="D142" i="15"/>
  <c r="D133" i="15"/>
  <c r="D98" i="15"/>
  <c r="D92" i="15" s="1"/>
  <c r="D49" i="15"/>
  <c r="D17" i="15"/>
  <c r="L735" i="15"/>
  <c r="L727" i="15" s="1"/>
  <c r="K735" i="15"/>
  <c r="H735" i="15"/>
  <c r="H727" i="15"/>
  <c r="N9" i="2"/>
  <c r="M258" i="2"/>
  <c r="M84" i="2"/>
  <c r="N194" i="2"/>
  <c r="L23" i="2"/>
  <c r="N23" i="2"/>
  <c r="L16" i="2"/>
  <c r="K242" i="2"/>
  <c r="J258" i="2"/>
  <c r="J242" i="2"/>
  <c r="J219" i="2"/>
  <c r="J116" i="2"/>
  <c r="J91" i="2"/>
  <c r="J84" i="2" s="1"/>
  <c r="J120" i="2" s="1"/>
  <c r="J61" i="2"/>
  <c r="J46" i="2"/>
  <c r="J38" i="2"/>
  <c r="K38" i="2"/>
  <c r="J23" i="2"/>
  <c r="J16" i="2"/>
  <c r="J9" i="2" s="1"/>
  <c r="F813" i="15"/>
  <c r="E813" i="15"/>
  <c r="D792" i="15"/>
  <c r="D813" i="15" s="1"/>
  <c r="H688" i="15"/>
  <c r="G760" i="15"/>
  <c r="G739" i="15"/>
  <c r="G580" i="15"/>
  <c r="D580" i="15"/>
  <c r="L570" i="15"/>
  <c r="L566" i="15" s="1"/>
  <c r="H566" i="15"/>
  <c r="L522" i="15"/>
  <c r="K522" i="15"/>
  <c r="H522" i="15"/>
  <c r="L443" i="15"/>
  <c r="K443" i="15"/>
  <c r="L436" i="15"/>
  <c r="K436" i="15"/>
  <c r="H436" i="15"/>
  <c r="L432" i="15"/>
  <c r="K432" i="15"/>
  <c r="H432" i="15"/>
  <c r="L426" i="15"/>
  <c r="K426" i="15"/>
  <c r="H426" i="15"/>
  <c r="L416" i="15"/>
  <c r="K416" i="15"/>
  <c r="K392" i="15" s="1"/>
  <c r="L408" i="15"/>
  <c r="K408" i="15"/>
  <c r="L404" i="15"/>
  <c r="K404" i="15"/>
  <c r="L394" i="15"/>
  <c r="K394" i="15"/>
  <c r="L370" i="15"/>
  <c r="L369" i="15"/>
  <c r="K370" i="15"/>
  <c r="M50" i="10" s="1"/>
  <c r="M49" i="10" s="1"/>
  <c r="M48" i="10" s="1"/>
  <c r="M47" i="10" s="1"/>
  <c r="H370" i="15"/>
  <c r="J49" i="10"/>
  <c r="J48" i="10" s="1"/>
  <c r="J47" i="10" s="1"/>
  <c r="L359" i="15"/>
  <c r="N46" i="10"/>
  <c r="N45" i="10" s="1"/>
  <c r="N44" i="10" s="1"/>
  <c r="N43" i="10" s="1"/>
  <c r="K359" i="15"/>
  <c r="M46" i="10" s="1"/>
  <c r="M45" i="10" s="1"/>
  <c r="M44" i="10" s="1"/>
  <c r="M43" i="10" s="1"/>
  <c r="L328" i="15"/>
  <c r="L321" i="15" s="1"/>
  <c r="K328" i="15"/>
  <c r="K321" i="15" s="1"/>
  <c r="H321" i="15"/>
  <c r="G321" i="15"/>
  <c r="D301" i="15"/>
  <c r="D312" i="15"/>
  <c r="M34" i="7"/>
  <c r="H256" i="15"/>
  <c r="G256" i="15"/>
  <c r="L245" i="15"/>
  <c r="L238" i="15" s="1"/>
  <c r="K245" i="15"/>
  <c r="M18" i="7" s="1"/>
  <c r="L223" i="15"/>
  <c r="K223" i="15"/>
  <c r="G208" i="15"/>
  <c r="D208" i="15"/>
  <c r="L199" i="15"/>
  <c r="N41" i="6" s="1"/>
  <c r="K199" i="15"/>
  <c r="L193" i="15"/>
  <c r="K193" i="15"/>
  <c r="H188" i="15"/>
  <c r="G188" i="15"/>
  <c r="L160" i="15"/>
  <c r="K160" i="15"/>
  <c r="M39" i="5"/>
  <c r="G39" i="5" s="1"/>
  <c r="N38" i="5"/>
  <c r="N19" i="5"/>
  <c r="H128" i="15"/>
  <c r="L133" i="15"/>
  <c r="L128" i="15" s="1"/>
  <c r="K133" i="15"/>
  <c r="M18" i="5" s="1"/>
  <c r="G18" i="5" s="1"/>
  <c r="L72" i="15"/>
  <c r="K72" i="15"/>
  <c r="H72" i="15"/>
  <c r="L80" i="15"/>
  <c r="K80" i="15"/>
  <c r="H80" i="15"/>
  <c r="L98" i="15"/>
  <c r="K98" i="15"/>
  <c r="M61" i="3"/>
  <c r="G61" i="3" s="1"/>
  <c r="L49" i="15"/>
  <c r="N23" i="3" s="1"/>
  <c r="K49" i="15"/>
  <c r="L68" i="15"/>
  <c r="K68" i="15"/>
  <c r="D72" i="15"/>
  <c r="D41" i="15"/>
  <c r="D37" i="15"/>
  <c r="D30" i="15"/>
  <c r="H17" i="15"/>
  <c r="K17" i="15"/>
  <c r="L17" i="15"/>
  <c r="H30" i="15"/>
  <c r="K30" i="15"/>
  <c r="M20" i="3" s="1"/>
  <c r="G20" i="3" s="1"/>
  <c r="L30" i="15"/>
  <c r="N20" i="3" s="1"/>
  <c r="H37" i="15"/>
  <c r="K37" i="15"/>
  <c r="M21" i="3" s="1"/>
  <c r="G21" i="3" s="1"/>
  <c r="L37" i="15"/>
  <c r="N21" i="3" s="1"/>
  <c r="H41" i="15"/>
  <c r="K41" i="15"/>
  <c r="M22" i="3" s="1"/>
  <c r="G22" i="3" s="1"/>
  <c r="L41" i="15"/>
  <c r="N22" i="3" s="1"/>
  <c r="D83" i="15"/>
  <c r="H83" i="15"/>
  <c r="K83" i="15"/>
  <c r="L83" i="15"/>
  <c r="D372" i="15"/>
  <c r="O84" i="1"/>
  <c r="O20" i="1"/>
  <c r="O14" i="1"/>
  <c r="N84" i="1"/>
  <c r="N20" i="1"/>
  <c r="N14" i="1"/>
  <c r="M23" i="2"/>
  <c r="R194" i="2"/>
  <c r="R84" i="2"/>
  <c r="R23" i="2"/>
  <c r="R16" i="2"/>
  <c r="Q194" i="2"/>
  <c r="Q84" i="2"/>
  <c r="Q23" i="2"/>
  <c r="Q16" i="2"/>
  <c r="N10" i="1" s="1"/>
  <c r="M194" i="2"/>
  <c r="M16" i="2"/>
  <c r="J194" i="2"/>
  <c r="N23" i="9"/>
  <c r="N21" i="9" s="1"/>
  <c r="N20" i="9" s="1"/>
  <c r="N9" i="9" s="1"/>
  <c r="L22" i="9"/>
  <c r="L21" i="9" s="1"/>
  <c r="L20" i="9" s="1"/>
  <c r="L9" i="9" s="1"/>
  <c r="K26" i="3"/>
  <c r="K25" i="3" s="1"/>
  <c r="K9" i="3" s="1"/>
  <c r="O127" i="1"/>
  <c r="N127" i="1"/>
  <c r="N120" i="1"/>
  <c r="N125" i="1"/>
  <c r="N78" i="1"/>
  <c r="N32" i="11"/>
  <c r="G14" i="11"/>
  <c r="N62" i="11"/>
  <c r="N61" i="11" s="1"/>
  <c r="N60" i="11" s="1"/>
  <c r="M62" i="11"/>
  <c r="M61" i="11" s="1"/>
  <c r="M60" i="11" s="1"/>
  <c r="L61" i="11"/>
  <c r="K20" i="11"/>
  <c r="K744" i="15"/>
  <c r="M22" i="11" s="1"/>
  <c r="M21" i="11" s="1"/>
  <c r="M20" i="11" s="1"/>
  <c r="I20" i="11"/>
  <c r="H41" i="10"/>
  <c r="N18" i="10"/>
  <c r="M18" i="10"/>
  <c r="M23" i="9"/>
  <c r="M21" i="9" s="1"/>
  <c r="M20" i="9" s="1"/>
  <c r="M9" i="9" s="1"/>
  <c r="K22" i="9"/>
  <c r="I21" i="9"/>
  <c r="I20" i="9" s="1"/>
  <c r="I9" i="9" s="1"/>
  <c r="H21" i="9"/>
  <c r="H20" i="9" s="1"/>
  <c r="H9" i="9" s="1"/>
  <c r="I38" i="7"/>
  <c r="I37" i="7" s="1"/>
  <c r="N22" i="7"/>
  <c r="L580" i="15"/>
  <c r="K580" i="15"/>
  <c r="H580" i="15"/>
  <c r="H710" i="15"/>
  <c r="L724" i="15"/>
  <c r="K724" i="15"/>
  <c r="H724" i="15"/>
  <c r="L476" i="15"/>
  <c r="K476" i="15"/>
  <c r="H476" i="15"/>
  <c r="H442" i="15" s="1"/>
  <c r="O95" i="1"/>
  <c r="N95" i="1"/>
  <c r="O90" i="1"/>
  <c r="N90" i="1"/>
  <c r="O87" i="1"/>
  <c r="N87" i="1"/>
  <c r="O50" i="1"/>
  <c r="N50" i="1"/>
  <c r="G724" i="15"/>
  <c r="L688" i="15"/>
  <c r="N45" i="5" s="1"/>
  <c r="N44" i="5" s="1"/>
  <c r="N43" i="5" s="1"/>
  <c r="K688" i="15"/>
  <c r="M45" i="5" s="1"/>
  <c r="M44" i="5" s="1"/>
  <c r="M43" i="5" s="1"/>
  <c r="K727" i="15"/>
  <c r="K460" i="15"/>
  <c r="K458" i="15" s="1"/>
  <c r="G312" i="15"/>
  <c r="F312" i="15"/>
  <c r="D238" i="15"/>
  <c r="F208" i="15"/>
  <c r="J205" i="2"/>
  <c r="M61" i="2"/>
  <c r="K61" i="2"/>
  <c r="K46" i="2"/>
  <c r="N38" i="11"/>
  <c r="L539" i="15"/>
  <c r="L509" i="15"/>
  <c r="N37" i="11"/>
  <c r="N34" i="11"/>
  <c r="N33" i="11"/>
  <c r="M37" i="11"/>
  <c r="M34" i="11"/>
  <c r="M32" i="11"/>
  <c r="K539" i="15"/>
  <c r="M33" i="11"/>
  <c r="M36" i="11"/>
  <c r="N37" i="10"/>
  <c r="M37" i="10"/>
  <c r="N34" i="3"/>
  <c r="M34" i="3"/>
  <c r="N68" i="3"/>
  <c r="N66" i="3" s="1"/>
  <c r="N65" i="3" s="1"/>
  <c r="N64" i="3" s="1"/>
  <c r="M68" i="3"/>
  <c r="M66" i="3" s="1"/>
  <c r="M65" i="3" s="1"/>
  <c r="M64" i="3" s="1"/>
  <c r="N79" i="1"/>
  <c r="H301" i="15"/>
  <c r="H312" i="15" s="1"/>
  <c r="H539" i="15"/>
  <c r="L535" i="15"/>
  <c r="K535" i="15"/>
  <c r="L533" i="15"/>
  <c r="K533" i="15"/>
  <c r="K509" i="15"/>
  <c r="L470" i="15"/>
  <c r="K470" i="15"/>
  <c r="L472" i="15"/>
  <c r="K472" i="15"/>
  <c r="O157" i="1"/>
  <c r="K22" i="6"/>
  <c r="K21" i="6" s="1"/>
  <c r="L116" i="2"/>
  <c r="F375" i="15"/>
  <c r="F289" i="15"/>
  <c r="F283" i="15"/>
  <c r="F272" i="15"/>
  <c r="F228" i="15"/>
  <c r="F223" i="15"/>
  <c r="F219" i="15"/>
  <c r="L135" i="2"/>
  <c r="L158" i="2" s="1"/>
  <c r="K41" i="10"/>
  <c r="M40" i="7"/>
  <c r="N40" i="12"/>
  <c r="M40" i="12"/>
  <c r="K67" i="10"/>
  <c r="N20" i="7"/>
  <c r="M20" i="7"/>
  <c r="N41" i="5"/>
  <c r="M41" i="5"/>
  <c r="H620" i="15"/>
  <c r="H603" i="15"/>
  <c r="L591" i="15"/>
  <c r="K591" i="15"/>
  <c r="K626" i="15" s="1"/>
  <c r="H591" i="15"/>
  <c r="H208" i="15"/>
  <c r="H223" i="15"/>
  <c r="M19" i="5"/>
  <c r="G19" i="5" s="1"/>
  <c r="R205" i="2"/>
  <c r="Q205" i="2"/>
  <c r="L715" i="15"/>
  <c r="L813" i="15"/>
  <c r="I19" i="13" s="1"/>
  <c r="I39" i="13" s="1"/>
  <c r="L710" i="15"/>
  <c r="K710" i="15"/>
  <c r="K769" i="15" s="1"/>
  <c r="K812" i="15" s="1"/>
  <c r="H18" i="13" s="1"/>
  <c r="H35" i="13" s="1"/>
  <c r="H693" i="15"/>
  <c r="G693" i="15"/>
  <c r="D591" i="15"/>
  <c r="G375" i="15"/>
  <c r="D375" i="15"/>
  <c r="D369" i="15"/>
  <c r="D289" i="15"/>
  <c r="D283" i="15"/>
  <c r="D294" i="15" s="1"/>
  <c r="D272" i="15"/>
  <c r="D223" i="15"/>
  <c r="D219" i="15"/>
  <c r="D117" i="15"/>
  <c r="D122" i="15" s="1"/>
  <c r="M116" i="2"/>
  <c r="M120" i="2" s="1"/>
  <c r="O145" i="1"/>
  <c r="O125" i="1"/>
  <c r="O122" i="1"/>
  <c r="O121" i="1"/>
  <c r="O120" i="1"/>
  <c r="O119" i="1"/>
  <c r="N122" i="1"/>
  <c r="N121" i="1"/>
  <c r="N119" i="1"/>
  <c r="N118" i="1"/>
  <c r="O114" i="1"/>
  <c r="O112" i="1"/>
  <c r="N114" i="1"/>
  <c r="N112" i="1"/>
  <c r="O92" i="1"/>
  <c r="N92" i="1"/>
  <c r="O91" i="1"/>
  <c r="N91" i="1"/>
  <c r="O88" i="1"/>
  <c r="N88" i="1"/>
  <c r="O86" i="1"/>
  <c r="N86" i="1"/>
  <c r="O85" i="1"/>
  <c r="N85" i="1"/>
  <c r="O83" i="1"/>
  <c r="N83" i="1"/>
  <c r="O82" i="1"/>
  <c r="N82" i="1"/>
  <c r="O81" i="1"/>
  <c r="N81" i="1"/>
  <c r="O80" i="1"/>
  <c r="N80" i="1"/>
  <c r="O79" i="1"/>
  <c r="O77" i="1"/>
  <c r="N77" i="1"/>
  <c r="O75" i="1"/>
  <c r="N75" i="1"/>
  <c r="O74" i="1"/>
  <c r="N74" i="1"/>
  <c r="O73" i="1"/>
  <c r="N73" i="1"/>
  <c r="O72" i="1"/>
  <c r="N72" i="1"/>
  <c r="O71" i="1"/>
  <c r="N71" i="1"/>
  <c r="O38" i="1"/>
  <c r="N38" i="1"/>
  <c r="O54" i="1"/>
  <c r="N54" i="1"/>
  <c r="O52" i="1"/>
  <c r="N52" i="1"/>
  <c r="O48" i="1"/>
  <c r="N48" i="1"/>
  <c r="O44" i="1"/>
  <c r="N44" i="1"/>
  <c r="O42" i="1"/>
  <c r="N42" i="1"/>
  <c r="O40" i="1"/>
  <c r="N40" i="1"/>
  <c r="O36" i="1"/>
  <c r="N36" i="1"/>
  <c r="O34" i="1"/>
  <c r="N34" i="1"/>
  <c r="O32" i="1"/>
  <c r="N32" i="1"/>
  <c r="O30" i="1"/>
  <c r="N30" i="1"/>
  <c r="O18" i="1"/>
  <c r="N18" i="1"/>
  <c r="O16" i="1"/>
  <c r="N16" i="1"/>
  <c r="O12" i="1"/>
  <c r="N12" i="1"/>
  <c r="O8" i="1"/>
  <c r="N8" i="1"/>
  <c r="N59" i="10"/>
  <c r="M59" i="10"/>
  <c r="G59" i="10" s="1"/>
  <c r="J41" i="10"/>
  <c r="I41" i="10"/>
  <c r="J67" i="10"/>
  <c r="J66" i="10" s="1"/>
  <c r="J65" i="10" s="1"/>
  <c r="H67" i="10"/>
  <c r="H66" i="10" s="1"/>
  <c r="H65" i="10" s="1"/>
  <c r="J63" i="10"/>
  <c r="J62" i="10" s="1"/>
  <c r="H63" i="10"/>
  <c r="H62" i="10" s="1"/>
  <c r="J26" i="10"/>
  <c r="J25" i="10" s="1"/>
  <c r="H26" i="10"/>
  <c r="H25" i="10" s="1"/>
  <c r="I31" i="6"/>
  <c r="I30" i="6" s="1"/>
  <c r="I29" i="6" s="1"/>
  <c r="N62" i="3"/>
  <c r="M62" i="3"/>
  <c r="G62" i="3" s="1"/>
  <c r="N40" i="3"/>
  <c r="M40" i="3"/>
  <c r="I66" i="3"/>
  <c r="I65" i="3" s="1"/>
  <c r="I64" i="3" s="1"/>
  <c r="H66" i="3"/>
  <c r="H65" i="3" s="1"/>
  <c r="H64" i="3" s="1"/>
  <c r="J66" i="3"/>
  <c r="J65" i="3" s="1"/>
  <c r="J64" i="3" s="1"/>
  <c r="J43" i="3"/>
  <c r="H43" i="3"/>
  <c r="J32" i="5"/>
  <c r="J31" i="5" s="1"/>
  <c r="J9" i="5" s="1"/>
  <c r="I32" i="5"/>
  <c r="I31" i="5" s="1"/>
  <c r="H32" i="5"/>
  <c r="H31" i="5" s="1"/>
  <c r="K25" i="5"/>
  <c r="H25" i="5"/>
  <c r="H24" i="5" s="1"/>
  <c r="H10" i="5" s="1"/>
  <c r="N17" i="6"/>
  <c r="M17" i="6"/>
  <c r="G17" i="6" s="1"/>
  <c r="G13" i="6" s="1"/>
  <c r="G12" i="6" s="1"/>
  <c r="G8" i="6" s="1"/>
  <c r="G2" i="6" s="1"/>
  <c r="K208" i="15"/>
  <c r="J30" i="6"/>
  <c r="J29" i="6" s="1"/>
  <c r="J22" i="6"/>
  <c r="J21" i="6" s="1"/>
  <c r="J25" i="5"/>
  <c r="J24" i="5" s="1"/>
  <c r="J10" i="5" s="1"/>
  <c r="J46" i="6"/>
  <c r="H47" i="6"/>
  <c r="H46" i="6" s="1"/>
  <c r="J24" i="7"/>
  <c r="J23" i="7" s="1"/>
  <c r="J31" i="8"/>
  <c r="J30" i="8" s="1"/>
  <c r="H31" i="8"/>
  <c r="H30" i="8" s="1"/>
  <c r="J21" i="9"/>
  <c r="J20" i="9" s="1"/>
  <c r="J9" i="9" s="1"/>
  <c r="K56" i="11"/>
  <c r="H41" i="11"/>
  <c r="H40" i="11" s="1"/>
  <c r="J41" i="11"/>
  <c r="J40" i="11" s="1"/>
  <c r="H20" i="11"/>
  <c r="H28" i="12"/>
  <c r="H27" i="12" s="1"/>
  <c r="H9" i="12" s="1"/>
  <c r="J28" i="12"/>
  <c r="J27" i="12" s="1"/>
  <c r="J9" i="12" s="1"/>
  <c r="L38" i="2"/>
  <c r="J135" i="2"/>
  <c r="J158" i="2" s="1"/>
  <c r="J288" i="2" s="1"/>
  <c r="N20" i="12"/>
  <c r="M20" i="12"/>
  <c r="G20" i="12" s="1"/>
  <c r="G19" i="12" s="1"/>
  <c r="G18" i="12" s="1"/>
  <c r="N26" i="12"/>
  <c r="N25" i="12"/>
  <c r="M26" i="12"/>
  <c r="G26" i="12" s="1"/>
  <c r="M25" i="12"/>
  <c r="G25" i="12" s="1"/>
  <c r="N16" i="12"/>
  <c r="M16" i="12"/>
  <c r="N19" i="7"/>
  <c r="N16" i="7"/>
  <c r="N15" i="7"/>
  <c r="N14" i="7"/>
  <c r="M19" i="7"/>
  <c r="M16" i="7"/>
  <c r="M15" i="7"/>
  <c r="M14" i="7"/>
  <c r="M17" i="7"/>
  <c r="M21" i="7"/>
  <c r="L25" i="5"/>
  <c r="L24" i="5" s="1"/>
  <c r="L10" i="5" s="1"/>
  <c r="N25" i="5"/>
  <c r="N24" i="5" s="1"/>
  <c r="N10" i="5" s="1"/>
  <c r="M25" i="5"/>
  <c r="M24" i="5" s="1"/>
  <c r="M10" i="5" s="1"/>
  <c r="I25" i="5"/>
  <c r="I24" i="5" s="1"/>
  <c r="I10" i="5" s="1"/>
  <c r="L208" i="15"/>
  <c r="L702" i="15"/>
  <c r="K715" i="15"/>
  <c r="L753" i="15"/>
  <c r="K753" i="15"/>
  <c r="M42" i="11" s="1"/>
  <c r="M41" i="11" s="1"/>
  <c r="M40" i="11" s="1"/>
  <c r="L762" i="15"/>
  <c r="K762" i="15"/>
  <c r="G762" i="15"/>
  <c r="K28" i="12"/>
  <c r="K27" i="12" s="1"/>
  <c r="K9" i="12" s="1"/>
  <c r="G715" i="15"/>
  <c r="G702" i="15"/>
  <c r="G681" i="15"/>
  <c r="K32" i="5"/>
  <c r="K31" i="5" s="1"/>
  <c r="K9" i="5" s="1"/>
  <c r="K620" i="15"/>
  <c r="G598" i="15"/>
  <c r="G603" i="15"/>
  <c r="L22" i="6"/>
  <c r="L21" i="6" s="1"/>
  <c r="N16" i="6"/>
  <c r="M16" i="6"/>
  <c r="N61" i="10"/>
  <c r="M61" i="10"/>
  <c r="N56" i="11"/>
  <c r="M56" i="11"/>
  <c r="N34" i="12"/>
  <c r="N33" i="12"/>
  <c r="M34" i="12"/>
  <c r="M33" i="12"/>
  <c r="H762" i="15"/>
  <c r="H760" i="15" s="1"/>
  <c r="H715" i="15"/>
  <c r="K702" i="15"/>
  <c r="H699" i="15"/>
  <c r="K135" i="2"/>
  <c r="K66" i="3"/>
  <c r="K65" i="3" s="1"/>
  <c r="K64" i="3" s="1"/>
  <c r="I49" i="7"/>
  <c r="K116" i="2"/>
  <c r="K120" i="2" s="1"/>
  <c r="M38" i="2"/>
  <c r="N38" i="2"/>
  <c r="N116" i="2"/>
  <c r="Q38" i="2"/>
  <c r="Q61" i="2"/>
  <c r="Q116" i="2"/>
  <c r="R38" i="2"/>
  <c r="R61" i="2"/>
  <c r="R116" i="2"/>
  <c r="N135" i="2"/>
  <c r="G122" i="15"/>
  <c r="G219" i="15"/>
  <c r="G228" i="15"/>
  <c r="G272" i="15"/>
  <c r="G283" i="15"/>
  <c r="G289" i="15"/>
  <c r="G620" i="15"/>
  <c r="H122" i="15"/>
  <c r="H219" i="15"/>
  <c r="H228" i="15"/>
  <c r="H272" i="15"/>
  <c r="H283" i="15"/>
  <c r="H289" i="15"/>
  <c r="H375" i="15"/>
  <c r="M15" i="3"/>
  <c r="M16" i="3"/>
  <c r="M17" i="3"/>
  <c r="G17" i="3" s="1"/>
  <c r="M18" i="3"/>
  <c r="G18" i="3" s="1"/>
  <c r="M31" i="3"/>
  <c r="M32" i="3"/>
  <c r="M33" i="3"/>
  <c r="M35" i="3"/>
  <c r="G35" i="3" s="1"/>
  <c r="M39" i="3"/>
  <c r="G39" i="3" s="1"/>
  <c r="G38" i="3" s="1"/>
  <c r="M44" i="3"/>
  <c r="M43" i="3" s="1"/>
  <c r="M47" i="3"/>
  <c r="G47" i="3" s="1"/>
  <c r="M49" i="3"/>
  <c r="M58" i="3"/>
  <c r="G58" i="3" s="1"/>
  <c r="M59" i="3"/>
  <c r="G59" i="3" s="1"/>
  <c r="M60" i="3"/>
  <c r="M63" i="3"/>
  <c r="G63" i="3" s="1"/>
  <c r="M14" i="4"/>
  <c r="M15" i="4"/>
  <c r="M14" i="5"/>
  <c r="G14" i="5" s="1"/>
  <c r="M15" i="5"/>
  <c r="G15" i="5" s="1"/>
  <c r="M16" i="5"/>
  <c r="G16" i="5" s="1"/>
  <c r="M17" i="5"/>
  <c r="G17" i="5" s="1"/>
  <c r="M20" i="5"/>
  <c r="M21" i="5"/>
  <c r="G21" i="5" s="1"/>
  <c r="M22" i="5"/>
  <c r="G22" i="5" s="1"/>
  <c r="M23" i="5"/>
  <c r="M37" i="5"/>
  <c r="G37" i="5" s="1"/>
  <c r="M40" i="5"/>
  <c r="G40" i="5" s="1"/>
  <c r="M42" i="5"/>
  <c r="G42" i="5" s="1"/>
  <c r="M14" i="6"/>
  <c r="M15" i="6"/>
  <c r="M18" i="6"/>
  <c r="M19" i="6"/>
  <c r="M28" i="6"/>
  <c r="M37" i="6"/>
  <c r="G37" i="6" s="1"/>
  <c r="M39" i="6"/>
  <c r="G39" i="6" s="1"/>
  <c r="M38" i="6"/>
  <c r="M42" i="6"/>
  <c r="M43" i="6"/>
  <c r="M44" i="6"/>
  <c r="M45" i="6"/>
  <c r="M32" i="6"/>
  <c r="G32" i="6" s="1"/>
  <c r="G29" i="6" s="1"/>
  <c r="G26" i="6" s="1"/>
  <c r="G22" i="6" s="1"/>
  <c r="G20" i="6" s="1"/>
  <c r="M30" i="7"/>
  <c r="M31" i="7"/>
  <c r="M32" i="7"/>
  <c r="M33" i="7"/>
  <c r="M35" i="7"/>
  <c r="M14" i="8"/>
  <c r="M15" i="8"/>
  <c r="M16" i="8"/>
  <c r="M17" i="8"/>
  <c r="M26" i="8"/>
  <c r="M27" i="8"/>
  <c r="M28" i="8"/>
  <c r="M29" i="8"/>
  <c r="M14" i="9"/>
  <c r="M15" i="9"/>
  <c r="M16" i="9"/>
  <c r="M17" i="9"/>
  <c r="M18" i="9"/>
  <c r="M19" i="9"/>
  <c r="M14" i="10"/>
  <c r="M15" i="10"/>
  <c r="M16" i="10"/>
  <c r="M17" i="10"/>
  <c r="M22" i="10"/>
  <c r="G22" i="10" s="1"/>
  <c r="M23" i="10"/>
  <c r="M24" i="10"/>
  <c r="M32" i="10"/>
  <c r="G32" i="10" s="1"/>
  <c r="M33" i="10"/>
  <c r="M34" i="10"/>
  <c r="M35" i="10"/>
  <c r="M36" i="10"/>
  <c r="M38" i="10"/>
  <c r="M39" i="10"/>
  <c r="G60" i="10"/>
  <c r="M69" i="10"/>
  <c r="M67" i="10" s="1"/>
  <c r="M65" i="10" s="1"/>
  <c r="M73" i="10"/>
  <c r="G73" i="10" s="1"/>
  <c r="M74" i="10"/>
  <c r="M18" i="11"/>
  <c r="M19" i="11"/>
  <c r="M47" i="11"/>
  <c r="G47" i="11" s="1"/>
  <c r="M48" i="11"/>
  <c r="G48" i="11" s="1"/>
  <c r="M49" i="11"/>
  <c r="M50" i="11"/>
  <c r="G50" i="11" s="1"/>
  <c r="M51" i="11"/>
  <c r="M52" i="11"/>
  <c r="M53" i="11"/>
  <c r="M55" i="11"/>
  <c r="M14" i="12"/>
  <c r="G14" i="12" s="1"/>
  <c r="M15" i="12"/>
  <c r="G15" i="12" s="1"/>
  <c r="M21" i="12"/>
  <c r="M38" i="12"/>
  <c r="M39" i="12"/>
  <c r="N15" i="3"/>
  <c r="N16" i="3"/>
  <c r="N17" i="3"/>
  <c r="N18" i="3"/>
  <c r="N31" i="3"/>
  <c r="N32" i="3"/>
  <c r="N33" i="3"/>
  <c r="N35" i="3"/>
  <c r="N39" i="3"/>
  <c r="N44" i="3"/>
  <c r="N43" i="3" s="1"/>
  <c r="N47" i="3"/>
  <c r="N49" i="3"/>
  <c r="N58" i="3"/>
  <c r="N59" i="3"/>
  <c r="N60" i="3"/>
  <c r="N63" i="3"/>
  <c r="N14" i="4"/>
  <c r="N15" i="4"/>
  <c r="N14" i="5"/>
  <c r="N15" i="5"/>
  <c r="N16" i="5"/>
  <c r="N17" i="5"/>
  <c r="N20" i="5"/>
  <c r="N21" i="5"/>
  <c r="N22" i="5"/>
  <c r="N23" i="5"/>
  <c r="N37" i="5"/>
  <c r="N40" i="5"/>
  <c r="N42" i="5"/>
  <c r="N14" i="6"/>
  <c r="N15" i="6"/>
  <c r="N18" i="6"/>
  <c r="N19" i="6"/>
  <c r="N28" i="6"/>
  <c r="N37" i="6"/>
  <c r="N38" i="6"/>
  <c r="N39" i="6"/>
  <c r="N42" i="6"/>
  <c r="N43" i="6"/>
  <c r="N44" i="6"/>
  <c r="N45" i="6"/>
  <c r="N32" i="6"/>
  <c r="N31" i="6" s="1"/>
  <c r="N30" i="6" s="1"/>
  <c r="N29" i="6" s="1"/>
  <c r="N17" i="7"/>
  <c r="N21" i="7"/>
  <c r="N30" i="7"/>
  <c r="N31" i="7"/>
  <c r="N32" i="7"/>
  <c r="N33" i="7"/>
  <c r="N35" i="7"/>
  <c r="N14" i="8"/>
  <c r="N15" i="8"/>
  <c r="N16" i="8"/>
  <c r="N17" i="8"/>
  <c r="N26" i="8"/>
  <c r="N27" i="8"/>
  <c r="N28" i="8"/>
  <c r="N29" i="8"/>
  <c r="N19" i="8"/>
  <c r="N18" i="8" s="1"/>
  <c r="N31" i="8"/>
  <c r="N30" i="8" s="1"/>
  <c r="N14" i="9"/>
  <c r="N15" i="9"/>
  <c r="N16" i="9"/>
  <c r="N17" i="9"/>
  <c r="N18" i="9"/>
  <c r="N19" i="9"/>
  <c r="N14" i="10"/>
  <c r="N15" i="10"/>
  <c r="N16" i="10"/>
  <c r="N17" i="10"/>
  <c r="N22" i="10"/>
  <c r="N23" i="10"/>
  <c r="N24" i="10"/>
  <c r="N32" i="10"/>
  <c r="N33" i="10"/>
  <c r="N34" i="10"/>
  <c r="N35" i="10"/>
  <c r="N36" i="10"/>
  <c r="N38" i="10"/>
  <c r="N39" i="10"/>
  <c r="N69" i="10"/>
  <c r="N67" i="10" s="1"/>
  <c r="N73" i="10"/>
  <c r="N74" i="10"/>
  <c r="N18" i="11"/>
  <c r="N19" i="11"/>
  <c r="N47" i="11"/>
  <c r="N48" i="11"/>
  <c r="N49" i="11"/>
  <c r="N50" i="11"/>
  <c r="N51" i="11"/>
  <c r="N52" i="11"/>
  <c r="N53" i="11"/>
  <c r="N55" i="11"/>
  <c r="N14" i="12"/>
  <c r="N15" i="12"/>
  <c r="N21" i="12"/>
  <c r="N38" i="12"/>
  <c r="N39" i="12"/>
  <c r="L26" i="3"/>
  <c r="L25" i="3" s="1"/>
  <c r="L9" i="3" s="1"/>
  <c r="H681" i="15"/>
  <c r="L47" i="6"/>
  <c r="L46" i="6" s="1"/>
  <c r="L31" i="8"/>
  <c r="L30" i="8" s="1"/>
  <c r="L26" i="10"/>
  <c r="L25" i="10" s="1"/>
  <c r="L41" i="10"/>
  <c r="L63" i="10"/>
  <c r="L62" i="10" s="1"/>
  <c r="L40" i="11"/>
  <c r="M26" i="3"/>
  <c r="M25" i="3" s="1"/>
  <c r="M9" i="3" s="1"/>
  <c r="K681" i="15"/>
  <c r="M33" i="5" s="1"/>
  <c r="M32" i="5" s="1"/>
  <c r="M31" i="5" s="1"/>
  <c r="M22" i="6"/>
  <c r="M21" i="6"/>
  <c r="M47" i="6"/>
  <c r="M46" i="6" s="1"/>
  <c r="M24" i="7"/>
  <c r="M23" i="7" s="1"/>
  <c r="M19" i="8"/>
  <c r="M18" i="8" s="1"/>
  <c r="M31" i="8"/>
  <c r="M30" i="8" s="1"/>
  <c r="M26" i="10"/>
  <c r="M25" i="10" s="1"/>
  <c r="M41" i="10"/>
  <c r="M63" i="10"/>
  <c r="M62" i="10" s="1"/>
  <c r="N26" i="3"/>
  <c r="N25" i="3" s="1"/>
  <c r="N9" i="3" s="1"/>
  <c r="L681" i="15"/>
  <c r="N22" i="6"/>
  <c r="N21" i="6" s="1"/>
  <c r="N47" i="6"/>
  <c r="N46" i="6" s="1"/>
  <c r="N24" i="7"/>
  <c r="N23" i="7" s="1"/>
  <c r="N9" i="7" s="1"/>
  <c r="N26" i="10"/>
  <c r="N25" i="10" s="1"/>
  <c r="N41" i="10"/>
  <c r="N63" i="10"/>
  <c r="N62" i="10" s="1"/>
  <c r="M52" i="3"/>
  <c r="N52" i="3"/>
  <c r="D135" i="2"/>
  <c r="E135" i="2"/>
  <c r="F135" i="2"/>
  <c r="G135" i="2"/>
  <c r="H135" i="2"/>
  <c r="I135" i="2"/>
  <c r="M135" i="2"/>
  <c r="Q135" i="2"/>
  <c r="R135" i="2"/>
  <c r="D157" i="2"/>
  <c r="E157" i="2"/>
  <c r="F157" i="2"/>
  <c r="G157" i="2"/>
  <c r="H157" i="2"/>
  <c r="I157" i="2"/>
  <c r="M157" i="2"/>
  <c r="Q157" i="2"/>
  <c r="Q158" i="2" s="1"/>
  <c r="Q288" i="2" s="1"/>
  <c r="H11" i="13" s="1"/>
  <c r="H34" i="13" s="1"/>
  <c r="D194" i="2"/>
  <c r="F194" i="2"/>
  <c r="H194" i="2"/>
  <c r="D205" i="2"/>
  <c r="E205" i="2"/>
  <c r="E206" i="2" s="1"/>
  <c r="E289" i="2" s="1"/>
  <c r="F205" i="2"/>
  <c r="F206" i="2" s="1"/>
  <c r="F289" i="2" s="1"/>
  <c r="G205" i="2"/>
  <c r="G206" i="2" s="1"/>
  <c r="G289" i="2" s="1"/>
  <c r="H205" i="2"/>
  <c r="I205" i="2"/>
  <c r="I206" i="2" s="1"/>
  <c r="I289" i="2" s="1"/>
  <c r="K205" i="2"/>
  <c r="M205" i="2"/>
  <c r="D274" i="2"/>
  <c r="D290" i="2" s="1"/>
  <c r="F274" i="2"/>
  <c r="F290" i="2"/>
  <c r="H274" i="2"/>
  <c r="H290" i="2" s="1"/>
  <c r="D287" i="2"/>
  <c r="E287" i="2"/>
  <c r="F287" i="2"/>
  <c r="G287" i="2"/>
  <c r="H287" i="2"/>
  <c r="I287" i="2"/>
  <c r="E290" i="2"/>
  <c r="G290" i="2"/>
  <c r="I290" i="2"/>
  <c r="G46" i="3"/>
  <c r="G45" i="3" s="1"/>
  <c r="G12" i="3" s="1"/>
  <c r="G11" i="3" s="1"/>
  <c r="G7" i="3" s="1"/>
  <c r="G1" i="3" s="1"/>
  <c r="L38" i="3"/>
  <c r="L37" i="3" s="1"/>
  <c r="L36" i="3" s="1"/>
  <c r="L43" i="3"/>
  <c r="L66" i="3"/>
  <c r="L65" i="3" s="1"/>
  <c r="L64" i="3" s="1"/>
  <c r="I43" i="3"/>
  <c r="K43" i="3"/>
  <c r="A8" i="3"/>
  <c r="A9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G9" i="3"/>
  <c r="D16" i="3"/>
  <c r="D17" i="3" s="1"/>
  <c r="D18" i="3" s="1"/>
  <c r="D19" i="3" s="1"/>
  <c r="D20" i="3" s="1"/>
  <c r="D21" i="3" s="1"/>
  <c r="D22" i="3" s="1"/>
  <c r="D23" i="3" s="1"/>
  <c r="A26" i="3"/>
  <c r="A27" i="3"/>
  <c r="A29" i="3"/>
  <c r="A30" i="3"/>
  <c r="A36" i="3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G51" i="3"/>
  <c r="G50" i="3"/>
  <c r="A57" i="3"/>
  <c r="A58" i="3"/>
  <c r="A59" i="3"/>
  <c r="A60" i="3" s="1"/>
  <c r="A61" i="3" s="1"/>
  <c r="A62" i="3" s="1"/>
  <c r="A63" i="3" s="1"/>
  <c r="A65" i="3"/>
  <c r="A66" i="3" s="1"/>
  <c r="A67" i="3" s="1"/>
  <c r="A68" i="3" s="1"/>
  <c r="G66" i="3"/>
  <c r="G65" i="3"/>
  <c r="G28" i="12"/>
  <c r="G17" i="12"/>
  <c r="A8" i="12"/>
  <c r="A9" i="12" s="1"/>
  <c r="A10" i="12" s="1"/>
  <c r="A11" i="12" s="1"/>
  <c r="A12" i="12" s="1"/>
  <c r="A13" i="12" s="1"/>
  <c r="A14" i="12" s="1"/>
  <c r="A15" i="12" s="1"/>
  <c r="G9" i="12"/>
  <c r="G10" i="12"/>
  <c r="A19" i="12"/>
  <c r="A20" i="12"/>
  <c r="A21" i="12" s="1"/>
  <c r="A22" i="12" s="1"/>
  <c r="A23" i="12" s="1"/>
  <c r="A24" i="12" s="1"/>
  <c r="A25" i="12" s="1"/>
  <c r="A26" i="12" s="1"/>
  <c r="G13" i="4"/>
  <c r="G12" i="4"/>
  <c r="G8" i="4" s="1"/>
  <c r="G2" i="4" s="1"/>
  <c r="A8" i="4"/>
  <c r="A9" i="4" s="1"/>
  <c r="A10" i="4" s="1"/>
  <c r="A11" i="4" s="1"/>
  <c r="A12" i="4" s="1"/>
  <c r="A13" i="4" s="1"/>
  <c r="A14" i="4" s="1"/>
  <c r="G9" i="4"/>
  <c r="A8" i="5"/>
  <c r="A9" i="5" s="1"/>
  <c r="A10" i="5" s="1"/>
  <c r="A11" i="5" s="1"/>
  <c r="A12" i="5" s="1"/>
  <c r="A13" i="5" s="1"/>
  <c r="A14" i="5" s="1"/>
  <c r="A15" i="5" s="1"/>
  <c r="A16" i="5" s="1"/>
  <c r="A17" i="5" s="1"/>
  <c r="G9" i="5"/>
  <c r="G10" i="5"/>
  <c r="A19" i="5"/>
  <c r="A20" i="5" s="1"/>
  <c r="A21" i="5" s="1"/>
  <c r="G31" i="5"/>
  <c r="A32" i="5"/>
  <c r="A33" i="5" s="1"/>
  <c r="A35" i="5"/>
  <c r="A36" i="5" s="1"/>
  <c r="A37" i="5" s="1"/>
  <c r="A38" i="5" s="1"/>
  <c r="A39" i="5" s="1"/>
  <c r="A40" i="5" s="1"/>
  <c r="L30" i="6"/>
  <c r="L29" i="6" s="1"/>
  <c r="I47" i="6"/>
  <c r="I46" i="6" s="1"/>
  <c r="K31" i="6"/>
  <c r="K30" i="6" s="1"/>
  <c r="K29" i="6" s="1"/>
  <c r="K47" i="6"/>
  <c r="K46" i="6" s="1"/>
  <c r="A8" i="6"/>
  <c r="A9" i="6" s="1"/>
  <c r="A10" i="6" s="1"/>
  <c r="A11" i="6" s="1"/>
  <c r="A12" i="6" s="1"/>
  <c r="A13" i="6" s="1"/>
  <c r="A18" i="6"/>
  <c r="A19" i="6" s="1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G30" i="6"/>
  <c r="G34" i="6"/>
  <c r="A35" i="6"/>
  <c r="A36" i="6" s="1"/>
  <c r="A37" i="6" s="1"/>
  <c r="A38" i="6" s="1"/>
  <c r="A39" i="6" s="1"/>
  <c r="A40" i="6" s="1"/>
  <c r="A41" i="6" s="1"/>
  <c r="A42" i="6" s="1"/>
  <c r="A43" i="6" s="1"/>
  <c r="A44" i="6" s="1"/>
  <c r="G47" i="6"/>
  <c r="G46" i="6"/>
  <c r="A47" i="6"/>
  <c r="G13" i="7"/>
  <c r="G11" i="7"/>
  <c r="G7" i="7" s="1"/>
  <c r="G29" i="7"/>
  <c r="K50" i="7"/>
  <c r="K48" i="7" s="1"/>
  <c r="K47" i="7" s="1"/>
  <c r="A8" i="7"/>
  <c r="A9" i="7" s="1"/>
  <c r="A10" i="7" s="1"/>
  <c r="A11" i="7" s="1"/>
  <c r="A12" i="7" s="1"/>
  <c r="A13" i="7" s="1"/>
  <c r="A18" i="7" s="1"/>
  <c r="A21" i="7" s="1"/>
  <c r="G9" i="7"/>
  <c r="G23" i="7"/>
  <c r="A24" i="7"/>
  <c r="A25" i="7" s="1"/>
  <c r="A26" i="7" s="1"/>
  <c r="A27" i="7" s="1"/>
  <c r="A28" i="7" s="1"/>
  <c r="A29" i="7" s="1"/>
  <c r="M39" i="7"/>
  <c r="N39" i="7"/>
  <c r="N38" i="7" s="1"/>
  <c r="N37" i="7" s="1"/>
  <c r="L48" i="7"/>
  <c r="L47" i="7" s="1"/>
  <c r="M48" i="7"/>
  <c r="M47" i="7" s="1"/>
  <c r="N48" i="7"/>
  <c r="N47" i="7" s="1"/>
  <c r="L49" i="7"/>
  <c r="M49" i="7"/>
  <c r="N49" i="7"/>
  <c r="G13" i="8"/>
  <c r="G12" i="8" s="1"/>
  <c r="G8" i="8" s="1"/>
  <c r="G2" i="8" s="1"/>
  <c r="G25" i="8"/>
  <c r="G24" i="8"/>
  <c r="I31" i="8"/>
  <c r="I30" i="8" s="1"/>
  <c r="K31" i="8"/>
  <c r="K30" i="8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G9" i="8"/>
  <c r="G18" i="8"/>
  <c r="A19" i="8"/>
  <c r="A20" i="8"/>
  <c r="A23" i="8"/>
  <c r="A24" i="8"/>
  <c r="A25" i="8"/>
  <c r="G13" i="9"/>
  <c r="G12" i="9"/>
  <c r="G8" i="9" s="1"/>
  <c r="G2" i="9" s="1"/>
  <c r="G1" i="9" s="1"/>
  <c r="A8" i="9"/>
  <c r="A9" i="9"/>
  <c r="A10" i="9"/>
  <c r="A11" i="9" s="1"/>
  <c r="A12" i="9" s="1"/>
  <c r="A13" i="9" s="1"/>
  <c r="A14" i="9" s="1"/>
  <c r="A19" i="9"/>
  <c r="G9" i="9"/>
  <c r="G20" i="9"/>
  <c r="A21" i="9"/>
  <c r="A22" i="9" s="1"/>
  <c r="A23" i="9" s="1"/>
  <c r="G21" i="9"/>
  <c r="G13" i="10"/>
  <c r="G11" i="10" s="1"/>
  <c r="G7" i="10" s="1"/>
  <c r="G23" i="10"/>
  <c r="L67" i="10"/>
  <c r="L65" i="10" s="1"/>
  <c r="I67" i="10"/>
  <c r="I26" i="10"/>
  <c r="I25" i="10" s="1"/>
  <c r="I63" i="10"/>
  <c r="I62" i="10" s="1"/>
  <c r="K26" i="10"/>
  <c r="K25" i="10" s="1"/>
  <c r="K63" i="10"/>
  <c r="K62" i="10" s="1"/>
  <c r="A8" i="10"/>
  <c r="A9" i="10" s="1"/>
  <c r="A10" i="10" s="1"/>
  <c r="A11" i="10" s="1"/>
  <c r="A12" i="10" s="1"/>
  <c r="A13" i="10" s="1"/>
  <c r="A14" i="10" s="1"/>
  <c r="A15" i="10" s="1"/>
  <c r="G26" i="10"/>
  <c r="G25" i="10"/>
  <c r="G9" i="10" s="1"/>
  <c r="G10" i="10"/>
  <c r="A19" i="10"/>
  <c r="A20" i="10" s="1"/>
  <c r="A21" i="10" s="1"/>
  <c r="A22" i="10" s="1"/>
  <c r="A23" i="10" s="1"/>
  <c r="A24" i="10" s="1"/>
  <c r="A25" i="10" s="1"/>
  <c r="A26" i="10" s="1"/>
  <c r="A27" i="10" s="1"/>
  <c r="G42" i="10"/>
  <c r="G41" i="10" s="1"/>
  <c r="G68" i="10"/>
  <c r="G67" i="10" s="1"/>
  <c r="G66" i="10" s="1"/>
  <c r="A29" i="10"/>
  <c r="A30" i="10" s="1"/>
  <c r="A31" i="10" s="1"/>
  <c r="A32" i="10" s="1"/>
  <c r="A33" i="10" s="1"/>
  <c r="A34" i="10" s="1"/>
  <c r="A35" i="10" s="1"/>
  <c r="A36" i="10" s="1"/>
  <c r="G29" i="10"/>
  <c r="A38" i="10"/>
  <c r="A39" i="10" s="1"/>
  <c r="A40" i="10" s="1"/>
  <c r="A41" i="10" s="1"/>
  <c r="A42" i="10" s="1"/>
  <c r="A43" i="10" s="1"/>
  <c r="A44" i="10" s="1"/>
  <c r="A45" i="10" s="1"/>
  <c r="A46" i="10" s="1"/>
  <c r="G43" i="10"/>
  <c r="G61" i="10"/>
  <c r="G63" i="10"/>
  <c r="G62" i="10" s="1"/>
  <c r="A57" i="10"/>
  <c r="A58" i="10" s="1"/>
  <c r="A59" i="10" s="1"/>
  <c r="A60" i="10" s="1"/>
  <c r="A61" i="10" s="1"/>
  <c r="A63" i="10"/>
  <c r="A64" i="10"/>
  <c r="A66" i="10"/>
  <c r="A67" i="10" s="1"/>
  <c r="A68" i="10" s="1"/>
  <c r="A69" i="10" s="1"/>
  <c r="A70" i="10" s="1"/>
  <c r="A71" i="10" s="1"/>
  <c r="A72" i="10" s="1"/>
  <c r="A73" i="10" s="1"/>
  <c r="A74" i="10" s="1"/>
  <c r="G21" i="11"/>
  <c r="G24" i="11"/>
  <c r="G44" i="11"/>
  <c r="K41" i="11"/>
  <c r="K40" i="11" s="1"/>
  <c r="A8" i="11"/>
  <c r="A9" i="11"/>
  <c r="A10" i="11" s="1"/>
  <c r="G20" i="11"/>
  <c r="G9" i="11" s="1"/>
  <c r="A12" i="11"/>
  <c r="A13" i="11" s="1"/>
  <c r="A14" i="11" s="1"/>
  <c r="A15" i="11" s="1"/>
  <c r="A18" i="11"/>
  <c r="A19" i="11" s="1"/>
  <c r="A21" i="11"/>
  <c r="A22" i="11" s="1"/>
  <c r="A25" i="1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G25" i="11"/>
  <c r="G26" i="11"/>
  <c r="G41" i="11"/>
  <c r="G40" i="11" s="1"/>
  <c r="K117" i="15"/>
  <c r="K122" i="15" s="1"/>
  <c r="L117" i="15"/>
  <c r="L122" i="15" s="1"/>
  <c r="K219" i="15"/>
  <c r="L219" i="15"/>
  <c r="K228" i="15"/>
  <c r="L228" i="15"/>
  <c r="K272" i="15"/>
  <c r="L272" i="15"/>
  <c r="K283" i="15"/>
  <c r="L283" i="15"/>
  <c r="K289" i="15"/>
  <c r="L289" i="15"/>
  <c r="L294" i="15" s="1"/>
  <c r="K301" i="15"/>
  <c r="K312" i="15" s="1"/>
  <c r="L301" i="15"/>
  <c r="L312" i="15" s="1"/>
  <c r="K375" i="15"/>
  <c r="L375" i="15"/>
  <c r="L620" i="15"/>
  <c r="G699" i="15"/>
  <c r="L744" i="15"/>
  <c r="N22" i="11" s="1"/>
  <c r="N21" i="11" s="1"/>
  <c r="N20" i="11" s="1"/>
  <c r="G23" i="8"/>
  <c r="G19" i="8" s="1"/>
  <c r="G28" i="7"/>
  <c r="G27" i="7"/>
  <c r="G24" i="7" s="1"/>
  <c r="G11" i="9"/>
  <c r="G7" i="9"/>
  <c r="G11" i="4"/>
  <c r="G7" i="4" s="1"/>
  <c r="G11" i="8"/>
  <c r="G7" i="8" s="1"/>
  <c r="G12" i="7"/>
  <c r="G8" i="7" s="1"/>
  <c r="G2" i="7" s="1"/>
  <c r="G1" i="7" s="1"/>
  <c r="N34" i="7"/>
  <c r="F369" i="15"/>
  <c r="H238" i="15"/>
  <c r="O76" i="1"/>
  <c r="N76" i="1"/>
  <c r="K92" i="15"/>
  <c r="D151" i="15"/>
  <c r="N36" i="11"/>
  <c r="M38" i="11"/>
  <c r="N18" i="5"/>
  <c r="M19" i="3"/>
  <c r="G19" i="3" s="1"/>
  <c r="N84" i="2"/>
  <c r="N50" i="10"/>
  <c r="N49" i="10" s="1"/>
  <c r="N48" i="10" s="1"/>
  <c r="N47" i="10" s="1"/>
  <c r="K49" i="10"/>
  <c r="K48" i="10" s="1"/>
  <c r="K47" i="10" s="1"/>
  <c r="D626" i="15"/>
  <c r="D188" i="15"/>
  <c r="D231" i="15" s="1"/>
  <c r="G151" i="15"/>
  <c r="K369" i="15"/>
  <c r="L358" i="15"/>
  <c r="K358" i="15"/>
  <c r="G238" i="15"/>
  <c r="L92" i="15"/>
  <c r="N61" i="3"/>
  <c r="M40" i="6"/>
  <c r="H358" i="15"/>
  <c r="E151" i="15"/>
  <c r="H369" i="15"/>
  <c r="D486" i="15"/>
  <c r="N42" i="11"/>
  <c r="N41" i="11" s="1"/>
  <c r="N40" i="11" s="1"/>
  <c r="K760" i="15"/>
  <c r="M29" i="12"/>
  <c r="M28" i="12" s="1"/>
  <c r="M27" i="12" s="1"/>
  <c r="M9" i="12" s="1"/>
  <c r="D358" i="15"/>
  <c r="H44" i="10"/>
  <c r="H43" i="10" s="1"/>
  <c r="E358" i="15"/>
  <c r="I45" i="10"/>
  <c r="I44" i="10" s="1"/>
  <c r="I43" i="10" s="1"/>
  <c r="H151" i="15"/>
  <c r="N18" i="7"/>
  <c r="N40" i="6"/>
  <c r="G358" i="15"/>
  <c r="K45" i="10"/>
  <c r="K44" i="10" s="1"/>
  <c r="K43" i="10" s="1"/>
  <c r="D13" i="15"/>
  <c r="D7" i="15" s="1"/>
  <c r="D105" i="15" s="1"/>
  <c r="G128" i="15"/>
  <c r="L32" i="5"/>
  <c r="L31" i="5" s="1"/>
  <c r="N33" i="5"/>
  <c r="N32" i="5" s="1"/>
  <c r="N31" i="5" s="1"/>
  <c r="K157" i="2"/>
  <c r="R157" i="2"/>
  <c r="G15" i="3" l="1"/>
  <c r="I9" i="5"/>
  <c r="K21" i="9"/>
  <c r="K20" i="9" s="1"/>
  <c r="K9" i="9" s="1"/>
  <c r="I508" i="15"/>
  <c r="I441" i="15" s="1"/>
  <c r="K28" i="11"/>
  <c r="K442" i="15"/>
  <c r="L188" i="15"/>
  <c r="L231" i="15" s="1"/>
  <c r="N39" i="5"/>
  <c r="L151" i="15"/>
  <c r="L9" i="5"/>
  <c r="M9" i="5"/>
  <c r="H626" i="15"/>
  <c r="G169" i="15"/>
  <c r="R158" i="2"/>
  <c r="G1" i="4"/>
  <c r="G1" i="8"/>
  <c r="K294" i="15"/>
  <c r="K128" i="15"/>
  <c r="K520" i="15"/>
  <c r="M28" i="11" s="1"/>
  <c r="D275" i="15"/>
  <c r="E442" i="15"/>
  <c r="G275" i="15"/>
  <c r="G65" i="10"/>
  <c r="G231" i="15"/>
  <c r="L520" i="15"/>
  <c r="F379" i="15"/>
  <c r="L61" i="3"/>
  <c r="L57" i="3" s="1"/>
  <c r="L56" i="3" s="1"/>
  <c r="L55" i="3" s="1"/>
  <c r="J92" i="15"/>
  <c r="G12" i="10"/>
  <c r="D158" i="2"/>
  <c r="D288" i="2" s="1"/>
  <c r="G21" i="10"/>
  <c r="G19" i="10" s="1"/>
  <c r="H26" i="3"/>
  <c r="H25" i="3" s="1"/>
  <c r="H9" i="3" s="1"/>
  <c r="E769" i="15"/>
  <c r="E812" i="15" s="1"/>
  <c r="R206" i="2"/>
  <c r="L819" i="15" s="1"/>
  <c r="K238" i="15"/>
  <c r="K275" i="15" s="1"/>
  <c r="G369" i="15"/>
  <c r="G379" i="15" s="1"/>
  <c r="J128" i="15"/>
  <c r="J169" i="15" s="1"/>
  <c r="L19" i="5"/>
  <c r="L13" i="5" s="1"/>
  <c r="L12" i="5" s="1"/>
  <c r="J369" i="15"/>
  <c r="J379" i="15" s="1"/>
  <c r="L50" i="10"/>
  <c r="L49" i="10" s="1"/>
  <c r="L48" i="10" s="1"/>
  <c r="L47" i="10" s="1"/>
  <c r="N9" i="6"/>
  <c r="G294" i="15"/>
  <c r="K379" i="15"/>
  <c r="J520" i="15"/>
  <c r="L379" i="15"/>
  <c r="J188" i="15"/>
  <c r="J231" i="15" s="1"/>
  <c r="L40" i="6"/>
  <c r="L769" i="15"/>
  <c r="L812" i="15" s="1"/>
  <c r="I18" i="13" s="1"/>
  <c r="I35" i="13" s="1"/>
  <c r="M9" i="6"/>
  <c r="L458" i="15"/>
  <c r="L442" i="15" s="1"/>
  <c r="I769" i="15"/>
  <c r="J9" i="6"/>
  <c r="N27" i="11"/>
  <c r="O158" i="2"/>
  <c r="O288" i="2" s="1"/>
  <c r="J13" i="15"/>
  <c r="J7" i="15" s="1"/>
  <c r="J105" i="15" s="1"/>
  <c r="L425" i="15"/>
  <c r="L422" i="15" s="1"/>
  <c r="K425" i="15"/>
  <c r="G17" i="11" s="1"/>
  <c r="K15" i="11"/>
  <c r="I387" i="15"/>
  <c r="G39" i="13"/>
  <c r="I369" i="15"/>
  <c r="I379" i="15" s="1"/>
  <c r="I275" i="15"/>
  <c r="I169" i="15"/>
  <c r="M29" i="7"/>
  <c r="M28" i="7" s="1"/>
  <c r="I9" i="6"/>
  <c r="N30" i="5"/>
  <c r="N9" i="5"/>
  <c r="N9" i="8"/>
  <c r="M9" i="8"/>
  <c r="N29" i="7"/>
  <c r="N28" i="7" s="1"/>
  <c r="N27" i="7" s="1"/>
  <c r="H9" i="5"/>
  <c r="H425" i="15"/>
  <c r="H379" i="15"/>
  <c r="H231" i="15"/>
  <c r="G626" i="15"/>
  <c r="D39" i="13"/>
  <c r="I26" i="3"/>
  <c r="I25" i="3" s="1"/>
  <c r="I9" i="3" s="1"/>
  <c r="F769" i="15"/>
  <c r="F812" i="15" s="1"/>
  <c r="C39" i="13"/>
  <c r="H9" i="11"/>
  <c r="Q120" i="2"/>
  <c r="N27" i="1"/>
  <c r="Q9" i="2"/>
  <c r="Q32" i="2" s="1"/>
  <c r="O27" i="1"/>
  <c r="I819" i="15"/>
  <c r="F12" i="13"/>
  <c r="O9" i="2"/>
  <c r="O32" i="2" s="1"/>
  <c r="L10" i="1"/>
  <c r="L5" i="1" s="1"/>
  <c r="P69" i="2"/>
  <c r="P290" i="2"/>
  <c r="J820" i="15" s="1"/>
  <c r="G13" i="13"/>
  <c r="L9" i="2"/>
  <c r="J5" i="1"/>
  <c r="L60" i="11"/>
  <c r="K9" i="10"/>
  <c r="N9" i="10"/>
  <c r="L9" i="10"/>
  <c r="M9" i="10"/>
  <c r="J9" i="10"/>
  <c r="I9" i="10"/>
  <c r="H9" i="10"/>
  <c r="L9" i="6"/>
  <c r="K9" i="6"/>
  <c r="R120" i="2"/>
  <c r="H422" i="15"/>
  <c r="H386" i="15" s="1"/>
  <c r="D392" i="15"/>
  <c r="D387" i="15" s="1"/>
  <c r="D425" i="15"/>
  <c r="H19" i="12"/>
  <c r="H18" i="12" s="1"/>
  <c r="H17" i="12" s="1"/>
  <c r="L38" i="7"/>
  <c r="L37" i="7" s="1"/>
  <c r="D422" i="15"/>
  <c r="L26" i="6"/>
  <c r="L25" i="6" s="1"/>
  <c r="L20" i="6" s="1"/>
  <c r="M110" i="1"/>
  <c r="J158" i="1"/>
  <c r="J168" i="1" s="1"/>
  <c r="L206" i="2"/>
  <c r="L289" i="2" s="1"/>
  <c r="L32" i="2"/>
  <c r="F626" i="15"/>
  <c r="J45" i="10"/>
  <c r="J44" i="10" s="1"/>
  <c r="J43" i="10" s="1"/>
  <c r="F294" i="15"/>
  <c r="F275" i="15"/>
  <c r="F231" i="15"/>
  <c r="J36" i="6"/>
  <c r="J35" i="6" s="1"/>
  <c r="J34" i="6" s="1"/>
  <c r="F128" i="15"/>
  <c r="G33" i="5"/>
  <c r="G32" i="5" s="1"/>
  <c r="E626" i="15"/>
  <c r="E294" i="15"/>
  <c r="I13" i="7"/>
  <c r="I12" i="7" s="1"/>
  <c r="I11" i="7" s="1"/>
  <c r="E128" i="15"/>
  <c r="E169" i="15" s="1"/>
  <c r="I13" i="5"/>
  <c r="I12" i="5" s="1"/>
  <c r="I11" i="5" s="1"/>
  <c r="E13" i="15"/>
  <c r="E7" i="15" s="1"/>
  <c r="E105" i="15" s="1"/>
  <c r="K9" i="2"/>
  <c r="K32" i="2" s="1"/>
  <c r="H51" i="3"/>
  <c r="H50" i="3" s="1"/>
  <c r="H10" i="3" s="1"/>
  <c r="E256" i="15"/>
  <c r="E275" i="15" s="1"/>
  <c r="J29" i="7"/>
  <c r="J28" i="7" s="1"/>
  <c r="J27" i="7" s="1"/>
  <c r="J49" i="7"/>
  <c r="J48" i="7" s="1"/>
  <c r="J47" i="7" s="1"/>
  <c r="I19" i="12"/>
  <c r="I18" i="12" s="1"/>
  <c r="I17" i="12" s="1"/>
  <c r="N37" i="12"/>
  <c r="N36" i="12" s="1"/>
  <c r="N35" i="12" s="1"/>
  <c r="M30" i="5"/>
  <c r="G58" i="10"/>
  <c r="G56" i="10" s="1"/>
  <c r="K13" i="15"/>
  <c r="K7" i="15" s="1"/>
  <c r="K105" i="15" s="1"/>
  <c r="J294" i="15"/>
  <c r="M23" i="3"/>
  <c r="G23" i="3" s="1"/>
  <c r="M27" i="11"/>
  <c r="Q274" i="2"/>
  <c r="H13" i="13" s="1"/>
  <c r="O158" i="1"/>
  <c r="O168" i="1" s="1"/>
  <c r="P158" i="2"/>
  <c r="P288" i="2" s="1"/>
  <c r="J769" i="15"/>
  <c r="J812" i="15" s="1"/>
  <c r="G18" i="13" s="1"/>
  <c r="I626" i="15"/>
  <c r="I231" i="15"/>
  <c r="O274" i="2"/>
  <c r="O290" i="2" s="1"/>
  <c r="O120" i="2"/>
  <c r="N158" i="2"/>
  <c r="N288" i="2" s="1"/>
  <c r="H818" i="15" s="1"/>
  <c r="N120" i="2"/>
  <c r="N69" i="2"/>
  <c r="M158" i="2"/>
  <c r="M288" i="2" s="1"/>
  <c r="G813" i="15"/>
  <c r="E39" i="13" s="1"/>
  <c r="G422" i="15"/>
  <c r="G105" i="15"/>
  <c r="F7" i="15"/>
  <c r="F105" i="15" s="1"/>
  <c r="G158" i="2"/>
  <c r="G288" i="2" s="1"/>
  <c r="H158" i="2"/>
  <c r="H288" i="2" s="1"/>
  <c r="M69" i="2"/>
  <c r="O110" i="1"/>
  <c r="J69" i="1"/>
  <c r="J69" i="2"/>
  <c r="K69" i="2"/>
  <c r="J274" i="2"/>
  <c r="J290" i="2" s="1"/>
  <c r="D820" i="15" s="1"/>
  <c r="L274" i="2"/>
  <c r="L290" i="2" s="1"/>
  <c r="E158" i="2"/>
  <c r="E288" i="2" s="1"/>
  <c r="E291" i="2" s="1"/>
  <c r="Q206" i="2"/>
  <c r="Q289" i="2" s="1"/>
  <c r="K819" i="15" s="1"/>
  <c r="N157" i="1"/>
  <c r="N158" i="1" s="1"/>
  <c r="N168" i="1" s="1"/>
  <c r="J206" i="2"/>
  <c r="J289" i="2" s="1"/>
  <c r="D819" i="15" s="1"/>
  <c r="O69" i="2"/>
  <c r="L818" i="15"/>
  <c r="R288" i="2"/>
  <c r="I11" i="13" s="1"/>
  <c r="I34" i="13" s="1"/>
  <c r="R69" i="2"/>
  <c r="K206" i="2"/>
  <c r="K289" i="2" s="1"/>
  <c r="M206" i="2"/>
  <c r="M289" i="2" s="1"/>
  <c r="I158" i="2"/>
  <c r="I288" i="2" s="1"/>
  <c r="L69" i="2"/>
  <c r="P120" i="2"/>
  <c r="K158" i="2"/>
  <c r="K288" i="2" s="1"/>
  <c r="N274" i="2"/>
  <c r="P32" i="2"/>
  <c r="G291" i="2"/>
  <c r="H206" i="2"/>
  <c r="H289" i="2" s="1"/>
  <c r="F158" i="2"/>
  <c r="F288" i="2" s="1"/>
  <c r="F291" i="2" s="1"/>
  <c r="J32" i="2"/>
  <c r="R274" i="2"/>
  <c r="J626" i="15"/>
  <c r="G13" i="12"/>
  <c r="G12" i="12" s="1"/>
  <c r="K38" i="7"/>
  <c r="K37" i="7" s="1"/>
  <c r="M38" i="3"/>
  <c r="M37" i="3" s="1"/>
  <c r="M36" i="3" s="1"/>
  <c r="J32" i="12"/>
  <c r="J31" i="12" s="1"/>
  <c r="J30" i="12" s="1"/>
  <c r="J19" i="8"/>
  <c r="J18" i="8" s="1"/>
  <c r="J9" i="8" s="1"/>
  <c r="H31" i="6"/>
  <c r="H30" i="6" s="1"/>
  <c r="H29" i="6" s="1"/>
  <c r="H45" i="3"/>
  <c r="H42" i="3" s="1"/>
  <c r="J72" i="10"/>
  <c r="J71" i="10" s="1"/>
  <c r="J70" i="10" s="1"/>
  <c r="I45" i="3"/>
  <c r="I42" i="3" s="1"/>
  <c r="H769" i="15"/>
  <c r="H812" i="15" s="1"/>
  <c r="L13" i="3"/>
  <c r="L12" i="3" s="1"/>
  <c r="H13" i="15"/>
  <c r="H7" i="15" s="1"/>
  <c r="H105" i="15" s="1"/>
  <c r="H13" i="5"/>
  <c r="H12" i="5" s="1"/>
  <c r="D128" i="15"/>
  <c r="D169" i="15" s="1"/>
  <c r="D458" i="15"/>
  <c r="H12" i="11"/>
  <c r="H275" i="15"/>
  <c r="H169" i="15"/>
  <c r="L169" i="15"/>
  <c r="L275" i="15"/>
  <c r="D520" i="15"/>
  <c r="D508" i="15" s="1"/>
  <c r="D769" i="15"/>
  <c r="D812" i="15" s="1"/>
  <c r="H294" i="15"/>
  <c r="L626" i="15"/>
  <c r="N29" i="12"/>
  <c r="N28" i="12" s="1"/>
  <c r="N27" i="12" s="1"/>
  <c r="N9" i="12" s="1"/>
  <c r="L760" i="15"/>
  <c r="I9" i="11"/>
  <c r="N19" i="3"/>
  <c r="L13" i="15"/>
  <c r="L7" i="15" s="1"/>
  <c r="L105" i="15" s="1"/>
  <c r="K151" i="15"/>
  <c r="M38" i="5"/>
  <c r="G38" i="5" s="1"/>
  <c r="G36" i="5" s="1"/>
  <c r="M41" i="6"/>
  <c r="M36" i="6" s="1"/>
  <c r="M35" i="6" s="1"/>
  <c r="M34" i="6" s="1"/>
  <c r="K188" i="15"/>
  <c r="K231" i="15" s="1"/>
  <c r="M15" i="11"/>
  <c r="G15" i="11" s="1"/>
  <c r="E188" i="15"/>
  <c r="E231" i="15" s="1"/>
  <c r="I36" i="6"/>
  <c r="I35" i="6" s="1"/>
  <c r="I34" i="6" s="1"/>
  <c r="E369" i="15"/>
  <c r="E379" i="15" s="1"/>
  <c r="I49" i="10"/>
  <c r="I48" i="10" s="1"/>
  <c r="I47" i="10" s="1"/>
  <c r="J36" i="5"/>
  <c r="J35" i="5" s="1"/>
  <c r="I13" i="15"/>
  <c r="I7" i="15" s="1"/>
  <c r="I105" i="15" s="1"/>
  <c r="H13" i="10"/>
  <c r="H12" i="10" s="1"/>
  <c r="J425" i="15"/>
  <c r="J422" i="15" s="1"/>
  <c r="L17" i="11" s="1"/>
  <c r="N51" i="3"/>
  <c r="N50" i="3" s="1"/>
  <c r="N10" i="3" s="1"/>
  <c r="G31" i="10"/>
  <c r="G28" i="10" s="1"/>
  <c r="J19" i="12"/>
  <c r="J18" i="12" s="1"/>
  <c r="J17" i="12" s="1"/>
  <c r="I422" i="15"/>
  <c r="K17" i="11" s="1"/>
  <c r="J392" i="15"/>
  <c r="I48" i="7"/>
  <c r="I47" i="7" s="1"/>
  <c r="I72" i="10"/>
  <c r="I71" i="10" s="1"/>
  <c r="I70" i="10" s="1"/>
  <c r="L72" i="10"/>
  <c r="L71" i="10" s="1"/>
  <c r="L70" i="10" s="1"/>
  <c r="I26" i="6"/>
  <c r="I25" i="6" s="1"/>
  <c r="I20" i="6" s="1"/>
  <c r="L45" i="3"/>
  <c r="L42" i="3" s="1"/>
  <c r="N13" i="12"/>
  <c r="N12" i="12" s="1"/>
  <c r="N11" i="12" s="1"/>
  <c r="N72" i="10"/>
  <c r="N71" i="10" s="1"/>
  <c r="N70" i="10" s="1"/>
  <c r="N13" i="4"/>
  <c r="N12" i="4" s="1"/>
  <c r="N8" i="4" s="1"/>
  <c r="N45" i="3"/>
  <c r="N42" i="3" s="1"/>
  <c r="M45" i="3"/>
  <c r="M42" i="3" s="1"/>
  <c r="I38" i="3"/>
  <c r="I37" i="3" s="1"/>
  <c r="I36" i="3" s="1"/>
  <c r="I32" i="12"/>
  <c r="I31" i="12" s="1"/>
  <c r="I30" i="12" s="1"/>
  <c r="L32" i="12"/>
  <c r="L31" i="12" s="1"/>
  <c r="L30" i="12" s="1"/>
  <c r="J13" i="12"/>
  <c r="J12" i="12" s="1"/>
  <c r="J11" i="12" s="1"/>
  <c r="J13" i="8"/>
  <c r="J12" i="8" s="1"/>
  <c r="J21" i="10"/>
  <c r="J20" i="10" s="1"/>
  <c r="J19" i="10" s="1"/>
  <c r="M51" i="3"/>
  <c r="M50" i="3" s="1"/>
  <c r="M10" i="3" s="1"/>
  <c r="H24" i="7"/>
  <c r="H23" i="7" s="1"/>
  <c r="H9" i="7" s="1"/>
  <c r="I58" i="10"/>
  <c r="I57" i="10" s="1"/>
  <c r="I56" i="10" s="1"/>
  <c r="H24" i="12"/>
  <c r="H23" i="12" s="1"/>
  <c r="H22" i="12" s="1"/>
  <c r="I13" i="4"/>
  <c r="I12" i="4" s="1"/>
  <c r="I11" i="4" s="1"/>
  <c r="L19" i="12"/>
  <c r="L18" i="12" s="1"/>
  <c r="L17" i="12" s="1"/>
  <c r="K72" i="10"/>
  <c r="K71" i="10" s="1"/>
  <c r="K70" i="10" s="1"/>
  <c r="L13" i="12"/>
  <c r="L12" i="12" s="1"/>
  <c r="L11" i="12" s="1"/>
  <c r="I51" i="3"/>
  <c r="I50" i="3" s="1"/>
  <c r="I10" i="3" s="1"/>
  <c r="H13" i="6"/>
  <c r="H12" i="6" s="1"/>
  <c r="H11" i="6" s="1"/>
  <c r="K37" i="12"/>
  <c r="K36" i="12" s="1"/>
  <c r="K35" i="12" s="1"/>
  <c r="K50" i="3"/>
  <c r="K10" i="3" s="1"/>
  <c r="K45" i="3"/>
  <c r="K42" i="3" s="1"/>
  <c r="N58" i="10"/>
  <c r="N57" i="10" s="1"/>
  <c r="K13" i="12"/>
  <c r="K12" i="12" s="1"/>
  <c r="K11" i="12" s="1"/>
  <c r="H49" i="7"/>
  <c r="H48" i="7" s="1"/>
  <c r="H47" i="7" s="1"/>
  <c r="J13" i="4"/>
  <c r="J12" i="4" s="1"/>
  <c r="J11" i="4" s="1"/>
  <c r="J50" i="3"/>
  <c r="J10" i="3" s="1"/>
  <c r="H72" i="10"/>
  <c r="H71" i="10" s="1"/>
  <c r="H70" i="10" s="1"/>
  <c r="I24" i="12"/>
  <c r="I22" i="12" s="1"/>
  <c r="L51" i="3"/>
  <c r="L50" i="3" s="1"/>
  <c r="L10" i="3" s="1"/>
  <c r="H58" i="10"/>
  <c r="H57" i="10" s="1"/>
  <c r="H56" i="10" s="1"/>
  <c r="L158" i="1"/>
  <c r="L168" i="1" s="1"/>
  <c r="M274" i="2"/>
  <c r="M290" i="2" s="1"/>
  <c r="D818" i="15"/>
  <c r="M9" i="2"/>
  <c r="M32" i="2" s="1"/>
  <c r="I291" i="2"/>
  <c r="K158" i="1"/>
  <c r="K168" i="1" s="1"/>
  <c r="K274" i="2"/>
  <c r="L120" i="2"/>
  <c r="K818" i="15"/>
  <c r="N133" i="1"/>
  <c r="N167" i="1" s="1"/>
  <c r="Q69" i="2"/>
  <c r="L288" i="2"/>
  <c r="D206" i="2"/>
  <c r="D289" i="2" s="1"/>
  <c r="D291" i="2" s="1"/>
  <c r="N110" i="1"/>
  <c r="I158" i="1"/>
  <c r="I168" i="1" s="1"/>
  <c r="O10" i="1"/>
  <c r="O5" i="1" s="1"/>
  <c r="R9" i="2"/>
  <c r="R32" i="2" s="1"/>
  <c r="N206" i="2"/>
  <c r="N289" i="2" s="1"/>
  <c r="N32" i="2"/>
  <c r="P206" i="2"/>
  <c r="P289" i="2" s="1"/>
  <c r="K69" i="1"/>
  <c r="I5" i="1"/>
  <c r="H57" i="3"/>
  <c r="H56" i="3" s="1"/>
  <c r="H55" i="3" s="1"/>
  <c r="G11" i="6"/>
  <c r="G7" i="6" s="1"/>
  <c r="G1" i="6" s="1"/>
  <c r="I31" i="10"/>
  <c r="I30" i="10" s="1"/>
  <c r="I29" i="10" s="1"/>
  <c r="K13" i="8"/>
  <c r="K12" i="8" s="1"/>
  <c r="J13" i="10"/>
  <c r="J12" i="10" s="1"/>
  <c r="J30" i="10"/>
  <c r="J13" i="9"/>
  <c r="J12" i="9" s="1"/>
  <c r="J8" i="9" s="1"/>
  <c r="J7" i="9" s="1"/>
  <c r="H26" i="6"/>
  <c r="H25" i="6" s="1"/>
  <c r="J14" i="3"/>
  <c r="J13" i="3" s="1"/>
  <c r="H36" i="5"/>
  <c r="H35" i="5" s="1"/>
  <c r="H34" i="5" s="1"/>
  <c r="K46" i="11"/>
  <c r="K45" i="11" s="1"/>
  <c r="K44" i="11" s="1"/>
  <c r="K13" i="10"/>
  <c r="K12" i="10" s="1"/>
  <c r="I13" i="9"/>
  <c r="I12" i="9" s="1"/>
  <c r="I8" i="9" s="1"/>
  <c r="I7" i="9" s="1"/>
  <c r="K19" i="8"/>
  <c r="K18" i="8" s="1"/>
  <c r="K9" i="8" s="1"/>
  <c r="L12" i="6"/>
  <c r="M26" i="6"/>
  <c r="M25" i="6" s="1"/>
  <c r="M20" i="6" s="1"/>
  <c r="H32" i="12"/>
  <c r="H31" i="12" s="1"/>
  <c r="H30" i="12" s="1"/>
  <c r="H38" i="3"/>
  <c r="H37" i="3" s="1"/>
  <c r="H36" i="3" s="1"/>
  <c r="L24" i="7"/>
  <c r="L23" i="7" s="1"/>
  <c r="H13" i="9"/>
  <c r="H12" i="9" s="1"/>
  <c r="H8" i="9" s="1"/>
  <c r="H7" i="9" s="1"/>
  <c r="J13" i="6"/>
  <c r="J12" i="6" s="1"/>
  <c r="J11" i="6" s="1"/>
  <c r="G44" i="3"/>
  <c r="G43" i="3" s="1"/>
  <c r="G41" i="3" s="1"/>
  <c r="K49" i="7"/>
  <c r="I30" i="5"/>
  <c r="G36" i="3"/>
  <c r="G37" i="3"/>
  <c r="K30" i="3"/>
  <c r="K29" i="3" s="1"/>
  <c r="K28" i="3" s="1"/>
  <c r="M66" i="10"/>
  <c r="L19" i="8"/>
  <c r="L18" i="8" s="1"/>
  <c r="L9" i="8" s="1"/>
  <c r="K24" i="12"/>
  <c r="K22" i="12" s="1"/>
  <c r="N24" i="12"/>
  <c r="J26" i="6"/>
  <c r="J25" i="6" s="1"/>
  <c r="J20" i="6" s="1"/>
  <c r="H13" i="7"/>
  <c r="H12" i="7" s="1"/>
  <c r="N31" i="11"/>
  <c r="K36" i="5"/>
  <c r="K35" i="5" s="1"/>
  <c r="K34" i="5" s="1"/>
  <c r="G24" i="12"/>
  <c r="G22" i="12" s="1"/>
  <c r="N32" i="12"/>
  <c r="N31" i="12" s="1"/>
  <c r="N30" i="12" s="1"/>
  <c r="L30" i="5"/>
  <c r="I28" i="7"/>
  <c r="I27" i="7" s="1"/>
  <c r="I13" i="3"/>
  <c r="K13" i="5"/>
  <c r="K12" i="5" s="1"/>
  <c r="K11" i="5" s="1"/>
  <c r="I37" i="12"/>
  <c r="I36" i="12" s="1"/>
  <c r="N21" i="10"/>
  <c r="N20" i="10" s="1"/>
  <c r="N19" i="10" s="1"/>
  <c r="N25" i="8"/>
  <c r="N24" i="8" s="1"/>
  <c r="N23" i="8" s="1"/>
  <c r="N13" i="8"/>
  <c r="N12" i="8" s="1"/>
  <c r="N11" i="8" s="1"/>
  <c r="N26" i="6"/>
  <c r="N25" i="6" s="1"/>
  <c r="N20" i="6" s="1"/>
  <c r="N13" i="6"/>
  <c r="N12" i="6" s="1"/>
  <c r="N11" i="6" s="1"/>
  <c r="N30" i="3"/>
  <c r="N29" i="3" s="1"/>
  <c r="N28" i="3" s="1"/>
  <c r="M37" i="12"/>
  <c r="M36" i="12" s="1"/>
  <c r="M35" i="12" s="1"/>
  <c r="M13" i="9"/>
  <c r="M12" i="9" s="1"/>
  <c r="M8" i="9" s="1"/>
  <c r="M7" i="9" s="1"/>
  <c r="M13" i="8"/>
  <c r="M12" i="8" s="1"/>
  <c r="M11" i="8" s="1"/>
  <c r="H46" i="11"/>
  <c r="H45" i="11" s="1"/>
  <c r="H44" i="11" s="1"/>
  <c r="H25" i="8"/>
  <c r="H24" i="8" s="1"/>
  <c r="H23" i="8" s="1"/>
  <c r="J9" i="7"/>
  <c r="I24" i="7"/>
  <c r="I23" i="7" s="1"/>
  <c r="I9" i="7" s="1"/>
  <c r="K30" i="5"/>
  <c r="N65" i="10"/>
  <c r="N66" i="10"/>
  <c r="H30" i="5"/>
  <c r="I13" i="10"/>
  <c r="I12" i="10" s="1"/>
  <c r="M31" i="10"/>
  <c r="M30" i="10" s="1"/>
  <c r="M29" i="10" s="1"/>
  <c r="M28" i="10" s="1"/>
  <c r="I30" i="3"/>
  <c r="I29" i="3" s="1"/>
  <c r="I28" i="3" s="1"/>
  <c r="J9" i="11"/>
  <c r="J58" i="10"/>
  <c r="J57" i="10" s="1"/>
  <c r="J56" i="10" s="1"/>
  <c r="L46" i="11"/>
  <c r="L45" i="11" s="1"/>
  <c r="L44" i="11" s="1"/>
  <c r="N46" i="11"/>
  <c r="N45" i="11" s="1"/>
  <c r="N44" i="11" s="1"/>
  <c r="M19" i="12"/>
  <c r="M18" i="12" s="1"/>
  <c r="M17" i="12" s="1"/>
  <c r="M24" i="12"/>
  <c r="L66" i="10"/>
  <c r="M31" i="6"/>
  <c r="M30" i="6" s="1"/>
  <c r="M29" i="6" s="1"/>
  <c r="J13" i="7"/>
  <c r="J12" i="7" s="1"/>
  <c r="J11" i="7" s="1"/>
  <c r="K12" i="7"/>
  <c r="K11" i="7" s="1"/>
  <c r="K21" i="10"/>
  <c r="K20" i="10" s="1"/>
  <c r="K19" i="10" s="1"/>
  <c r="M38" i="7"/>
  <c r="M37" i="7" s="1"/>
  <c r="M9" i="7" s="1"/>
  <c r="I57" i="3"/>
  <c r="I56" i="3" s="1"/>
  <c r="I55" i="3" s="1"/>
  <c r="L13" i="7"/>
  <c r="L12" i="7" s="1"/>
  <c r="K13" i="4"/>
  <c r="K12" i="4" s="1"/>
  <c r="K8" i="4" s="1"/>
  <c r="K7" i="4" s="1"/>
  <c r="L13" i="4"/>
  <c r="L12" i="4" s="1"/>
  <c r="L11" i="4" s="1"/>
  <c r="K19" i="12"/>
  <c r="K18" i="12" s="1"/>
  <c r="K17" i="12" s="1"/>
  <c r="L37" i="12"/>
  <c r="L36" i="12" s="1"/>
  <c r="L35" i="12" s="1"/>
  <c r="K38" i="3"/>
  <c r="K37" i="3" s="1"/>
  <c r="K36" i="3" s="1"/>
  <c r="L24" i="12"/>
  <c r="K32" i="12"/>
  <c r="K31" i="12" s="1"/>
  <c r="K30" i="12" s="1"/>
  <c r="M32" i="12"/>
  <c r="M31" i="12" s="1"/>
  <c r="M30" i="12" s="1"/>
  <c r="H13" i="8"/>
  <c r="H12" i="8" s="1"/>
  <c r="J25" i="8"/>
  <c r="J24" i="8" s="1"/>
  <c r="J23" i="8" s="1"/>
  <c r="J45" i="3"/>
  <c r="J42" i="3" s="1"/>
  <c r="K65" i="10"/>
  <c r="K66" i="10"/>
  <c r="K57" i="3"/>
  <c r="K56" i="3" s="1"/>
  <c r="K55" i="3" s="1"/>
  <c r="L30" i="3"/>
  <c r="L29" i="3" s="1"/>
  <c r="L28" i="3" s="1"/>
  <c r="M21" i="10"/>
  <c r="M20" i="10" s="1"/>
  <c r="M19" i="10" s="1"/>
  <c r="M13" i="10"/>
  <c r="M12" i="10" s="1"/>
  <c r="M11" i="10" s="1"/>
  <c r="M25" i="8"/>
  <c r="M24" i="8" s="1"/>
  <c r="M23" i="8" s="1"/>
  <c r="M13" i="4"/>
  <c r="M12" i="4" s="1"/>
  <c r="M46" i="11"/>
  <c r="M45" i="11" s="1"/>
  <c r="M44" i="11" s="1"/>
  <c r="M58" i="10"/>
  <c r="M57" i="10" s="1"/>
  <c r="M13" i="6"/>
  <c r="M12" i="6" s="1"/>
  <c r="M11" i="6" s="1"/>
  <c r="M13" i="7"/>
  <c r="M12" i="7" s="1"/>
  <c r="M11" i="7" s="1"/>
  <c r="N13" i="7"/>
  <c r="N12" i="7" s="1"/>
  <c r="N11" i="7" s="1"/>
  <c r="N19" i="12"/>
  <c r="N18" i="12" s="1"/>
  <c r="N17" i="12" s="1"/>
  <c r="H13" i="12"/>
  <c r="H12" i="12" s="1"/>
  <c r="H37" i="12"/>
  <c r="H36" i="12" s="1"/>
  <c r="H35" i="12" s="1"/>
  <c r="J37" i="12"/>
  <c r="J36" i="12" s="1"/>
  <c r="J35" i="12" s="1"/>
  <c r="J46" i="11"/>
  <c r="J45" i="11" s="1"/>
  <c r="J44" i="11" s="1"/>
  <c r="I45" i="11"/>
  <c r="I44" i="11" s="1"/>
  <c r="H13" i="4"/>
  <c r="H12" i="4" s="1"/>
  <c r="H14" i="3"/>
  <c r="H13" i="3" s="1"/>
  <c r="H30" i="3"/>
  <c r="J30" i="3"/>
  <c r="J29" i="3" s="1"/>
  <c r="J28" i="3" s="1"/>
  <c r="J57" i="3"/>
  <c r="J56" i="3" s="1"/>
  <c r="J55" i="3" s="1"/>
  <c r="K13" i="3"/>
  <c r="K12" i="3" s="1"/>
  <c r="N38" i="3"/>
  <c r="N37" i="3" s="1"/>
  <c r="N36" i="3" s="1"/>
  <c r="H21" i="10"/>
  <c r="H20" i="10" s="1"/>
  <c r="H19" i="10" s="1"/>
  <c r="H31" i="10"/>
  <c r="H30" i="10" s="1"/>
  <c r="H29" i="10" s="1"/>
  <c r="H28" i="10" s="1"/>
  <c r="M30" i="3"/>
  <c r="M29" i="3" s="1"/>
  <c r="M28" i="3" s="1"/>
  <c r="H19" i="8"/>
  <c r="H18" i="8" s="1"/>
  <c r="H9" i="8" s="1"/>
  <c r="K58" i="10"/>
  <c r="K57" i="10" s="1"/>
  <c r="K56" i="10" s="1"/>
  <c r="M31" i="11"/>
  <c r="I21" i="10"/>
  <c r="I20" i="10" s="1"/>
  <c r="I19" i="10" s="1"/>
  <c r="K31" i="10"/>
  <c r="K30" i="10" s="1"/>
  <c r="K29" i="10" s="1"/>
  <c r="K28" i="10" s="1"/>
  <c r="G21" i="6"/>
  <c r="G9" i="6" s="1"/>
  <c r="M13" i="12"/>
  <c r="M12" i="12" s="1"/>
  <c r="M11" i="12" s="1"/>
  <c r="N57" i="3"/>
  <c r="N56" i="3" s="1"/>
  <c r="N55" i="3" s="1"/>
  <c r="I36" i="5"/>
  <c r="I35" i="5" s="1"/>
  <c r="I34" i="5" s="1"/>
  <c r="N13" i="5"/>
  <c r="N12" i="5" s="1"/>
  <c r="N11" i="5" s="1"/>
  <c r="L36" i="5"/>
  <c r="L35" i="5" s="1"/>
  <c r="L34" i="5" s="1"/>
  <c r="L58" i="10"/>
  <c r="L57" i="10" s="1"/>
  <c r="L56" i="10" s="1"/>
  <c r="L31" i="10"/>
  <c r="L30" i="10" s="1"/>
  <c r="L29" i="10" s="1"/>
  <c r="L21" i="10"/>
  <c r="L20" i="10" s="1"/>
  <c r="L19" i="10" s="1"/>
  <c r="L13" i="10"/>
  <c r="L12" i="10" s="1"/>
  <c r="I25" i="8"/>
  <c r="I24" i="8" s="1"/>
  <c r="I23" i="8" s="1"/>
  <c r="I13" i="8"/>
  <c r="I12" i="8" s="1"/>
  <c r="L25" i="8"/>
  <c r="L24" i="8" s="1"/>
  <c r="L23" i="8" s="1"/>
  <c r="L13" i="8"/>
  <c r="L12" i="8" s="1"/>
  <c r="K28" i="7"/>
  <c r="K36" i="6"/>
  <c r="K35" i="6" s="1"/>
  <c r="K34" i="6" s="1"/>
  <c r="K26" i="6"/>
  <c r="K25" i="6" s="1"/>
  <c r="K20" i="6" s="1"/>
  <c r="K13" i="6"/>
  <c r="K12" i="6" s="1"/>
  <c r="K11" i="6" s="1"/>
  <c r="I13" i="6"/>
  <c r="I12" i="6" s="1"/>
  <c r="I11" i="6" s="1"/>
  <c r="L36" i="6"/>
  <c r="L35" i="6" s="1"/>
  <c r="L34" i="6" s="1"/>
  <c r="G46" i="11"/>
  <c r="G45" i="11" s="1"/>
  <c r="K24" i="7"/>
  <c r="K23" i="7" s="1"/>
  <c r="H36" i="6"/>
  <c r="H35" i="6" s="1"/>
  <c r="H34" i="6" s="1"/>
  <c r="J13" i="5"/>
  <c r="J12" i="5" s="1"/>
  <c r="J11" i="5" s="1"/>
  <c r="I13" i="12"/>
  <c r="I12" i="12" s="1"/>
  <c r="I11" i="12" s="1"/>
  <c r="J24" i="12"/>
  <c r="J23" i="12" s="1"/>
  <c r="J22" i="12" s="1"/>
  <c r="H22" i="6"/>
  <c r="H21" i="6" s="1"/>
  <c r="H9" i="6" s="1"/>
  <c r="N13" i="10"/>
  <c r="N12" i="10" s="1"/>
  <c r="N11" i="10" s="1"/>
  <c r="N13" i="9"/>
  <c r="N12" i="9" s="1"/>
  <c r="N8" i="9" s="1"/>
  <c r="J167" i="1"/>
  <c r="M116" i="1"/>
  <c r="M69" i="1"/>
  <c r="I110" i="1"/>
  <c r="I108" i="1" s="1"/>
  <c r="K110" i="1"/>
  <c r="K116" i="1"/>
  <c r="N116" i="1"/>
  <c r="O116" i="1"/>
  <c r="I133" i="1"/>
  <c r="I167" i="1" s="1"/>
  <c r="M133" i="1"/>
  <c r="M167" i="1" s="1"/>
  <c r="K13" i="9"/>
  <c r="K12" i="9" s="1"/>
  <c r="L13" i="9"/>
  <c r="L12" i="9" s="1"/>
  <c r="L29" i="7"/>
  <c r="L28" i="7" s="1"/>
  <c r="G20" i="5"/>
  <c r="G13" i="5" s="1"/>
  <c r="M13" i="5"/>
  <c r="M12" i="5" s="1"/>
  <c r="G16" i="3"/>
  <c r="N31" i="10"/>
  <c r="N30" i="10" s="1"/>
  <c r="N29" i="10" s="1"/>
  <c r="N28" i="10" s="1"/>
  <c r="N36" i="6"/>
  <c r="N35" i="6" s="1"/>
  <c r="N34" i="6" s="1"/>
  <c r="N36" i="5"/>
  <c r="N35" i="5" s="1"/>
  <c r="N34" i="5" s="1"/>
  <c r="K25" i="8"/>
  <c r="K24" i="8" s="1"/>
  <c r="I19" i="8"/>
  <c r="I18" i="8" s="1"/>
  <c r="G74" i="10"/>
  <c r="G72" i="10" s="1"/>
  <c r="M72" i="10"/>
  <c r="M71" i="10" s="1"/>
  <c r="M70" i="10" s="1"/>
  <c r="G60" i="3"/>
  <c r="G57" i="3" s="1"/>
  <c r="M57" i="3"/>
  <c r="M56" i="3" s="1"/>
  <c r="M55" i="3" s="1"/>
  <c r="H29" i="7"/>
  <c r="H28" i="7" s="1"/>
  <c r="H27" i="7" s="1"/>
  <c r="H36" i="13"/>
  <c r="J30" i="5"/>
  <c r="G36" i="6"/>
  <c r="G35" i="6" s="1"/>
  <c r="J38" i="3"/>
  <c r="J37" i="3" s="1"/>
  <c r="J36" i="3" s="1"/>
  <c r="M5" i="1"/>
  <c r="I69" i="1"/>
  <c r="L110" i="1"/>
  <c r="O69" i="1"/>
  <c r="J116" i="1"/>
  <c r="K167" i="1"/>
  <c r="N5" i="1"/>
  <c r="K5" i="1"/>
  <c r="N69" i="1"/>
  <c r="L133" i="1"/>
  <c r="L167" i="1" s="1"/>
  <c r="O133" i="1"/>
  <c r="O167" i="1" s="1"/>
  <c r="M158" i="1"/>
  <c r="M168" i="1" s="1"/>
  <c r="L116" i="1"/>
  <c r="I65" i="10"/>
  <c r="I66" i="10"/>
  <c r="M14" i="3" l="1"/>
  <c r="N14" i="3"/>
  <c r="N13" i="3" s="1"/>
  <c r="L508" i="15"/>
  <c r="N28" i="11"/>
  <c r="N26" i="11" s="1"/>
  <c r="N25" i="11" s="1"/>
  <c r="J508" i="15"/>
  <c r="L28" i="11"/>
  <c r="L26" i="11" s="1"/>
  <c r="L25" i="11" s="1"/>
  <c r="K169" i="15"/>
  <c r="M26" i="11"/>
  <c r="M25" i="11" s="1"/>
  <c r="M24" i="11" s="1"/>
  <c r="I36" i="13"/>
  <c r="G20" i="10"/>
  <c r="G8" i="10" s="1"/>
  <c r="G2" i="10" s="1"/>
  <c r="G1" i="10" s="1"/>
  <c r="L28" i="10"/>
  <c r="G57" i="10"/>
  <c r="G45" i="10" s="1"/>
  <c r="G44" i="10" s="1"/>
  <c r="R289" i="2"/>
  <c r="I12" i="13" s="1"/>
  <c r="I38" i="13" s="1"/>
  <c r="I40" i="13" s="1"/>
  <c r="K508" i="15"/>
  <c r="K441" i="15" s="1"/>
  <c r="L386" i="15"/>
  <c r="L582" i="15" s="1"/>
  <c r="L627" i="15" s="1"/>
  <c r="L811" i="15" s="1"/>
  <c r="L11" i="7"/>
  <c r="D386" i="15"/>
  <c r="H291" i="2"/>
  <c r="L27" i="7"/>
  <c r="I12" i="3"/>
  <c r="I11" i="3" s="1"/>
  <c r="M27" i="7"/>
  <c r="G42" i="3"/>
  <c r="K422" i="15"/>
  <c r="K386" i="15" s="1"/>
  <c r="J387" i="15"/>
  <c r="J386" i="15" s="1"/>
  <c r="L15" i="11"/>
  <c r="L13" i="11" s="1"/>
  <c r="L12" i="11" s="1"/>
  <c r="Q121" i="2"/>
  <c r="Q287" i="2" s="1"/>
  <c r="H10" i="13" s="1"/>
  <c r="H30" i="13" s="1"/>
  <c r="K27" i="7"/>
  <c r="G35" i="13"/>
  <c r="I812" i="15"/>
  <c r="F18" i="13"/>
  <c r="F35" i="13" s="1"/>
  <c r="H441" i="15"/>
  <c r="H582" i="15" s="1"/>
  <c r="H627" i="15" s="1"/>
  <c r="H811" i="15" s="1"/>
  <c r="D35" i="13"/>
  <c r="I28" i="10"/>
  <c r="I11" i="10"/>
  <c r="I8" i="10"/>
  <c r="I7" i="10" s="1"/>
  <c r="C35" i="13"/>
  <c r="H11" i="10"/>
  <c r="H8" i="10"/>
  <c r="H7" i="10" s="1"/>
  <c r="H12" i="3"/>
  <c r="Q290" i="2"/>
  <c r="K820" i="15"/>
  <c r="I820" i="15"/>
  <c r="F13" i="13"/>
  <c r="G818" i="15"/>
  <c r="J121" i="2"/>
  <c r="J287" i="2" s="1"/>
  <c r="G820" i="15"/>
  <c r="M121" i="2"/>
  <c r="M287" i="2" s="1"/>
  <c r="F820" i="15"/>
  <c r="E38" i="13"/>
  <c r="E40" i="13" s="1"/>
  <c r="D38" i="13"/>
  <c r="D40" i="13" s="1"/>
  <c r="C38" i="13"/>
  <c r="C40" i="13" s="1"/>
  <c r="E818" i="15"/>
  <c r="C34" i="13"/>
  <c r="J819" i="15"/>
  <c r="G12" i="13"/>
  <c r="G38" i="13" s="1"/>
  <c r="G40" i="13" s="1"/>
  <c r="J818" i="15"/>
  <c r="G11" i="13"/>
  <c r="I818" i="15"/>
  <c r="F11" i="13"/>
  <c r="H11" i="11"/>
  <c r="N56" i="10"/>
  <c r="N8" i="10"/>
  <c r="N2" i="10" s="1"/>
  <c r="M56" i="10"/>
  <c r="M8" i="10"/>
  <c r="M7" i="10" s="1"/>
  <c r="L11" i="10"/>
  <c r="L8" i="10"/>
  <c r="L2" i="10" s="1"/>
  <c r="K11" i="10"/>
  <c r="K8" i="10"/>
  <c r="K7" i="10" s="1"/>
  <c r="J8" i="10"/>
  <c r="J7" i="10" s="1"/>
  <c r="J29" i="10"/>
  <c r="J28" i="10" s="1"/>
  <c r="J11" i="10"/>
  <c r="L9" i="7"/>
  <c r="I8" i="7"/>
  <c r="I7" i="7" s="1"/>
  <c r="L11" i="6"/>
  <c r="L8" i="6"/>
  <c r="N11" i="4"/>
  <c r="H41" i="3"/>
  <c r="R121" i="2"/>
  <c r="R287" i="2" s="1"/>
  <c r="M108" i="1"/>
  <c r="M166" i="1" s="1"/>
  <c r="F819" i="15"/>
  <c r="G441" i="15"/>
  <c r="J41" i="3"/>
  <c r="E441" i="15"/>
  <c r="J26" i="11"/>
  <c r="J25" i="11" s="1"/>
  <c r="J24" i="11" s="1"/>
  <c r="J13" i="11"/>
  <c r="J12" i="11" s="1"/>
  <c r="F582" i="15"/>
  <c r="I13" i="11"/>
  <c r="I12" i="11" s="1"/>
  <c r="E386" i="15"/>
  <c r="O108" i="1"/>
  <c r="O166" i="1" s="1"/>
  <c r="L121" i="2"/>
  <c r="L287" i="2" s="1"/>
  <c r="L291" i="2" s="1"/>
  <c r="F169" i="15"/>
  <c r="D34" i="13"/>
  <c r="J108" i="1"/>
  <c r="J166" i="1" s="1"/>
  <c r="I41" i="3"/>
  <c r="I23" i="12"/>
  <c r="I8" i="12" s="1"/>
  <c r="I7" i="12" s="1"/>
  <c r="G23" i="12"/>
  <c r="G8" i="12" s="1"/>
  <c r="G2" i="12" s="1"/>
  <c r="H11" i="9"/>
  <c r="K41" i="3"/>
  <c r="M13" i="3"/>
  <c r="M12" i="3" s="1"/>
  <c r="M11" i="3" s="1"/>
  <c r="K23" i="12"/>
  <c r="K8" i="12" s="1"/>
  <c r="K7" i="12" s="1"/>
  <c r="M41" i="3"/>
  <c r="J8" i="4"/>
  <c r="J7" i="4" s="1"/>
  <c r="G11" i="12"/>
  <c r="G7" i="12" s="1"/>
  <c r="M36" i="5"/>
  <c r="M35" i="5" s="1"/>
  <c r="M34" i="5" s="1"/>
  <c r="K11" i="3"/>
  <c r="H11" i="7"/>
  <c r="J11" i="8"/>
  <c r="I25" i="11"/>
  <c r="I24" i="11" s="1"/>
  <c r="K11" i="8"/>
  <c r="M8" i="8"/>
  <c r="M2" i="8" s="1"/>
  <c r="I11" i="9"/>
  <c r="G30" i="10"/>
  <c r="N8" i="8"/>
  <c r="N2" i="8" s="1"/>
  <c r="G8" i="3"/>
  <c r="G2" i="3" s="1"/>
  <c r="N15" i="11"/>
  <c r="I386" i="15"/>
  <c r="M13" i="11"/>
  <c r="M12" i="11" s="1"/>
  <c r="M11" i="11" s="1"/>
  <c r="G13" i="11"/>
  <c r="G11" i="11" s="1"/>
  <c r="G7" i="11" s="1"/>
  <c r="L441" i="15"/>
  <c r="M8" i="6"/>
  <c r="M2" i="6" s="1"/>
  <c r="L41" i="3"/>
  <c r="L8" i="7"/>
  <c r="O121" i="2"/>
  <c r="O287" i="2" s="1"/>
  <c r="N121" i="2"/>
  <c r="N287" i="2" s="1"/>
  <c r="K9" i="7"/>
  <c r="G387" i="15"/>
  <c r="G386" i="15" s="1"/>
  <c r="H12" i="13"/>
  <c r="H38" i="13" s="1"/>
  <c r="H40" i="13" s="1"/>
  <c r="K121" i="2"/>
  <c r="K287" i="2" s="1"/>
  <c r="I3" i="1"/>
  <c r="I165" i="1" s="1"/>
  <c r="P121" i="2"/>
  <c r="P287" i="2" s="1"/>
  <c r="J3" i="1"/>
  <c r="J165" i="1" s="1"/>
  <c r="G819" i="15"/>
  <c r="F38" i="13"/>
  <c r="F40" i="13" s="1"/>
  <c r="N290" i="2"/>
  <c r="H820" i="15" s="1"/>
  <c r="E819" i="15"/>
  <c r="R290" i="2"/>
  <c r="I13" i="13"/>
  <c r="L820" i="15"/>
  <c r="K108" i="1"/>
  <c r="K166" i="1" s="1"/>
  <c r="H8" i="7"/>
  <c r="H7" i="7" s="1"/>
  <c r="L8" i="8"/>
  <c r="L7" i="8" s="1"/>
  <c r="K8" i="3"/>
  <c r="K7" i="3" s="1"/>
  <c r="N41" i="3"/>
  <c r="J11" i="9"/>
  <c r="I8" i="5"/>
  <c r="I7" i="5" s="1"/>
  <c r="N11" i="9"/>
  <c r="H8" i="6"/>
  <c r="H7" i="6" s="1"/>
  <c r="J8" i="12"/>
  <c r="J7" i="12" s="1"/>
  <c r="K8" i="7"/>
  <c r="I8" i="4"/>
  <c r="I7" i="4" s="1"/>
  <c r="H25" i="11"/>
  <c r="H24" i="11" s="1"/>
  <c r="D442" i="15"/>
  <c r="D441" i="15" s="1"/>
  <c r="D582" i="15" s="1"/>
  <c r="D627" i="15" s="1"/>
  <c r="D811" i="15" s="1"/>
  <c r="I8" i="6"/>
  <c r="I7" i="6" s="1"/>
  <c r="L8" i="3"/>
  <c r="L7" i="3" s="1"/>
  <c r="L8" i="5"/>
  <c r="L2" i="5" s="1"/>
  <c r="M8" i="7"/>
  <c r="M7" i="7" s="1"/>
  <c r="L8" i="4"/>
  <c r="L2" i="4" s="1"/>
  <c r="J441" i="15"/>
  <c r="I166" i="1"/>
  <c r="M291" i="2"/>
  <c r="H819" i="15"/>
  <c r="N108" i="1"/>
  <c r="N166" i="1" s="1"/>
  <c r="M3" i="1"/>
  <c r="M165" i="1" s="1"/>
  <c r="E34" i="13"/>
  <c r="F818" i="15"/>
  <c r="E820" i="15"/>
  <c r="K290" i="2"/>
  <c r="O3" i="1"/>
  <c r="O165" i="1" s="1"/>
  <c r="M2" i="9"/>
  <c r="M1" i="9" s="1"/>
  <c r="H8" i="8"/>
  <c r="H7" i="8" s="1"/>
  <c r="J8" i="3"/>
  <c r="K8" i="6"/>
  <c r="K7" i="6" s="1"/>
  <c r="I35" i="12"/>
  <c r="J8" i="8"/>
  <c r="J7" i="8" s="1"/>
  <c r="N8" i="7"/>
  <c r="L11" i="5"/>
  <c r="K11" i="4"/>
  <c r="G30" i="3"/>
  <c r="L11" i="8"/>
  <c r="K8" i="5"/>
  <c r="K7" i="5" s="1"/>
  <c r="J8" i="6"/>
  <c r="J7" i="6" s="1"/>
  <c r="I8" i="3"/>
  <c r="I7" i="3" s="1"/>
  <c r="H11" i="8"/>
  <c r="M11" i="9"/>
  <c r="H20" i="6"/>
  <c r="N22" i="12"/>
  <c r="N23" i="12"/>
  <c r="N8" i="12" s="1"/>
  <c r="N7" i="12" s="1"/>
  <c r="L23" i="12"/>
  <c r="L8" i="12" s="1"/>
  <c r="L7" i="12" s="1"/>
  <c r="L22" i="12"/>
  <c r="M22" i="12"/>
  <c r="M23" i="12"/>
  <c r="M8" i="12" s="1"/>
  <c r="M7" i="12" s="1"/>
  <c r="H28" i="3"/>
  <c r="H29" i="3"/>
  <c r="H8" i="3" s="1"/>
  <c r="H11" i="5"/>
  <c r="H8" i="5"/>
  <c r="H7" i="5" s="1"/>
  <c r="H11" i="4"/>
  <c r="H8" i="4"/>
  <c r="H7" i="4" s="1"/>
  <c r="M11" i="4"/>
  <c r="M8" i="4"/>
  <c r="I8" i="8"/>
  <c r="H11" i="12"/>
  <c r="H8" i="12"/>
  <c r="H7" i="12" s="1"/>
  <c r="L11" i="3"/>
  <c r="K3" i="1"/>
  <c r="K165" i="1" s="1"/>
  <c r="L108" i="1"/>
  <c r="L166" i="1" s="1"/>
  <c r="L3" i="1"/>
  <c r="L165" i="1" s="1"/>
  <c r="G71" i="10"/>
  <c r="G70" i="10"/>
  <c r="J34" i="5"/>
  <c r="J8" i="5"/>
  <c r="J7" i="5" s="1"/>
  <c r="N8" i="5"/>
  <c r="I9" i="8"/>
  <c r="I11" i="8"/>
  <c r="G34" i="5"/>
  <c r="G35" i="5"/>
  <c r="N7" i="9"/>
  <c r="N2" i="9"/>
  <c r="G56" i="3"/>
  <c r="G55" i="3"/>
  <c r="K23" i="8"/>
  <c r="K8" i="8"/>
  <c r="K7" i="8" s="1"/>
  <c r="M11" i="5"/>
  <c r="L8" i="9"/>
  <c r="L11" i="9"/>
  <c r="G11" i="5"/>
  <c r="G12" i="5"/>
  <c r="K11" i="9"/>
  <c r="K8" i="9"/>
  <c r="K7" i="9" s="1"/>
  <c r="N8" i="6"/>
  <c r="J8" i="7"/>
  <c r="J7" i="7" s="1"/>
  <c r="N3" i="1"/>
  <c r="N165" i="1" s="1"/>
  <c r="N7" i="4"/>
  <c r="N2" i="4"/>
  <c r="N12" i="3" l="1"/>
  <c r="N11" i="3" s="1"/>
  <c r="N8" i="3"/>
  <c r="N2" i="3" s="1"/>
  <c r="N7" i="8"/>
  <c r="L7" i="7"/>
  <c r="N13" i="11"/>
  <c r="N12" i="11" s="1"/>
  <c r="N11" i="11" s="1"/>
  <c r="O169" i="1"/>
  <c r="H814" i="15"/>
  <c r="H815" i="15" s="1"/>
  <c r="K26" i="11"/>
  <c r="K25" i="11" s="1"/>
  <c r="K24" i="11" s="1"/>
  <c r="M7" i="8"/>
  <c r="M1" i="8" s="1"/>
  <c r="H11" i="3"/>
  <c r="K582" i="15"/>
  <c r="K627" i="15" s="1"/>
  <c r="M8" i="5"/>
  <c r="M7" i="5" s="1"/>
  <c r="L2" i="8"/>
  <c r="L1" i="8" s="1"/>
  <c r="K817" i="15"/>
  <c r="K821" i="15" s="1"/>
  <c r="Q291" i="2"/>
  <c r="D36" i="13"/>
  <c r="F627" i="15"/>
  <c r="F811" i="15" s="1"/>
  <c r="C36" i="13"/>
  <c r="H7" i="3"/>
  <c r="L817" i="15"/>
  <c r="L821" i="15" s="1"/>
  <c r="J817" i="15"/>
  <c r="J821" i="15" s="1"/>
  <c r="G10" i="13"/>
  <c r="G30" i="13" s="1"/>
  <c r="N291" i="2"/>
  <c r="J291" i="2"/>
  <c r="D817" i="15"/>
  <c r="D821" i="15" s="1"/>
  <c r="I817" i="15"/>
  <c r="I821" i="15" s="1"/>
  <c r="F10" i="13"/>
  <c r="F30" i="13" s="1"/>
  <c r="E14" i="13"/>
  <c r="E30" i="13"/>
  <c r="G817" i="15"/>
  <c r="G821" i="15" s="1"/>
  <c r="F817" i="15"/>
  <c r="F821" i="15" s="1"/>
  <c r="C30" i="13"/>
  <c r="C14" i="13"/>
  <c r="C42" i="13" s="1"/>
  <c r="G34" i="13"/>
  <c r="G36" i="13" s="1"/>
  <c r="F34" i="13"/>
  <c r="F36" i="13" s="1"/>
  <c r="L24" i="11"/>
  <c r="L8" i="11"/>
  <c r="H8" i="11"/>
  <c r="H7" i="11" s="1"/>
  <c r="J11" i="11"/>
  <c r="J8" i="11"/>
  <c r="J7" i="11" s="1"/>
  <c r="L11" i="11"/>
  <c r="I11" i="11"/>
  <c r="I8" i="11"/>
  <c r="I7" i="11" s="1"/>
  <c r="K7" i="7"/>
  <c r="M169" i="1"/>
  <c r="L2" i="12"/>
  <c r="L1" i="12" s="1"/>
  <c r="G1" i="12"/>
  <c r="I169" i="1"/>
  <c r="K13" i="11"/>
  <c r="K12" i="11" s="1"/>
  <c r="M8" i="3"/>
  <c r="M7" i="3" s="1"/>
  <c r="L7" i="10"/>
  <c r="L1" i="10" s="1"/>
  <c r="L2" i="7"/>
  <c r="L1" i="7" s="1"/>
  <c r="M2" i="7"/>
  <c r="M1" i="7" s="1"/>
  <c r="F814" i="15"/>
  <c r="E582" i="15"/>
  <c r="E627" i="15" s="1"/>
  <c r="E811" i="15" s="1"/>
  <c r="E814" i="15"/>
  <c r="K291" i="2"/>
  <c r="K169" i="1"/>
  <c r="J169" i="1"/>
  <c r="J582" i="15"/>
  <c r="J627" i="15" s="1"/>
  <c r="J811" i="15" s="1"/>
  <c r="G17" i="13" s="1"/>
  <c r="G7" i="5"/>
  <c r="L7" i="4"/>
  <c r="L1" i="4" s="1"/>
  <c r="M2" i="12"/>
  <c r="M1" i="12" s="1"/>
  <c r="M2" i="10"/>
  <c r="M1" i="10" s="1"/>
  <c r="G12" i="11"/>
  <c r="G8" i="11" s="1"/>
  <c r="G2" i="11" s="1"/>
  <c r="G1" i="11" s="1"/>
  <c r="P291" i="2"/>
  <c r="N24" i="11"/>
  <c r="M8" i="11"/>
  <c r="M2" i="11" s="1"/>
  <c r="O291" i="2"/>
  <c r="N7" i="10"/>
  <c r="N1" i="10" s="1"/>
  <c r="M7" i="6"/>
  <c r="M1" i="6" s="1"/>
  <c r="L7" i="5"/>
  <c r="L1" i="5" s="1"/>
  <c r="L2" i="3"/>
  <c r="H817" i="15"/>
  <c r="H821" i="15" s="1"/>
  <c r="G814" i="15"/>
  <c r="G582" i="15"/>
  <c r="G627" i="15" s="1"/>
  <c r="G811" i="15" s="1"/>
  <c r="E817" i="15"/>
  <c r="E821" i="15" s="1"/>
  <c r="N169" i="1"/>
  <c r="I582" i="15"/>
  <c r="I627" i="15" s="1"/>
  <c r="I811" i="15" s="1"/>
  <c r="F17" i="13" s="1"/>
  <c r="I814" i="15"/>
  <c r="F20" i="13" s="1"/>
  <c r="G8" i="5"/>
  <c r="G2" i="5" s="1"/>
  <c r="I17" i="13"/>
  <c r="L815" i="15"/>
  <c r="D814" i="15"/>
  <c r="D815" i="15" s="1"/>
  <c r="L2" i="6"/>
  <c r="L7" i="6"/>
  <c r="J814" i="15"/>
  <c r="G20" i="13" s="1"/>
  <c r="R291" i="2"/>
  <c r="I10" i="13"/>
  <c r="H14" i="13"/>
  <c r="L169" i="1"/>
  <c r="N2" i="12"/>
  <c r="N1" i="12" s="1"/>
  <c r="N2" i="7"/>
  <c r="N7" i="7"/>
  <c r="I7" i="8"/>
  <c r="G29" i="3"/>
  <c r="G28" i="3"/>
  <c r="M7" i="4"/>
  <c r="M2" i="4"/>
  <c r="N1" i="9"/>
  <c r="N2" i="5"/>
  <c r="N7" i="5"/>
  <c r="N1" i="8"/>
  <c r="L7" i="9"/>
  <c r="L2" i="9"/>
  <c r="N2" i="6"/>
  <c r="N7" i="6"/>
  <c r="N1" i="4"/>
  <c r="N7" i="3" l="1"/>
  <c r="N8" i="11"/>
  <c r="N7" i="11" s="1"/>
  <c r="K811" i="15"/>
  <c r="K815" i="15" s="1"/>
  <c r="K823" i="15" s="1"/>
  <c r="F31" i="13"/>
  <c r="F32" i="13" s="1"/>
  <c r="M2" i="5"/>
  <c r="M1" i="5" s="1"/>
  <c r="D823" i="15"/>
  <c r="M2" i="3"/>
  <c r="I31" i="13"/>
  <c r="I21" i="13"/>
  <c r="I43" i="13" s="1"/>
  <c r="G31" i="13"/>
  <c r="G32" i="13" s="1"/>
  <c r="G21" i="13"/>
  <c r="G43" i="13" s="1"/>
  <c r="F815" i="15"/>
  <c r="F823" i="15" s="1"/>
  <c r="D31" i="13"/>
  <c r="F21" i="13"/>
  <c r="F43" i="13" s="1"/>
  <c r="D21" i="13"/>
  <c r="D43" i="13" s="1"/>
  <c r="C31" i="13"/>
  <c r="C21" i="13"/>
  <c r="G14" i="13"/>
  <c r="G42" i="13" s="1"/>
  <c r="F14" i="13"/>
  <c r="F42" i="13" s="1"/>
  <c r="D30" i="13"/>
  <c r="D14" i="13"/>
  <c r="D42" i="13" s="1"/>
  <c r="K11" i="11"/>
  <c r="K8" i="11"/>
  <c r="K7" i="11" s="1"/>
  <c r="L2" i="11"/>
  <c r="L7" i="11"/>
  <c r="G1" i="5"/>
  <c r="E815" i="15"/>
  <c r="E823" i="15" s="1"/>
  <c r="J815" i="15"/>
  <c r="J823" i="15" s="1"/>
  <c r="M7" i="11"/>
  <c r="M1" i="11" s="1"/>
  <c r="L823" i="15"/>
  <c r="G26" i="3"/>
  <c r="G25" i="3" s="1"/>
  <c r="G14" i="3" s="1"/>
  <c r="G13" i="3" s="1"/>
  <c r="N1" i="7"/>
  <c r="I815" i="15"/>
  <c r="I823" i="15" s="1"/>
  <c r="L1" i="6"/>
  <c r="H823" i="15"/>
  <c r="E42" i="13"/>
  <c r="I30" i="13"/>
  <c r="I14" i="13"/>
  <c r="H42" i="13"/>
  <c r="N1" i="5"/>
  <c r="M1" i="4"/>
  <c r="N1" i="6"/>
  <c r="L1" i="9"/>
  <c r="N2" i="11" l="1"/>
  <c r="N1" i="11" s="1"/>
  <c r="H17" i="13"/>
  <c r="H21" i="13" s="1"/>
  <c r="H43" i="13" s="1"/>
  <c r="H44" i="13" s="1"/>
  <c r="D32" i="13"/>
  <c r="E31" i="13"/>
  <c r="E32" i="13" s="1"/>
  <c r="F23" i="13"/>
  <c r="F44" i="13"/>
  <c r="L1" i="11"/>
  <c r="C32" i="13"/>
  <c r="D44" i="13"/>
  <c r="D23" i="13"/>
  <c r="G23" i="13"/>
  <c r="I32" i="13"/>
  <c r="G44" i="13"/>
  <c r="I23" i="13"/>
  <c r="I42" i="13"/>
  <c r="I44" i="13" s="1"/>
  <c r="H31" i="13" l="1"/>
  <c r="H32" i="13" s="1"/>
  <c r="H23" i="13"/>
  <c r="C43" i="13"/>
  <c r="C44" i="13" s="1"/>
  <c r="C23" i="13"/>
  <c r="G769" i="15"/>
  <c r="G812" i="15"/>
  <c r="J26" i="3"/>
  <c r="J25" i="3" s="1"/>
  <c r="J9" i="3" l="1"/>
  <c r="J12" i="3"/>
  <c r="J11" i="3" s="1"/>
  <c r="J7" i="3" s="1"/>
  <c r="E35" i="13"/>
  <c r="E36" i="13" s="1"/>
  <c r="E21" i="13"/>
  <c r="G815" i="15"/>
  <c r="G823" i="15" s="1"/>
  <c r="E23" i="13" l="1"/>
  <c r="E43" i="13"/>
  <c r="E44" i="13" s="1"/>
</calcChain>
</file>

<file path=xl/sharedStrings.xml><?xml version="1.0" encoding="utf-8"?>
<sst xmlns="http://schemas.openxmlformats.org/spreadsheetml/2006/main" count="2574" uniqueCount="1013">
  <si>
    <t>P  R  Í  J  M  O V  Á     Č  A S  Ť</t>
  </si>
  <si>
    <t>Bežné príjmy</t>
  </si>
  <si>
    <t>1. Daňové príjmy</t>
  </si>
  <si>
    <t>1.1</t>
  </si>
  <si>
    <t>Výnos dane z príjmov poukázaný územnej samospráve</t>
  </si>
  <si>
    <t>v zmysle zákona č. 564/2004 Z.z. o rozpočtovom určení výnosu dane z príjmov územnej samospráve a o zmene a doplnení niektorých zákonov v znení neskorších predpisov</t>
  </si>
  <si>
    <t>1.2</t>
  </si>
  <si>
    <t>Daň z nehnuteľností</t>
  </si>
  <si>
    <t>Daň z nehnuteľnosti upravuje zákon č.582/2004 o miestnych daniach a poplatku za komunálne odpady a drobné stavebné odpady v znení neskorších predpisov. Daň z nehnuteľností sa člení na daň z pozemkov, daň zo stavieb a daň z bytov a nebytových priestorov. Pre vyrubenie dane je rozhodujúci stav k 1.januáru zdaňovacieho obdobia. Na zmeny skutočností rozhodujúcich pre daňovú povinnosť, ktoré nastanú v priebehu zdaňovacieho obdobia sa neprihliada, ak zákon neustanovuje inak.</t>
  </si>
  <si>
    <t>1.3</t>
  </si>
  <si>
    <t>Daň za užívanie verejného priestranstva</t>
  </si>
  <si>
    <t>Predmetom dane za užívanie verejného priestranstva je v zmysle zákona č.582/2004 Z.z. o miestnych daniach a poplatku za komunálne odpady a drobné stavebné odpady v znení neskorších predpisov osobitné užívanie verejného priestranstva (umiestnenie zariadenia na poskytovanie služieb, stavebného zariadenia, predajného zariadenia,  skládky, trvalé parkovanie vozidla).</t>
  </si>
  <si>
    <t>1.4</t>
  </si>
  <si>
    <t>Daň za psa</t>
  </si>
  <si>
    <t>Predmetom dane za psa v súlade so zákonom č. 582/2004 Z.z. o miestnych daniach a poplatku za komunálne odpady a drobné stavebné odpady je pes starší ako 6 mesiacov chovaný fyzickou osobou alebo právnickou osobou.</t>
  </si>
  <si>
    <t>1.5</t>
  </si>
  <si>
    <t>Daň za predajné automaty</t>
  </si>
  <si>
    <t xml:space="preserve">Daň za predajné automaty upravuje zákon č. 582/2004 Z.z. o miestnych daniach a poplatku za komunálne odpady a drobné stavebné odpady. </t>
  </si>
  <si>
    <t>1.6</t>
  </si>
  <si>
    <t>Daň za umiestnenie jadrového zariadenia</t>
  </si>
  <si>
    <t>1.7</t>
  </si>
  <si>
    <t>Poplatok za komunálne odpady a drobné stavebné odpady</t>
  </si>
  <si>
    <t xml:space="preserve">Miestny poplatok za komunálne odpady a drobné stavebné odpady sa v zmysle zákona č.582/2004 Z.z. o miestnych daniach a poplatku za komunálne a drobné stavebné odpady v znení neskorších predpisov sa platí za komunálne odpady a drobné stavebné odpady, ktoré vznikajú na území obce. </t>
  </si>
  <si>
    <t>2. Nedaňové príjmy</t>
  </si>
  <si>
    <t>2.1</t>
  </si>
  <si>
    <t>Príjmy z prenajatých pozemkov</t>
  </si>
  <si>
    <t>príjem vyplýva z uzatvorených platných nájomných zmlúv.</t>
  </si>
  <si>
    <t>2.2</t>
  </si>
  <si>
    <t>Príjmy z prenajatých budov</t>
  </si>
  <si>
    <t xml:space="preserve">príjem z uzatvorených platných nájomných zmlúv na prenájom budov </t>
  </si>
  <si>
    <t>2.3</t>
  </si>
  <si>
    <t>Príjmy z prenajatých strojov a zariadení</t>
  </si>
  <si>
    <t>Príjem poplatku za čistenie odpadu na ČOV</t>
  </si>
  <si>
    <t>2.4</t>
  </si>
  <si>
    <t>Ostatné administratívne poplatky</t>
  </si>
  <si>
    <t>administratívne poplatky – správne poplatky vyberané podľa zákona č. 145/1995 Z.z. o správnych poplatkoch v znení neskorších predpisov – vyhotovenie a osvedčenie matričných dokladov, vyhotovenie odpisu, výpisu z úradných kníh, správny poplatok z reklamy, za vydanie rybárskych  lístkov, žiadosť o povolenie stavby a o dodatočné povolenie stavby a pod.</t>
  </si>
  <si>
    <t>2.5</t>
  </si>
  <si>
    <t>Pokuty a penále za porušenie predpisov</t>
  </si>
  <si>
    <t>pokuty za priestupky, zmluvné pokuty, za porušenie predpisov stavebného zákona, v oblasti odpadového hospodárstva, za porušenie cestného zákona a pod.</t>
  </si>
  <si>
    <t>2.6</t>
  </si>
  <si>
    <t>Príjmy za služby hospodárskej činnosti obce</t>
  </si>
  <si>
    <t>2.7</t>
  </si>
  <si>
    <t>Predaj výrobkov, tovarov a služieb</t>
  </si>
  <si>
    <t>Prenájom kultúrneho domu, multifunkčného ihriska</t>
  </si>
  <si>
    <t>2.8</t>
  </si>
  <si>
    <t>Úroky z vkladov</t>
  </si>
  <si>
    <t>2.9</t>
  </si>
  <si>
    <t>Školské zariadenia</t>
  </si>
  <si>
    <t>poplatky za materské školy, školské kluby detí, za stravné v zariadení školského stravovania</t>
  </si>
  <si>
    <t>2.10</t>
  </si>
  <si>
    <t>Stravné</t>
  </si>
  <si>
    <t>príspevky zamestnancov za stravovanie</t>
  </si>
  <si>
    <t>2.11</t>
  </si>
  <si>
    <t>Ostatné</t>
  </si>
  <si>
    <t>predmetné príjmy zahŕňajú predovšetkým príjmy z dobropisov, vratiek zo zúčtovania za predchádzajúci rok, dividendy, výťažky lotérií</t>
  </si>
  <si>
    <t>3. Granty a transfery</t>
  </si>
  <si>
    <t>3.1</t>
  </si>
  <si>
    <t>Dotácia na základné vzdelanie s bežnou starostlivosťou</t>
  </si>
  <si>
    <t>3.2</t>
  </si>
  <si>
    <t>Dotácia na predškolskú výchovu</t>
  </si>
  <si>
    <t>3.3</t>
  </si>
  <si>
    <t>Dotácia na matričnú činnosť</t>
  </si>
  <si>
    <t>3.4</t>
  </si>
  <si>
    <t>Dotácia na podporu zamestnanosti (aktivačná činnosť)</t>
  </si>
  <si>
    <t>3.5</t>
  </si>
  <si>
    <t>Dotácia na deti zo sociálne znevýhodneného prostredia</t>
  </si>
  <si>
    <t>3.6</t>
  </si>
  <si>
    <t>Dotácia na dopravné</t>
  </si>
  <si>
    <t>3.7</t>
  </si>
  <si>
    <t>Dotácia na vzdelávacie poukazy</t>
  </si>
  <si>
    <t>3.8</t>
  </si>
  <si>
    <t>Dotácia na školské potreby</t>
  </si>
  <si>
    <t>3.9</t>
  </si>
  <si>
    <t>3.10</t>
  </si>
  <si>
    <t>Transfer na deti v hmotnej núdzi (stravovanie)</t>
  </si>
  <si>
    <t>3.11</t>
  </si>
  <si>
    <t>Dotácia z NSK</t>
  </si>
  <si>
    <t>3.12</t>
  </si>
  <si>
    <t>3.13</t>
  </si>
  <si>
    <t>Kapitálové príjmy</t>
  </si>
  <si>
    <t>1. Nedaňové príjmy</t>
  </si>
  <si>
    <t>2. Granty a transfery</t>
  </si>
  <si>
    <t>Zateplenie MŠ</t>
  </si>
  <si>
    <t>Leader</t>
  </si>
  <si>
    <t>Rekonštrukcia komunitného centra</t>
  </si>
  <si>
    <t>Príjmové finančné operácie</t>
  </si>
  <si>
    <t>Bankové úvery dlhodobé</t>
  </si>
  <si>
    <t>Rekapitulácia</t>
  </si>
  <si>
    <t>Celkové príjmy</t>
  </si>
  <si>
    <t>Príjmy rozpočtu obce Tekovské Lužany</t>
  </si>
  <si>
    <t>daňové príjmy</t>
  </si>
  <si>
    <t>Daňové príjmy - dane z príjmov, dane z majetku</t>
  </si>
  <si>
    <t>003.</t>
  </si>
  <si>
    <t>Výnos dane z príjmov poukázaný samospráve</t>
  </si>
  <si>
    <t>001.</t>
  </si>
  <si>
    <t>Daň z pozemkov</t>
  </si>
  <si>
    <t>v tom: Daň z pozemkov-minulé roky</t>
  </si>
  <si>
    <t>002.</t>
  </si>
  <si>
    <t>Daň zo stavieb</t>
  </si>
  <si>
    <t>v tom: Daň zo stavieb-minulé roky</t>
  </si>
  <si>
    <t>Daň z bytov</t>
  </si>
  <si>
    <t>Daňové príjmy - dane za špecifické služby</t>
  </si>
  <si>
    <t>012.</t>
  </si>
  <si>
    <t>013.</t>
  </si>
  <si>
    <t xml:space="preserve">Daň za komunálny odpad </t>
  </si>
  <si>
    <t>014.</t>
  </si>
  <si>
    <t>Daň za umiestnenie jadrového zar.</t>
  </si>
  <si>
    <t>Daňové príjmy celkom</t>
  </si>
  <si>
    <t>nedaňové príjmy</t>
  </si>
  <si>
    <t>Nedaňové príjmy - z podnikania a z vlastníctva majetku</t>
  </si>
  <si>
    <t>Dividendy</t>
  </si>
  <si>
    <t>004.</t>
  </si>
  <si>
    <t>Príjmy z pren. Strojov a zar. (ČOV)</t>
  </si>
  <si>
    <t>Nedaňové príjmy - administratívne poplatky a iné platby</t>
  </si>
  <si>
    <t>Správne poplatky</t>
  </si>
  <si>
    <t>Za porušenie predpisov</t>
  </si>
  <si>
    <t>Predaj výrobkov, tovarov a služieb-multif.ihr.</t>
  </si>
  <si>
    <t>Za MŠ, školský klub detí</t>
  </si>
  <si>
    <t>Za stravné /MŠ/</t>
  </si>
  <si>
    <t>Za stravné /ZŠ/</t>
  </si>
  <si>
    <t>005.</t>
  </si>
  <si>
    <t>za znečisťovanie ovzdušia</t>
  </si>
  <si>
    <t>Iné nedaňové príjmy</t>
  </si>
  <si>
    <t>Úroky z úverov a vkladov</t>
  </si>
  <si>
    <t>Úroky z vkladov ZŠ, MŠ</t>
  </si>
  <si>
    <t>006.</t>
  </si>
  <si>
    <t>Z náhrad z poistného plnenie</t>
  </si>
  <si>
    <t>008.</t>
  </si>
  <si>
    <t>Z výťažkov z lotérií</t>
  </si>
  <si>
    <t>019.</t>
  </si>
  <si>
    <t>z refundácie</t>
  </si>
  <si>
    <t>017.</t>
  </si>
  <si>
    <t>Z vratiek</t>
  </si>
  <si>
    <t>Nedaňové príjmy spolu</t>
  </si>
  <si>
    <t>granty a transfery</t>
  </si>
  <si>
    <t>Tuzemské bežné granty a transfery</t>
  </si>
  <si>
    <t>Dotácia na školstvo</t>
  </si>
  <si>
    <t>Dotácia na školstvo - kredit.prípl.</t>
  </si>
  <si>
    <t>Dotácia na školstvo-MŠ</t>
  </si>
  <si>
    <t>Dotácia na matričnú činnosť,evid.obyv.</t>
  </si>
  <si>
    <t>Dotácia na podporu zamestnanosti</t>
  </si>
  <si>
    <t xml:space="preserve">001. </t>
  </si>
  <si>
    <t>Transfer na osobitného príjemcu-RP</t>
  </si>
  <si>
    <t>Transfer na osobitného príjemcu - HN</t>
  </si>
  <si>
    <t>Tuzemské granty a transfery</t>
  </si>
  <si>
    <t>Granty a transfery spolu</t>
  </si>
  <si>
    <t>Bežné príjmy spolu</t>
  </si>
  <si>
    <t>2. úprava rozpočtu</t>
  </si>
  <si>
    <t>plnenie III. Q</t>
  </si>
  <si>
    <t>Príjem z predaja kapitálových aktív</t>
  </si>
  <si>
    <t>Príjem z predaja pozemkov a nehm.aktív</t>
  </si>
  <si>
    <t>Zo ŠR - kamerový systém</t>
  </si>
  <si>
    <t>z vratiek</t>
  </si>
  <si>
    <t>Kapitálové príjmy spolu</t>
  </si>
  <si>
    <t>príjmy z ostatných finančných operácií</t>
  </si>
  <si>
    <t>Prevod z rezervného fondu obce</t>
  </si>
  <si>
    <t>Prevod z ostatných fondov obce</t>
  </si>
  <si>
    <t>Príjmy z ostatných finančných operácií</t>
  </si>
  <si>
    <t>úvery, pôžičky a návratné finančné výpomoci</t>
  </si>
  <si>
    <t>Tuzemské úvery, pôžičky a návratné finančné výpomoci</t>
  </si>
  <si>
    <t>Vlastné príjmy RO s právnou subjektivitou</t>
  </si>
  <si>
    <t>Základná škola</t>
  </si>
  <si>
    <t>Základná škola s VJM</t>
  </si>
  <si>
    <t>Materská škola</t>
  </si>
  <si>
    <t>SUMARIZÁCIA</t>
  </si>
  <si>
    <t>Rozpočtové príjmy spolu</t>
  </si>
  <si>
    <t>PROGRAM 1</t>
  </si>
  <si>
    <t>PLÁNOVANIE, MANAŽMENT A KONTROLA</t>
  </si>
  <si>
    <t>Rok</t>
  </si>
  <si>
    <t>Pod-</t>
  </si>
  <si>
    <t>Funkčná,</t>
  </si>
  <si>
    <t>Názov</t>
  </si>
  <si>
    <t>prog-</t>
  </si>
  <si>
    <t>ekonomic.</t>
  </si>
  <si>
    <t xml:space="preserve"> rozpočet</t>
  </si>
  <si>
    <t>v €</t>
  </si>
  <si>
    <t>v  €</t>
  </si>
  <si>
    <t>ram</t>
  </si>
  <si>
    <t>klasifik.</t>
  </si>
  <si>
    <t xml:space="preserve">PROGRAM 1:     Manažment, služby občanom </t>
  </si>
  <si>
    <t>v</t>
  </si>
  <si>
    <t>BEŽNÉ VÝDAVKY SPOLU:</t>
  </si>
  <si>
    <t>tom:</t>
  </si>
  <si>
    <t>KAPITÁLOVÉ VÝDAVKY SPOLU:</t>
  </si>
  <si>
    <t>FINANČNÉ OPERÁCIE SPOLU:</t>
  </si>
  <si>
    <t>Verejná správa</t>
  </si>
  <si>
    <t>Aktivita č.1</t>
  </si>
  <si>
    <t>Činnosť obecného úradu</t>
  </si>
  <si>
    <t>01.1.1.6.</t>
  </si>
  <si>
    <t>Obce</t>
  </si>
  <si>
    <t>610</t>
  </si>
  <si>
    <t>Mzdy, platy a ostatné osobné vyrovnania</t>
  </si>
  <si>
    <t>620</t>
  </si>
  <si>
    <t>Poistné a príspevky do poisťovní</t>
  </si>
  <si>
    <t>631</t>
  </si>
  <si>
    <t>Cestovné náhrady</t>
  </si>
  <si>
    <t>632</t>
  </si>
  <si>
    <t>Energie a telekomunikácie</t>
  </si>
  <si>
    <t>633</t>
  </si>
  <si>
    <t>Materiál</t>
  </si>
  <si>
    <t>634</t>
  </si>
  <si>
    <t>Dopravné</t>
  </si>
  <si>
    <t>635</t>
  </si>
  <si>
    <t xml:space="preserve">Rutinná a štandardná údržba </t>
  </si>
  <si>
    <t>636</t>
  </si>
  <si>
    <t>Nájomné za prenájom</t>
  </si>
  <si>
    <t>637</t>
  </si>
  <si>
    <t>Služby</t>
  </si>
  <si>
    <t>711</t>
  </si>
  <si>
    <t>Aktivita č.2</t>
  </si>
  <si>
    <t>Činnosť samosprávnych orgánov obce</t>
  </si>
  <si>
    <t>HK</t>
  </si>
  <si>
    <t>Odmeny poslancom a členom komisií OcZ</t>
  </si>
  <si>
    <t>Členstvo v samosprávnych organizáciách a združeniach</t>
  </si>
  <si>
    <t>642</t>
  </si>
  <si>
    <t>1</t>
  </si>
  <si>
    <t>Členské príspevky do združení</t>
  </si>
  <si>
    <t>2</t>
  </si>
  <si>
    <t>neziskovým organizáciám</t>
  </si>
  <si>
    <t>Manažment investícií</t>
  </si>
  <si>
    <t>01.1.1.6</t>
  </si>
  <si>
    <t>Transakcie verejného dlhu</t>
  </si>
  <si>
    <t>651</t>
  </si>
  <si>
    <t xml:space="preserve">Splácanie úrokov z úverov </t>
  </si>
  <si>
    <t>01.1.2</t>
  </si>
  <si>
    <t>Finančná a rozpočtová oblasť</t>
  </si>
  <si>
    <t>630</t>
  </si>
  <si>
    <t>Poplatky banke</t>
  </si>
  <si>
    <t>3</t>
  </si>
  <si>
    <t>Špeciálne služby / audit/</t>
  </si>
  <si>
    <t>4</t>
  </si>
  <si>
    <t>Za služby poskytnuté v rámci ROP - regen.sídel</t>
  </si>
  <si>
    <t>5</t>
  </si>
  <si>
    <t>Provízie za poskytnutie úveru</t>
  </si>
  <si>
    <t>FINANČNÉ OPERÁCIE VÝDAVKOVÉ SPOLU:</t>
  </si>
  <si>
    <t>824</t>
  </si>
  <si>
    <t>6</t>
  </si>
  <si>
    <t>821</t>
  </si>
  <si>
    <t>7</t>
  </si>
  <si>
    <t>Splatenie istiny úveru</t>
  </si>
  <si>
    <t>Služby občanom</t>
  </si>
  <si>
    <t>01.3.3.</t>
  </si>
  <si>
    <t>Iné všeobecné služby</t>
  </si>
  <si>
    <t>Mzdy</t>
  </si>
  <si>
    <t>Poistné</t>
  </si>
  <si>
    <t>Energie, voda, komunikácie</t>
  </si>
  <si>
    <t xml:space="preserve">Materiál </t>
  </si>
  <si>
    <t>Voľby a referendá</t>
  </si>
  <si>
    <t>01.8.0</t>
  </si>
  <si>
    <t xml:space="preserve">Všeobecné verejné služby inde neklasifikované    </t>
  </si>
  <si>
    <t xml:space="preserve">voľby  </t>
  </si>
  <si>
    <t>PROGRAM 2:</t>
  </si>
  <si>
    <t>OCHRANA OBYVATEĽSTVA</t>
  </si>
  <si>
    <t>Civilná ochrana</t>
  </si>
  <si>
    <t>02.2.0</t>
  </si>
  <si>
    <t>Poštovné a telekomunikačné služby</t>
  </si>
  <si>
    <t>Odmeny a príspevky</t>
  </si>
  <si>
    <t>PROGRAM 3:</t>
  </si>
  <si>
    <t>BEZPEČNOSŤ, PRÁVO A PORIADOK</t>
  </si>
  <si>
    <t>Verejný poriadok a bezpečnosť</t>
  </si>
  <si>
    <t>03.1.0.</t>
  </si>
  <si>
    <t>Policajné služby</t>
  </si>
  <si>
    <t xml:space="preserve">Cestovné náhrady </t>
  </si>
  <si>
    <t>Materiálne zabezpečenie</t>
  </si>
  <si>
    <t xml:space="preserve">Dopravné </t>
  </si>
  <si>
    <t>Údržba výpočtovej techniky</t>
  </si>
  <si>
    <t>8</t>
  </si>
  <si>
    <t>Služby, školenia</t>
  </si>
  <si>
    <t>9</t>
  </si>
  <si>
    <t>Transfery (členské)</t>
  </si>
  <si>
    <t>10</t>
  </si>
  <si>
    <t>Odmeny na základe dohôd</t>
  </si>
  <si>
    <t>Monitorovací kamerový systém</t>
  </si>
  <si>
    <t>713</t>
  </si>
  <si>
    <t>Ochrana pred požiarmi</t>
  </si>
  <si>
    <t>03.2.0.</t>
  </si>
  <si>
    <t>Požiarna ochrana</t>
  </si>
  <si>
    <t xml:space="preserve">Energie </t>
  </si>
  <si>
    <t>Rutinná a štandardná údržba</t>
  </si>
  <si>
    <t>Služby v súvislosti s požiarnou ochranou</t>
  </si>
  <si>
    <t>PROGRAM 4: KOMUNIKÁCIE, VÝSTAVBA A ROZVOJ OBCE</t>
  </si>
  <si>
    <t>PROSTREDIE PRE ŽIVOT</t>
  </si>
  <si>
    <t>PROGRAM 4:    Komunikácie, výstavba a rozvoj obce</t>
  </si>
  <si>
    <t>Menšie obecné služby</t>
  </si>
  <si>
    <t>04.1.2.0</t>
  </si>
  <si>
    <t>Všeobecno - pracovná oblasť</t>
  </si>
  <si>
    <t>Mzdy, platy, ostatné osobné vyrovnania</t>
  </si>
  <si>
    <t>Palivo, mazivo</t>
  </si>
  <si>
    <t>Správa a údržba miestnych komunikácií</t>
  </si>
  <si>
    <t>04.5.1.0</t>
  </si>
  <si>
    <t xml:space="preserve">Cestná doprava </t>
  </si>
  <si>
    <t>700</t>
  </si>
  <si>
    <t xml:space="preserve">Asfaltovanie komunikácií  </t>
  </si>
  <si>
    <t>Rutinná a štandartná údržba</t>
  </si>
  <si>
    <t>Výstavba obce</t>
  </si>
  <si>
    <t>04.4.3.0</t>
  </si>
  <si>
    <t>Geometrické plány, štúdie a usporiadanie majetku</t>
  </si>
  <si>
    <t>Správa a údržba majetku</t>
  </si>
  <si>
    <t>04.1.1.0</t>
  </si>
  <si>
    <t>Všeobecná ekonomická a obchodná činnosť</t>
  </si>
  <si>
    <t>Štandardná úrdržba</t>
  </si>
  <si>
    <t>Odstupné</t>
  </si>
  <si>
    <t>na nemocenské dávky</t>
  </si>
  <si>
    <t>04.1.1-0</t>
  </si>
  <si>
    <t>PROGRAM 5</t>
  </si>
  <si>
    <t>ODPADOVÉ HOSPODÁRSTVO</t>
  </si>
  <si>
    <t>Odvoz a zneškodňovanie odpadu</t>
  </si>
  <si>
    <t>05.1.0.</t>
  </si>
  <si>
    <t>Nakladanie s odpadmi</t>
  </si>
  <si>
    <t>Služby - odvoz a likvidácia odpadu</t>
  </si>
  <si>
    <t>externý manažment</t>
  </si>
  <si>
    <t>05.1.0</t>
  </si>
  <si>
    <t>Nakladanie s odpadovými vodami</t>
  </si>
  <si>
    <t>05.2.0.</t>
  </si>
  <si>
    <t>Služby - servis</t>
  </si>
  <si>
    <t xml:space="preserve">poistné  </t>
  </si>
  <si>
    <t>Výstavba kanalizácie</t>
  </si>
  <si>
    <t>Ochrana životného prostredia</t>
  </si>
  <si>
    <t>05.6.0</t>
  </si>
  <si>
    <t>Materiál – povodeň</t>
  </si>
  <si>
    <t>Špeciálne služby</t>
  </si>
  <si>
    <t>PROGRAM 6</t>
  </si>
  <si>
    <t>OBČIANSKA VYBAVENOSŤ</t>
  </si>
  <si>
    <t>Rozvoj obce</t>
  </si>
  <si>
    <t>06.2.0.</t>
  </si>
  <si>
    <t>poistenie - centrum obce</t>
  </si>
  <si>
    <t>špeciálne služby</t>
  </si>
  <si>
    <t>716</t>
  </si>
  <si>
    <t>Projektová dokumentácia</t>
  </si>
  <si>
    <t>717</t>
  </si>
  <si>
    <t>Verejné osvetlenie</t>
  </si>
  <si>
    <t>06.4.0.</t>
  </si>
  <si>
    <t>Rekonštrukcia verejného osvetlenia</t>
  </si>
  <si>
    <t>PROGRAM 7</t>
  </si>
  <si>
    <t>ZDRAVOTNÁ STAROSTLIVOSŤ</t>
  </si>
  <si>
    <t>Zdravotné stredisko</t>
  </si>
  <si>
    <t>07.6.0</t>
  </si>
  <si>
    <t>Zdravotníctvo inde neklasifikované</t>
  </si>
  <si>
    <t>07.6.0.</t>
  </si>
  <si>
    <t>PROGRAM 8</t>
  </si>
  <si>
    <t>ŠPORT A KULTÚRA</t>
  </si>
  <si>
    <t>Športový areál</t>
  </si>
  <si>
    <t>08.1.0.0.</t>
  </si>
  <si>
    <t>Rekreačné a športové služby</t>
  </si>
  <si>
    <t>Energie</t>
  </si>
  <si>
    <t xml:space="preserve">Materiál  </t>
  </si>
  <si>
    <t>Prepravné</t>
  </si>
  <si>
    <t>Transfery športovým klubom</t>
  </si>
  <si>
    <t>TJ Družstevník Tekovské Lužany</t>
  </si>
  <si>
    <t>STK Tekovské Lužany</t>
  </si>
  <si>
    <t>Jednotlivci a ostatné športové aktivity</t>
  </si>
  <si>
    <t xml:space="preserve">Podpora kultúrnych a iných spoločenských aktivít </t>
  </si>
  <si>
    <t>Kultúrne služby</t>
  </si>
  <si>
    <t>08.2.0.1</t>
  </si>
  <si>
    <t>Mzdy, platy a ostatné služobné vyrovnania</t>
  </si>
  <si>
    <t>Všeobecný materiál</t>
  </si>
  <si>
    <t>Reprezentačné</t>
  </si>
  <si>
    <t>Knižničné služby</t>
  </si>
  <si>
    <t>08.2.0.5</t>
  </si>
  <si>
    <t>Knižnica</t>
  </si>
  <si>
    <t>11</t>
  </si>
  <si>
    <t>Tovary a služby</t>
  </si>
  <si>
    <t>Aktivita č.3</t>
  </si>
  <si>
    <t>Organizácia občianskych obradov</t>
  </si>
  <si>
    <t>08.2.0.9</t>
  </si>
  <si>
    <t>Ostatné kultúrne služby</t>
  </si>
  <si>
    <t>12</t>
  </si>
  <si>
    <t>Špeciálne služby (ZPOZ)</t>
  </si>
  <si>
    <t>Transfery kultúre</t>
  </si>
  <si>
    <t>640</t>
  </si>
  <si>
    <t>Mažoretky</t>
  </si>
  <si>
    <t>Obecné slávnosti</t>
  </si>
  <si>
    <t>Transfery občianskym združeniam</t>
  </si>
  <si>
    <t>08.4.0.</t>
  </si>
  <si>
    <t>Náboženské a iné spoločenské služby</t>
  </si>
  <si>
    <t>Transfer cirkvi, nábož.spoločnosti, cirkevnej charite</t>
  </si>
  <si>
    <t>Transfer ostaným občianskym združeniam</t>
  </si>
  <si>
    <t>Správa cintorínov</t>
  </si>
  <si>
    <t>PROGRAM 9</t>
  </si>
  <si>
    <t>VZDELÁVANIE</t>
  </si>
  <si>
    <t>09.1.1.1.</t>
  </si>
  <si>
    <t>Predškolská výchova s bežnou starostlivosťou</t>
  </si>
  <si>
    <t>610,620</t>
  </si>
  <si>
    <t>Mzdy a odvody</t>
  </si>
  <si>
    <t>630,640</t>
  </si>
  <si>
    <t>Potraviny</t>
  </si>
  <si>
    <t>školské potreby</t>
  </si>
  <si>
    <t>dotácia na deti v predškolskom veku</t>
  </si>
  <si>
    <t>Rekonštrukcia materskej školy</t>
  </si>
  <si>
    <t>09.1.2.1.</t>
  </si>
  <si>
    <t>Základné vzdelanie s bežnou starostlivosťou</t>
  </si>
  <si>
    <t>Tovary a služby - z účtu obce</t>
  </si>
  <si>
    <t>ŠKD</t>
  </si>
  <si>
    <t>dotácia na dopravné</t>
  </si>
  <si>
    <t>dotácie pre deti zo sociálne znevýhodneného prostredia</t>
  </si>
  <si>
    <t>dotácia na školské potreby</t>
  </si>
  <si>
    <t>dotácia na vzdelávacie poukazy</t>
  </si>
  <si>
    <t>Zariadenie školského stravovania</t>
  </si>
  <si>
    <t>09.6.0.1.</t>
  </si>
  <si>
    <t>Školské stravovacie zariadenia</t>
  </si>
  <si>
    <t>Odvody</t>
  </si>
  <si>
    <t xml:space="preserve">Všeobecný materiál </t>
  </si>
  <si>
    <t>Prevádzkové stroje a prístroje</t>
  </si>
  <si>
    <t>PROGRAM 10</t>
  </si>
  <si>
    <t xml:space="preserve"> SOCIÁLNE SLUŽBY</t>
  </si>
  <si>
    <t>SOCIÁLNE SLUŽBY</t>
  </si>
  <si>
    <t>Seniori</t>
  </si>
  <si>
    <t>10.2.0.1</t>
  </si>
  <si>
    <t>Staroba</t>
  </si>
  <si>
    <t>Stravovanie dôchodcov</t>
  </si>
  <si>
    <t>Vianočné poukážky</t>
  </si>
  <si>
    <t>Opatrovateľská služba</t>
  </si>
  <si>
    <t>Sociálna pomoc občanom</t>
  </si>
  <si>
    <t>10.7.0.2</t>
  </si>
  <si>
    <t>Pomoc v hmotnej a sociálnej núdzi</t>
  </si>
  <si>
    <t>Jednorázová dávka v hmotnej núdzi</t>
  </si>
  <si>
    <t>Príspevok na pohreb</t>
  </si>
  <si>
    <t>Komunitné centrum</t>
  </si>
  <si>
    <t>10.4.0.2.</t>
  </si>
  <si>
    <t>Sociálne príspevky pre deti</t>
  </si>
  <si>
    <t>10.4.0.</t>
  </si>
  <si>
    <t>Rodina a deti</t>
  </si>
  <si>
    <t>Príspevok na stravovanie detí v hmotnej núdzi</t>
  </si>
  <si>
    <t>Príspevok na osobitného príjemcu</t>
  </si>
  <si>
    <t>BILANCIA PROGRAMOVÉHO ROZPOČTU OBCE TEKOVSKÉ LUŽANY</t>
  </si>
  <si>
    <t>CELKOVÁ BILANCIA ROZPOČTU</t>
  </si>
  <si>
    <t xml:space="preserve">Rok </t>
  </si>
  <si>
    <t>Rozpočtové zdroje:</t>
  </si>
  <si>
    <t>Finančné operácie príjmové</t>
  </si>
  <si>
    <t>ROZPOČTOVÉ ZDROJE SPOLU</t>
  </si>
  <si>
    <t>Rozpočtové výdavky:</t>
  </si>
  <si>
    <t>Bežné výdavky</t>
  </si>
  <si>
    <t>Kapitálové výdavky</t>
  </si>
  <si>
    <t>Finančné operácie výdavkové</t>
  </si>
  <si>
    <t>ROZPOČTOVÉ VÝDAVKY SPOLU</t>
  </si>
  <si>
    <t>ROZDIEL</t>
  </si>
  <si>
    <t>DRUHOVÁ BILANCIA ROZPOČTU</t>
  </si>
  <si>
    <t>rozdiel</t>
  </si>
  <si>
    <t>Výdavkové finančné operácie</t>
  </si>
  <si>
    <t>Rozpočtové zdroje</t>
  </si>
  <si>
    <t>Rozpočtové výdavky</t>
  </si>
  <si>
    <t>€</t>
  </si>
  <si>
    <t>Občianska vybavenosť</t>
  </si>
  <si>
    <t>Vzdelávanie</t>
  </si>
  <si>
    <t>Sumarizácia</t>
  </si>
  <si>
    <t>01 všeobecné verejné služby</t>
  </si>
  <si>
    <t>01.1.1 Výdavky verejnej správy</t>
  </si>
  <si>
    <t>Mzdy, platy, sl.príjmy a ost.os.vyrovnania</t>
  </si>
  <si>
    <t>voľby</t>
  </si>
  <si>
    <t>Na úrazové poistenie</t>
  </si>
  <si>
    <t>z toho  631</t>
  </si>
  <si>
    <t>Energia, voda, telekomunikácie</t>
  </si>
  <si>
    <t>v tom:energia, telekomunikácie-voľby</t>
  </si>
  <si>
    <t>Materiál:</t>
  </si>
  <si>
    <t>interiérové vybavenie</t>
  </si>
  <si>
    <t>výpočtová technika</t>
  </si>
  <si>
    <t>prevádzkové stroje a zariadenia</t>
  </si>
  <si>
    <t>všeobecný materiál - životné prostredie</t>
  </si>
  <si>
    <t>všeobecný materiál</t>
  </si>
  <si>
    <t>009.</t>
  </si>
  <si>
    <t>knihy, časopisy</t>
  </si>
  <si>
    <t>010.</t>
  </si>
  <si>
    <t>pracovné odevy pomôcky</t>
  </si>
  <si>
    <t>011.</t>
  </si>
  <si>
    <t>potraviny</t>
  </si>
  <si>
    <t>softvér a licencie</t>
  </si>
  <si>
    <t>016.</t>
  </si>
  <si>
    <t>reprezentačné</t>
  </si>
  <si>
    <t>Doprava:</t>
  </si>
  <si>
    <t>palivo, mazivá, oleje</t>
  </si>
  <si>
    <t>v tom:palivá,mazivá, oleje - voľby</t>
  </si>
  <si>
    <t>údržba, opravy</t>
  </si>
  <si>
    <t>poistenie</t>
  </si>
  <si>
    <t>prepravné</t>
  </si>
  <si>
    <t>karty, známky, poplatky</t>
  </si>
  <si>
    <t>Rutinná a štandartná údržba:</t>
  </si>
  <si>
    <t>výpočtovej techniky</t>
  </si>
  <si>
    <t>prevádzkových strojov a zariadení</t>
  </si>
  <si>
    <t>budov, priestorov a objektov</t>
  </si>
  <si>
    <t>Nájomné za prenájom:</t>
  </si>
  <si>
    <t>dopravných prostriedkov</t>
  </si>
  <si>
    <t>Služby:</t>
  </si>
  <si>
    <t>školenia, kurzy, semináre</t>
  </si>
  <si>
    <t>031.</t>
  </si>
  <si>
    <t>pokuty a penále</t>
  </si>
  <si>
    <t>všeobecné služby</t>
  </si>
  <si>
    <t>poplatky, odvody a dane</t>
  </si>
  <si>
    <t>stravovanie</t>
  </si>
  <si>
    <t>stravovanie - voľby</t>
  </si>
  <si>
    <t>015.</t>
  </si>
  <si>
    <t>poistné</t>
  </si>
  <si>
    <t>prídel do sociálneho fondu</t>
  </si>
  <si>
    <t>018.</t>
  </si>
  <si>
    <t>kolkové známky</t>
  </si>
  <si>
    <t>027.</t>
  </si>
  <si>
    <t>Bežné transfery</t>
  </si>
  <si>
    <t>občianskym združeniam</t>
  </si>
  <si>
    <t>01.1.2 Finančná a rozpočtová oblasť</t>
  </si>
  <si>
    <t>026.</t>
  </si>
  <si>
    <t>odmeny na základe dohôd-pre čl.zast.</t>
  </si>
  <si>
    <t>Služby - audit</t>
  </si>
  <si>
    <t xml:space="preserve"> Poistné a prísp. do poisťovní-zdroj ŠR</t>
  </si>
  <si>
    <t>v tom: Pracovné odevy+materiál</t>
  </si>
  <si>
    <t>Školenia, kurzy, semináre</t>
  </si>
  <si>
    <t>01</t>
  </si>
  <si>
    <t>Všeobecné verejné služby</t>
  </si>
  <si>
    <t>02 civilná ochrana</t>
  </si>
  <si>
    <t>02.2.0 Civilná obrana</t>
  </si>
  <si>
    <t>Poštové a telekomunikačné služby</t>
  </si>
  <si>
    <t>02</t>
  </si>
  <si>
    <t>03 policajné služby</t>
  </si>
  <si>
    <t>03.1.0 Policajné služby</t>
  </si>
  <si>
    <t>cestovné náhrady</t>
  </si>
  <si>
    <t>Knihy, časopisy, odborná literatúra</t>
  </si>
  <si>
    <t>Pracovné odevy, obuv, prac. Pomôcky</t>
  </si>
  <si>
    <t>Palivá, mazivá, oleje</t>
  </si>
  <si>
    <t>Údržba, opravy</t>
  </si>
  <si>
    <t>Poistenie</t>
  </si>
  <si>
    <t>Rutinná a štandartná údržba-výp.techn.</t>
  </si>
  <si>
    <t>Služby,školenia</t>
  </si>
  <si>
    <t>Transfery (členské, odchodné)</t>
  </si>
  <si>
    <t>03.2.0 Požiarna ochrana</t>
  </si>
  <si>
    <t>Interiérové vybavenie</t>
  </si>
  <si>
    <t>Prevádzkové stroje,prístroje, zariad.</t>
  </si>
  <si>
    <t>Príspevok DHZ</t>
  </si>
  <si>
    <t>03</t>
  </si>
  <si>
    <t>Policajné služby, PO</t>
  </si>
  <si>
    <t>04 všeobecná ekonomická a obchodná oblasť</t>
  </si>
  <si>
    <t>04.1.1 Všeobecná ekonomická a obchodná oblasť</t>
  </si>
  <si>
    <t>Prevádzkové stroje, prístr.,zar.</t>
  </si>
  <si>
    <t>Pracovné odevy, obuv a prac. Pomôcky</t>
  </si>
  <si>
    <t>palivá - kosačky</t>
  </si>
  <si>
    <t>Služby,školenia,poistenie</t>
  </si>
  <si>
    <t>04.1.2 Všeobecno - pracovná oblasť /aktivačná činnosť/</t>
  </si>
  <si>
    <t>Poistné a prísp. do poisťovní - zdroj ŠR</t>
  </si>
  <si>
    <t>Materiál - zdroj ŠR</t>
  </si>
  <si>
    <t>04.4.3 Výstavba</t>
  </si>
  <si>
    <t>04.5.1 Cestná doprava</t>
  </si>
  <si>
    <t>04.7.3 Cestovný ruch</t>
  </si>
  <si>
    <t>04</t>
  </si>
  <si>
    <t>Ekonomická oblasť</t>
  </si>
  <si>
    <t>05 ochrana životného prostredia</t>
  </si>
  <si>
    <t>05.1.0 Nakladanie s odpadmi</t>
  </si>
  <si>
    <t>Prenájom</t>
  </si>
  <si>
    <t>zberný dvor</t>
  </si>
  <si>
    <t>05.2.0 Nakladanie s odpadovými vodami</t>
  </si>
  <si>
    <t>Dopravné, servis</t>
  </si>
  <si>
    <t>Servis a údržba</t>
  </si>
  <si>
    <t>rutinná a štandartná údržba</t>
  </si>
  <si>
    <t>05.6.0 Ochrana životného prostredia</t>
  </si>
  <si>
    <t>05</t>
  </si>
  <si>
    <t>06 občianska vybavenosť</t>
  </si>
  <si>
    <t>06.2.0 Rozvoj obce</t>
  </si>
  <si>
    <t>poistné - centrum obce</t>
  </si>
  <si>
    <t>06.4.0 Verejné osvetlenie</t>
  </si>
  <si>
    <t>06</t>
  </si>
  <si>
    <t>07 zdravotníctvo</t>
  </si>
  <si>
    <t>07.6.0 Zdravotníctvo inde neklasifikované</t>
  </si>
  <si>
    <t>Mzdy, platy,príjmy a ost. os. vyrovn.</t>
  </si>
  <si>
    <t>07</t>
  </si>
  <si>
    <t>Zdravotníctvo</t>
  </si>
  <si>
    <t>08 športové, kultúrne a spoločenské služby</t>
  </si>
  <si>
    <t>08.1.0 Rekreačné a športové služby</t>
  </si>
  <si>
    <t xml:space="preserve">Transfery  </t>
  </si>
  <si>
    <t>v tom: TJ Družstevník</t>
  </si>
  <si>
    <t>STK</t>
  </si>
  <si>
    <t>08.2.0 Kultúrne služby</t>
  </si>
  <si>
    <t>prevádzkové stroje, prístr.,zar.</t>
  </si>
  <si>
    <t>mažoretky</t>
  </si>
  <si>
    <t>Nájomné prev. strojov</t>
  </si>
  <si>
    <t>Všeobecné služby-obecné slávnosti</t>
  </si>
  <si>
    <t>posedenie s dôchodcami</t>
  </si>
  <si>
    <t>08.2.0.5 Knižnice</t>
  </si>
  <si>
    <t>Materiál, knihy</t>
  </si>
  <si>
    <t>08.2.0.9 Ostatné kultúrne služby</t>
  </si>
  <si>
    <t>Špeciálne služby (kronika, ZPOZ)</t>
  </si>
  <si>
    <t>08.4.0 Náboženské a iné spoločenské služby</t>
  </si>
  <si>
    <t>Energie, služby</t>
  </si>
  <si>
    <t>08</t>
  </si>
  <si>
    <t>Športové, kultúrne a spol.služby</t>
  </si>
  <si>
    <t>09 vzdelávanie</t>
  </si>
  <si>
    <t>09.1.1.1 Predškolská výchova s bežnou starostlivosťou</t>
  </si>
  <si>
    <t>610,620,</t>
  </si>
  <si>
    <t>630,640,</t>
  </si>
  <si>
    <t>predškolský vek</t>
  </si>
  <si>
    <t>Tovary a služby- z účtu OÚ</t>
  </si>
  <si>
    <t>09.1.2.1 Základné vzdelanie s bežnou starostlivosťou</t>
  </si>
  <si>
    <t>dotácie a príspevky</t>
  </si>
  <si>
    <t>vzdelávacie poukazy</t>
  </si>
  <si>
    <t>09.6.0.</t>
  </si>
  <si>
    <t>Energia,voda,telekomunikácia</t>
  </si>
  <si>
    <t>Prevádzkové stroje,prístr.</t>
  </si>
  <si>
    <t>Rutinná údržba budov prev.strojov,zar.</t>
  </si>
  <si>
    <t>09</t>
  </si>
  <si>
    <t>10 sociálne zabezpečenie</t>
  </si>
  <si>
    <t>10  Sociálne zabezpečenie</t>
  </si>
  <si>
    <t>10.2.0.2</t>
  </si>
  <si>
    <t>pohrebné</t>
  </si>
  <si>
    <t>nenávr. dávka v HN</t>
  </si>
  <si>
    <t>10.7.0.1</t>
  </si>
  <si>
    <t>Jednorázová dávka v HN</t>
  </si>
  <si>
    <t>10.7.0.1.</t>
  </si>
  <si>
    <t>Sociálne príspevky</t>
  </si>
  <si>
    <t>občianskemu združeniu</t>
  </si>
  <si>
    <t>10.7.0.</t>
  </si>
  <si>
    <t>výdavky na miesta v detských domovoch</t>
  </si>
  <si>
    <t>na stravovanie detí v HN-zdroj ŠR</t>
  </si>
  <si>
    <t>osobitný príjemca - HN</t>
  </si>
  <si>
    <t>osobitný príjemca-RP</t>
  </si>
  <si>
    <t>Sociálne zabezpečenie</t>
  </si>
  <si>
    <t>Bežné výdavky spolu:</t>
  </si>
  <si>
    <t>Prev.zariadenie - kamerový systém</t>
  </si>
  <si>
    <t>v tom:Prev.zariad. - kamerový systém-ŠR</t>
  </si>
  <si>
    <t>04.5.1.3 Správa a údržba ciest</t>
  </si>
  <si>
    <r>
      <t>05.</t>
    </r>
    <r>
      <rPr>
        <b/>
        <i/>
        <sz val="8"/>
        <rFont val="Arial CE"/>
        <family val="2"/>
        <charset val="238"/>
      </rPr>
      <t>2.0 Nakladanie s odpadovými vodami</t>
    </r>
  </si>
  <si>
    <t>projektová dokumentácia</t>
  </si>
  <si>
    <t>06.2.0 Rozvoj obcí</t>
  </si>
  <si>
    <t>Rekonštrukcia parku</t>
  </si>
  <si>
    <t>Prípravná a projektová dokumentácia</t>
  </si>
  <si>
    <t>Rekonštrukcia MŠ</t>
  </si>
  <si>
    <t>Rekonštrukcia a modernizácia</t>
  </si>
  <si>
    <t>10.4 Sociálne zabezpečenie</t>
  </si>
  <si>
    <t>Kapitálové výdavky spolu:</t>
  </si>
  <si>
    <t>Výdavkové finančné oprácie</t>
  </si>
  <si>
    <t>Výdavkové finančné operácie spolu:</t>
  </si>
  <si>
    <t>Bežné výdavky spolu</t>
  </si>
  <si>
    <t>Kapitálové výdavky spolu</t>
  </si>
  <si>
    <t>Rozpočtové výdavky spolu</t>
  </si>
  <si>
    <t>Príspevok pre DHZ</t>
  </si>
  <si>
    <t>dotácia na školstvo - učebnice</t>
  </si>
  <si>
    <t>dotácia - KC</t>
  </si>
  <si>
    <t>granty OP</t>
  </si>
  <si>
    <t>od fyzickej osoby</t>
  </si>
  <si>
    <t>prevod z ostatných fondov obce</t>
  </si>
  <si>
    <t>dotácia na školstvo - kreditové príplatky</t>
  </si>
  <si>
    <t>3.14</t>
  </si>
  <si>
    <t>transfer na osobitného príjemcu - RP</t>
  </si>
  <si>
    <t>transfer na osobitného príjemcu - HN</t>
  </si>
  <si>
    <t>3.15</t>
  </si>
  <si>
    <t>3.16</t>
  </si>
  <si>
    <t>3.17</t>
  </si>
  <si>
    <t>3.21</t>
  </si>
  <si>
    <t>dotácia - komunitné centrum</t>
  </si>
  <si>
    <t>príjem z predaja kapitálových aktív</t>
  </si>
  <si>
    <t>príjem z predaja pozemkov a nehmotných aktív</t>
  </si>
  <si>
    <t>Mzdy, platy, sl. Príjmy a ost.os.vyrovnania § 54</t>
  </si>
  <si>
    <t>všeobecný materiál - ples obce</t>
  </si>
  <si>
    <t>licencie, autorské práva SOZA</t>
  </si>
  <si>
    <t>všeobecné služby - ples obce</t>
  </si>
  <si>
    <t>koncesionárske poplatky</t>
  </si>
  <si>
    <t>v tom mzdy - zdroj ŠR</t>
  </si>
  <si>
    <t>Servis</t>
  </si>
  <si>
    <t>pracovné odevy, obuv a prac.pomôcky § 54</t>
  </si>
  <si>
    <t>energie a telekomunikácie</t>
  </si>
  <si>
    <t>mzdy, platy, sl.príjmy a ost.os.vyrovnania</t>
  </si>
  <si>
    <t>v tom - zdroj ŠR</t>
  </si>
  <si>
    <t>poistné a príspevky do poisťovní</t>
  </si>
  <si>
    <t>poistenie dopravných prostriedkov</t>
  </si>
  <si>
    <t>učebnice</t>
  </si>
  <si>
    <t>TSP</t>
  </si>
  <si>
    <t>cestovné</t>
  </si>
  <si>
    <t>energia, voda, telekomunikácie</t>
  </si>
  <si>
    <t>prevádzkové stroje, prístroje, zariadenia</t>
  </si>
  <si>
    <t>softvér</t>
  </si>
  <si>
    <t>služby</t>
  </si>
  <si>
    <t>nákl.voz.ťahače príp.voz.</t>
  </si>
  <si>
    <t>Rekonštrukcia OcÚ</t>
  </si>
  <si>
    <t>Rekonštrukcia Ocú z RF</t>
  </si>
  <si>
    <t>vratky</t>
  </si>
  <si>
    <t>Terénna sociálna práca</t>
  </si>
  <si>
    <t>13</t>
  </si>
  <si>
    <t>dotácia na učebnice</t>
  </si>
  <si>
    <t>príjmy z pren.strojov a zariadení (zberný dvor)</t>
  </si>
  <si>
    <t>Príjem poplatkov zberného dvora</t>
  </si>
  <si>
    <t>2.12</t>
  </si>
  <si>
    <t>lízing vozidla</t>
  </si>
  <si>
    <t>dotácia pre DHZ</t>
  </si>
  <si>
    <t>likvidácia kuchynského odpadu</t>
  </si>
  <si>
    <t>výstavba chodníkov</t>
  </si>
  <si>
    <r>
      <t>Predmetom dane za jadrové zariadenie v súlade so zákonom č. 582/2004 Z.z. o miestnych daniach a poplatku za komunálne odpady a drobné stavebné odpady je jadrové zariadenie v ktorom prebieha štiepna reakcia a vyrába sa elektrická energia (ďalej len „jadrové zariadenie“), a to aj časť kalendárneho roka. Daňovníkom dane je prevádzkovateľ jadrového zariadenia. Základom dane je výmera katastrálneho územia obce v m</t>
    </r>
    <r>
      <rPr>
        <vertAlign val="superscript"/>
        <sz val="8"/>
        <rFont val="Tahoma"/>
        <family val="2"/>
        <charset val="238"/>
      </rPr>
      <t>2</t>
    </r>
    <r>
      <rPr>
        <sz val="8"/>
        <rFont val="Tahoma"/>
        <family val="2"/>
        <charset val="238"/>
      </rPr>
      <t>, ktoré sa nachádza v oblasti ohrozenia jadrovým zariadením.</t>
    </r>
  </si>
  <si>
    <t>bežné príjmy</t>
  </si>
  <si>
    <t>kapitálové príjmy</t>
  </si>
  <si>
    <t>príjmové finančné operácie</t>
  </si>
  <si>
    <t>vlastné príjmy RO s právnou subjektivitou</t>
  </si>
  <si>
    <t>dotácia TSP</t>
  </si>
  <si>
    <t>bankové úvery dlhodobé</t>
  </si>
  <si>
    <t>granty KC</t>
  </si>
  <si>
    <t>zberný dvor/nemocenské dávky</t>
  </si>
  <si>
    <t>služby maž. Stretnutie</t>
  </si>
  <si>
    <t>nákup pozemkov/prev.strojov a zariadení</t>
  </si>
  <si>
    <t>04.1.1</t>
  </si>
  <si>
    <t>Všeobecná obchodná a ekonomická oblasť</t>
  </si>
  <si>
    <t>nákup prev.strojov a zariadení (buldozér)</t>
  </si>
  <si>
    <t>realizácia stavieb</t>
  </si>
  <si>
    <t>dotácia na podporu športu/kultúry</t>
  </si>
  <si>
    <t>MŽP SR (kanalizácia)</t>
  </si>
  <si>
    <t>v tom: aktivačná činnosť</t>
  </si>
  <si>
    <t>komunitné centrum</t>
  </si>
  <si>
    <t>nákup prevádzkových strojov a zariadení</t>
  </si>
  <si>
    <t>3.22</t>
  </si>
  <si>
    <t>3.23</t>
  </si>
  <si>
    <t>Leader - park</t>
  </si>
  <si>
    <t>pamätník/MR</t>
  </si>
  <si>
    <t>rež.nákl. Od stravníkov ZŠ</t>
  </si>
  <si>
    <t>reprezentačné Kult. Komisia</t>
  </si>
  <si>
    <t>zdravotné stredisko</t>
  </si>
  <si>
    <t>európa obyvateľom</t>
  </si>
  <si>
    <t>nákup prev.strojov</t>
  </si>
  <si>
    <t>ŠKD - príspevky rodičov</t>
  </si>
  <si>
    <t>MŠVVaŠ SR - dopravné</t>
  </si>
  <si>
    <t>MŠVVaŠ SR - lyžiarsky kurz, škola v prírode</t>
  </si>
  <si>
    <t>MŠVVaŠ SR - vzdelávacie poukazy</t>
  </si>
  <si>
    <t>MPSVaR SR - dotácia na deti zo SZP</t>
  </si>
  <si>
    <t>MPSVaR SR - ŠP v hmotnej núdzi</t>
  </si>
  <si>
    <t>MŠVVaŠ SR - kreditové príplatky</t>
  </si>
  <si>
    <t>príspevky od rodičov</t>
  </si>
  <si>
    <t>MPSVaR SR - školské potreby</t>
  </si>
  <si>
    <t>stravné - deti</t>
  </si>
  <si>
    <t>stravné - dospelí</t>
  </si>
  <si>
    <t>MPSVaR SR - predškolský vek</t>
  </si>
  <si>
    <t>Školská jedáleň pri MŠ</t>
  </si>
  <si>
    <t>1-4</t>
  </si>
  <si>
    <t>5-9</t>
  </si>
  <si>
    <t>NPG</t>
  </si>
  <si>
    <t>dopravné</t>
  </si>
  <si>
    <t>lyžiarsky kurz, škola v prírode</t>
  </si>
  <si>
    <t>dotácia pre deti zo SZP</t>
  </si>
  <si>
    <t>mzdy a odvody</t>
  </si>
  <si>
    <t>Základná škola s VJM - Alapiskola</t>
  </si>
  <si>
    <t>školské potreby z ÚPSV a R</t>
  </si>
  <si>
    <t>školské potreby z ÚPSVaR</t>
  </si>
  <si>
    <t>v tom: mzdy, platy, sl.príjym a ost.os.vyrovnania</t>
  </si>
  <si>
    <t xml:space="preserve">          Odmeny zamestnancom mimoprac.pomeru</t>
  </si>
  <si>
    <t>v tom: mzdy, platy, sl.príjym a ost.os.vyrovn.-asist.</t>
  </si>
  <si>
    <t xml:space="preserve">          poistné a príspevky do posťovní-asist.</t>
  </si>
  <si>
    <t xml:space="preserve">         vš.materiál </t>
  </si>
  <si>
    <t xml:space="preserve">          vš. materiál - krúžková činnosť</t>
  </si>
  <si>
    <t>v tom: Odmeny zamestnancom mimoprac.pomeru</t>
  </si>
  <si>
    <t xml:space="preserve">          Poistné a príspevky do poisťovní</t>
  </si>
  <si>
    <t xml:space="preserve">          Služby, prepravné, zápožička</t>
  </si>
  <si>
    <t>MPSVaR SR - učebnice</t>
  </si>
  <si>
    <t>všeobecný materiál - ŠKD</t>
  </si>
  <si>
    <t>v tom: služby, ubytovanie, zápožička</t>
  </si>
  <si>
    <t>v tom: Mzdy,platy, sl.príjmy a ost. os.vyrovnania</t>
  </si>
  <si>
    <t xml:space="preserve">         Odmeny zamestnancom mimoprac.pomeru</t>
  </si>
  <si>
    <t>Za stravné /OcÚ/-režijné náklady šj</t>
  </si>
  <si>
    <t xml:space="preserve">          ŠKD ZŠ </t>
  </si>
  <si>
    <t xml:space="preserve">          ŠKD ZŠ s VJM</t>
  </si>
  <si>
    <t>V tom:mzdy - zdroj ŠR</t>
  </si>
  <si>
    <t>v tom: MŠ + ŠJ</t>
  </si>
  <si>
    <t>Dotácia na vzdelávanie MRK/ROEP</t>
  </si>
  <si>
    <t>bežné transfery:</t>
  </si>
  <si>
    <t>škola v prírode, lyžiarsky kurz</t>
  </si>
  <si>
    <t>školská jedáleň</t>
  </si>
  <si>
    <t>vlastné príjmy RO</t>
  </si>
  <si>
    <t>CVČ</t>
  </si>
  <si>
    <t>predaj výrobkov, tovarov a služieb - zberný dvor</t>
  </si>
  <si>
    <t>z dobropisov</t>
  </si>
  <si>
    <t>opatrovateľská služba</t>
  </si>
  <si>
    <t>dotácia - kanalizácia</t>
  </si>
  <si>
    <t>dotácia - skladník PIOO</t>
  </si>
  <si>
    <t>dotácia - TSP</t>
  </si>
  <si>
    <t>poplatky, odvody a dane - úverový poplatok</t>
  </si>
  <si>
    <t>na členské príspevky, DCOM</t>
  </si>
  <si>
    <t>splácanie úrokov banke - úver</t>
  </si>
  <si>
    <t>z roku 2016</t>
  </si>
  <si>
    <t>obecné slávnosti EU</t>
  </si>
  <si>
    <t>obecné slávnosti VUC</t>
  </si>
  <si>
    <t>knihy BG - Nem felejtunk</t>
  </si>
  <si>
    <t>nájomné</t>
  </si>
  <si>
    <t>zdravotníctvo</t>
  </si>
  <si>
    <t>v tom: dotácia EU, ŠR</t>
  </si>
  <si>
    <t>Rekonštrukcia ciest, chodníkov</t>
  </si>
  <si>
    <t>MV SR - DHZO</t>
  </si>
  <si>
    <t>IROP (rozšírenie MŠ)</t>
  </si>
  <si>
    <t>SIEA (zateplenie MŠ)</t>
  </si>
  <si>
    <t>ÚV SR - hasičská zbrojnica</t>
  </si>
  <si>
    <t>dotácia lyžiarsky kurz, škola v príríde</t>
  </si>
  <si>
    <t>3.24</t>
  </si>
  <si>
    <t>športové aktivity</t>
  </si>
  <si>
    <t>PHM - kosačky, traktor</t>
  </si>
  <si>
    <t>asistentky</t>
  </si>
  <si>
    <t xml:space="preserve">Odmeny a príspevky </t>
  </si>
  <si>
    <t>učebnice a školské potreby</t>
  </si>
  <si>
    <t>prístavba HZ</t>
  </si>
  <si>
    <t>modernizácia VO</t>
  </si>
  <si>
    <t>MZ SR - CIZS</t>
  </si>
  <si>
    <t>Prístavba MŠ</t>
  </si>
  <si>
    <t>09.7.0.</t>
  </si>
  <si>
    <t>tovary a služby z účtu obce</t>
  </si>
  <si>
    <t>Centrum voľného času</t>
  </si>
  <si>
    <t>14</t>
  </si>
  <si>
    <t>15</t>
  </si>
  <si>
    <t>bežné transfery</t>
  </si>
  <si>
    <t>01.6.0 Iné všeobecné služby /matrika/</t>
  </si>
  <si>
    <t>účast na majetku v tuzemsku</t>
  </si>
  <si>
    <t>ÚV SR - prístavba HZ</t>
  </si>
  <si>
    <t>MŽP - kanalizácia a ČOV</t>
  </si>
  <si>
    <t>IROP - rozšírenie MŠ</t>
  </si>
  <si>
    <t>Nákup pozemkov, projektová dokumentácia</t>
  </si>
  <si>
    <t>814</t>
  </si>
  <si>
    <t>účasť na majetku v tuzemsku</t>
  </si>
  <si>
    <t>007.</t>
  </si>
  <si>
    <t>Dotácia na stravovanie detí ZŠ</t>
  </si>
  <si>
    <t>Dotácia na stravovanie detí MŠ</t>
  </si>
  <si>
    <t>zostatky z predchádzajúcich rokov-zábezpeky</t>
  </si>
  <si>
    <t>IOMO - správne poplatky</t>
  </si>
  <si>
    <t>MPSVaR SR - asistenti</t>
  </si>
  <si>
    <t>stravné deti z UPSVaR</t>
  </si>
  <si>
    <t>sankcie uložené v daňovom konaní</t>
  </si>
  <si>
    <t>Daň za komunálny odpad-minulé roky</t>
  </si>
  <si>
    <t>Daň za psa-minulé roky</t>
  </si>
  <si>
    <t>01.7.0 Transakcia verejného dlhu</t>
  </si>
  <si>
    <t>údržba, opravy buldozéra</t>
  </si>
  <si>
    <t>v tom:mzdy - zdroj ŠR § 50j</t>
  </si>
  <si>
    <t>služby - LSS</t>
  </si>
  <si>
    <t>Služby, dohody</t>
  </si>
  <si>
    <t>08.3.0 Vysielacie a vydavateľské služby</t>
  </si>
  <si>
    <t>všeobecné služby (TV)</t>
  </si>
  <si>
    <t>nákup konvektomatu/digestor</t>
  </si>
  <si>
    <t>odmeny pracovníkom mimo prac.pomeru</t>
  </si>
  <si>
    <t>nákup softwéru - pasport MK, cintorínov</t>
  </si>
  <si>
    <t>prevádzkové stroje a zariadenia-čerpadlo ČOV</t>
  </si>
  <si>
    <t>prístrešok KD</t>
  </si>
  <si>
    <t>v tom: dotácia</t>
  </si>
  <si>
    <t>09.6.0 Vedľajšie služby v školstve</t>
  </si>
  <si>
    <t>zábezpeky</t>
  </si>
  <si>
    <t>výdavky rozpočtových organizácií</t>
  </si>
  <si>
    <t>dotácia zo ŠR</t>
  </si>
  <si>
    <t>doplatok k výdavkom ZŠ VJM</t>
  </si>
  <si>
    <t>MRRaI SR (WIFI)</t>
  </si>
  <si>
    <t>zostatky z predch.rokov - strav. MPSVaR SR</t>
  </si>
  <si>
    <t>návratná FP - kompemzácia výpadku DPFO</t>
  </si>
  <si>
    <t>dotácia asistenti učiteľa (EŠIF)</t>
  </si>
  <si>
    <t>odchodné</t>
  </si>
  <si>
    <t>dobropisy (energie)</t>
  </si>
  <si>
    <t>refundácia výdavkov COVID</t>
  </si>
  <si>
    <t>propagácia, reklama a inzercia (WEB)</t>
  </si>
  <si>
    <t>vrátenie príjmov z mr (strava UPSVaR)</t>
  </si>
  <si>
    <t>mylné platby</t>
  </si>
  <si>
    <t>032.</t>
  </si>
  <si>
    <t>prac.odevy, obuv a prac.pomôcky</t>
  </si>
  <si>
    <t>Služby KO</t>
  </si>
  <si>
    <t>služby zberný dvor</t>
  </si>
  <si>
    <t>Mzdy, platy, sl.príjmy a ost.os.vyrovnania-asist.</t>
  </si>
  <si>
    <t>depozit z roku 2019</t>
  </si>
  <si>
    <t>soc. prac.</t>
  </si>
  <si>
    <t>prístavba HZ - rezervný fond</t>
  </si>
  <si>
    <t>rekonštrukcia - komunikácie</t>
  </si>
  <si>
    <t>Wifi</t>
  </si>
  <si>
    <t>08.1.0.</t>
  </si>
  <si>
    <t>prístavba MŠ - z rezervného fondu</t>
  </si>
  <si>
    <t>Rekonštrukcia multifunkčné ihrisko, detské ihrisko ZŠ dopl. 3759 € ZŠ</t>
  </si>
  <si>
    <t>Splácanie istiny z bankových úverov - vlastné prostriedky</t>
  </si>
  <si>
    <t>Splácanie istiny z bankových úverov - kanalizácia-dotácia</t>
  </si>
  <si>
    <t>MPSVaR SR - soc. asistentky</t>
  </si>
  <si>
    <t>dotácia - testovanie COVID-19</t>
  </si>
  <si>
    <t>zostatky z predch. rokov-odmeny soc.prac.</t>
  </si>
  <si>
    <t>zostatok SF</t>
  </si>
  <si>
    <t>Bankové úvery dlhodobé Prima banka</t>
  </si>
  <si>
    <t>Odmeny a príspevky-voľby, SODB</t>
  </si>
  <si>
    <t>mzdy, platy, - odmeny soc.prac.</t>
  </si>
  <si>
    <t>mzdy, platy,- odmeny soc.prac.</t>
  </si>
  <si>
    <t xml:space="preserve">realizácia CIZS - </t>
  </si>
  <si>
    <t>realizácia CIZS-5%</t>
  </si>
  <si>
    <t>rekonštrukcia - betonovanie</t>
  </si>
  <si>
    <t>odchodné,odstupné</t>
  </si>
  <si>
    <t>úverový poplatok</t>
  </si>
  <si>
    <t>Odmeny, stravovanie, občerstv.,ochr.pomôcky-testovanie</t>
  </si>
  <si>
    <t>realizácia CIZS-neoprávnené výdavky (B)</t>
  </si>
  <si>
    <t>realizácia CIZS - práce naviac  (C) z úveru</t>
  </si>
  <si>
    <t xml:space="preserve">granty - nadácia ZSE, </t>
  </si>
  <si>
    <t>Nadácia Alianz - spomaľ</t>
  </si>
  <si>
    <t>MPSVaR SR - rozvojový projekt "Predškoláci 2021"</t>
  </si>
  <si>
    <t>dotácia COVID ochr.prostriedky,digit.,dinšt.vzd.,testov.</t>
  </si>
  <si>
    <t>ochr.pomôcky COVIID, testov.</t>
  </si>
  <si>
    <t>Prev.zariadenie -merač rýchlosti</t>
  </si>
  <si>
    <t>vtom grant Nadácia ALIANZ</t>
  </si>
  <si>
    <t>Služby CIZS</t>
  </si>
  <si>
    <t>osobný automobil</t>
  </si>
  <si>
    <t>granty, nadácia ZSE</t>
  </si>
  <si>
    <t>VT CIZS, prev.zariad.</t>
  </si>
  <si>
    <t>Interiérové vybavenie zdr.str.,prev.stroje</t>
  </si>
  <si>
    <t>Odchodné</t>
  </si>
  <si>
    <t>odchodné, odstupné</t>
  </si>
  <si>
    <t>rozvojový projekt"Predškoláci 2021"</t>
  </si>
  <si>
    <t>ročné zúčtžovanie ZP</t>
  </si>
  <si>
    <t>dotácia "dajme spolu gól"</t>
  </si>
  <si>
    <t>projekt "dajme spolu gól"</t>
  </si>
  <si>
    <t>refundácia nákladov</t>
  </si>
  <si>
    <t>COVID-19</t>
  </si>
  <si>
    <t xml:space="preserve">odmeny </t>
  </si>
  <si>
    <t>MPSVaR SR - projekt</t>
  </si>
  <si>
    <t>rozvojový projekt</t>
  </si>
  <si>
    <t>projekt MPC</t>
  </si>
  <si>
    <t xml:space="preserve">dobropisy, doplatok k výdavkom  </t>
  </si>
  <si>
    <t>Prepravné,družobné návštevy</t>
  </si>
  <si>
    <t>v tom dotácia</t>
  </si>
  <si>
    <t>zavlažovací systém, workoutové ihrisko</t>
  </si>
  <si>
    <t>budov, priestorov a objektov (COOP, Global)</t>
  </si>
  <si>
    <t>odstupné, odchodné</t>
  </si>
  <si>
    <t>Palivá, mazivá a oleje-Forterra, JCB</t>
  </si>
  <si>
    <t>Palivá, mazivá, oleje- Landini</t>
  </si>
  <si>
    <t>dotlácia - asistent učiteľa</t>
  </si>
  <si>
    <t>z dobropisov, RZ ZP</t>
  </si>
  <si>
    <t>v tom. dotácia z envirom.fondu</t>
  </si>
  <si>
    <t>Enviromentálny fond-tech.vybav. - zberný dvor</t>
  </si>
  <si>
    <t xml:space="preserve">RO </t>
  </si>
  <si>
    <t>zaúčtovaný zostatok ZŠ</t>
  </si>
  <si>
    <t>2020 S</t>
  </si>
  <si>
    <t>odmeny a príspevky</t>
  </si>
  <si>
    <t xml:space="preserve">Predaj služieb </t>
  </si>
  <si>
    <t>Predaj služieb - KO minulé roky</t>
  </si>
  <si>
    <t>testovanie COVID</t>
  </si>
  <si>
    <t>dotácia - európa obyvateľom/nadácia ZSE</t>
  </si>
  <si>
    <t>Dotácia na voľby/SODB</t>
  </si>
  <si>
    <t>nadácia Allianz</t>
  </si>
  <si>
    <t>Envirofond</t>
  </si>
  <si>
    <t>ÚV SR - MFI/wifi</t>
  </si>
  <si>
    <t>SFZ - zavlažovanie ihriska/DRP_workout</t>
  </si>
  <si>
    <t>zostatky z predch.rokov - zábezpeky</t>
  </si>
  <si>
    <t>zostatky z predch.rokov - odmeny soc.prac.</t>
  </si>
  <si>
    <t>zostatky z predch.rokov - SODB</t>
  </si>
  <si>
    <t>zostatky z predch.rokov - stravné MPSVR</t>
  </si>
  <si>
    <t>zostatok z predch.rokov - HZ</t>
  </si>
  <si>
    <t>1.8</t>
  </si>
  <si>
    <t>zostatky z predch.rokov</t>
  </si>
  <si>
    <t>1.9</t>
  </si>
  <si>
    <t>zostatky z predch. Rokov -depozit ZŠ</t>
  </si>
  <si>
    <t>1.10</t>
  </si>
  <si>
    <t>1.11</t>
  </si>
  <si>
    <t>1.12</t>
  </si>
  <si>
    <t>1.13</t>
  </si>
  <si>
    <t>iné PFO - zábezpeky</t>
  </si>
  <si>
    <t>1.14</t>
  </si>
  <si>
    <t>1.15</t>
  </si>
  <si>
    <t>1.16</t>
  </si>
  <si>
    <t>Ostatné úvery a návratné finančné výp.</t>
  </si>
  <si>
    <t>poplatky za zber a uloženie komunálneho odpadu</t>
  </si>
  <si>
    <t>2.13</t>
  </si>
  <si>
    <t>vrátenie zábezpeky</t>
  </si>
  <si>
    <t>Odmeny a príspevky - testovanie COVID</t>
  </si>
  <si>
    <t>nákup vozidla</t>
  </si>
  <si>
    <t>prístavba hasičskej zbrojnice</t>
  </si>
  <si>
    <t>Kamerový systém + merač rýchlosti</t>
  </si>
  <si>
    <t>splácanie istiny z banlvých úverov - dotácia</t>
  </si>
  <si>
    <t>splácanie istiny z banlvých úverov - vlastné zdroje</t>
  </si>
  <si>
    <t>wifi</t>
  </si>
  <si>
    <t>KD</t>
  </si>
  <si>
    <t>závlaha, workout</t>
  </si>
  <si>
    <t>odstupné</t>
  </si>
  <si>
    <t>Aktivita č.4</t>
  </si>
  <si>
    <t>Vysielacie a vydavateľské služby</t>
  </si>
  <si>
    <t>08.3.0.</t>
  </si>
  <si>
    <t>telocvičňa</t>
  </si>
  <si>
    <t>COVID</t>
  </si>
  <si>
    <t>Výdavky rozpočtových organizácií</t>
  </si>
  <si>
    <t>Enviromentálny fond-tech.vybavenie zberný dvor</t>
  </si>
  <si>
    <t>Kontokorentný úver ČSOB</t>
  </si>
  <si>
    <t>Detské ihrisko pri CIZS</t>
  </si>
  <si>
    <t>2020   S</t>
  </si>
  <si>
    <t>príspevok na ubytovanie ukrajincov</t>
  </si>
  <si>
    <t>Výpočtová technika - signalizačné zariadenie</t>
  </si>
  <si>
    <t>nákup prev.strojov - tlačiareň</t>
  </si>
  <si>
    <t>Konvektomat/el.sporák šj</t>
  </si>
  <si>
    <t>splácanie finančného prenájmu</t>
  </si>
  <si>
    <t>detské ihrisko</t>
  </si>
  <si>
    <t>Dotácia na voľby,SODB, referendum</t>
  </si>
  <si>
    <t>záujmové vzdelávanie</t>
  </si>
  <si>
    <t>DK</t>
  </si>
  <si>
    <t>príspevok ZŠ s VJM - plyn</t>
  </si>
  <si>
    <t>DK - prev.náklady</t>
  </si>
  <si>
    <t>dotácia RP "Letná škola", "Zelená škola"</t>
  </si>
  <si>
    <t>dotácia "Čítame radi", "Spolu múdrejší"</t>
  </si>
  <si>
    <t xml:space="preserve">                </t>
  </si>
  <si>
    <t>projekt "Zelená škola"</t>
  </si>
  <si>
    <t>Dotácia na energie KC</t>
  </si>
  <si>
    <t>dotácia za ubyt. Odídenca z Ukrajiny</t>
  </si>
  <si>
    <t>projekt NSK, dot.na šk.pom.pre detí z UA</t>
  </si>
  <si>
    <t>dotácia - odmeny soc. pracovníkom</t>
  </si>
  <si>
    <t>Rekonštrukcia zdravotného strediska/detské ihrisko</t>
  </si>
  <si>
    <t>2023 OS</t>
  </si>
  <si>
    <t>zostatok z predchádzajúcich rokov</t>
  </si>
  <si>
    <t>zostatok hasičská zbrojnica</t>
  </si>
  <si>
    <t>zostatok detské ihrisko</t>
  </si>
  <si>
    <t>zostatok referendum</t>
  </si>
  <si>
    <t>zostatok z predchádzajúcich rokov RO</t>
  </si>
  <si>
    <t>stravné - režijné náklady</t>
  </si>
  <si>
    <t>Výdavky rozpočtu obce Tekovské Lužany na roky 2024 - 2026</t>
  </si>
  <si>
    <t>voľby, referendum</t>
  </si>
  <si>
    <t>príspevky - školy</t>
  </si>
  <si>
    <t>jednotlivcovi-stravovanie</t>
  </si>
  <si>
    <t>odmeny</t>
  </si>
  <si>
    <t>Príspevok NIVAM</t>
  </si>
  <si>
    <t>inovačné vzdelávanie</t>
  </si>
  <si>
    <t>profesijný rozvoj pg zamestnancov</t>
  </si>
  <si>
    <t>MPC príspevok na kanc. Potreby</t>
  </si>
  <si>
    <t>zostatok z predch.roka</t>
  </si>
  <si>
    <t>2023R</t>
  </si>
  <si>
    <t>2023OS</t>
  </si>
  <si>
    <t>príspevok na stravovanie zamestnancov</t>
  </si>
  <si>
    <t>rozvojové projekty</t>
  </si>
  <si>
    <t>telocvičňa - projektová dokumentácia</t>
  </si>
  <si>
    <t xml:space="preserve">detské ihrisko </t>
  </si>
  <si>
    <t xml:space="preserve">projekt  </t>
  </si>
  <si>
    <t>MF SR - dopady inflácie</t>
  </si>
  <si>
    <t>Enviromentálny fond - zberný dvor</t>
  </si>
  <si>
    <t>NSK - inovatívne ihrisko</t>
  </si>
  <si>
    <t>Odmeny na základe dohôd, nemocenské dávky</t>
  </si>
  <si>
    <t>Rekonštrukcia verejného rozhlasu</t>
  </si>
  <si>
    <t>inovatívne športové ihrisko</t>
  </si>
  <si>
    <t>z kontokorentných úverov ČSOB</t>
  </si>
  <si>
    <t>Enviromentálny fond, CIZS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</si>
</sst>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S_k_-;\-* #,##0.00\ _S_k_-;_-* &quot;-&quot;??\ _S_k_-;_-@_-"/>
    <numFmt numFmtId="165" formatCode="_-* #,##0.00,_S_k_-;\-* #,##0.00,_S_k_-;_-* \-??\ _S_k_-;_-@_-"/>
    <numFmt numFmtId="166" formatCode="_-* #,##0.00&quot; €&quot;_-;\-* #,##0.00&quot; €&quot;_-;_-* \-??&quot; €&quot;_-;_-@_-"/>
    <numFmt numFmtId="167" formatCode="#,##0.0"/>
    <numFmt numFmtId="168" formatCode="0.0"/>
    <numFmt numFmtId="169" formatCode="#,##0;\-#,##0"/>
    <numFmt numFmtId="170" formatCode="#,##0.00;\-#,##0.00"/>
    <numFmt numFmtId="171" formatCode="_-* #,##0\ _S_k_-;\-* #,##0\ _S_k_-;_-* &quot;-&quot;??\ _S_k_-;_-@_-"/>
    <numFmt numFmtId="172" formatCode="_-* #,##0.0\ _S_k_-;\-* #,##0.0\ _S_k_-;_-* &quot;-&quot;??\ _S_k_-;_-@_-"/>
  </numFmts>
  <fonts count="1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CE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color indexed="10"/>
      <name val="Tahoma"/>
      <family val="2"/>
      <charset val="238"/>
    </font>
    <font>
      <b/>
      <sz val="12"/>
      <name val="Tahoma"/>
      <family val="2"/>
      <charset val="238"/>
    </font>
    <font>
      <b/>
      <sz val="12"/>
      <name val="Arial"/>
      <family val="2"/>
      <charset val="238"/>
    </font>
    <font>
      <sz val="12"/>
      <name val="Tahoma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i/>
      <sz val="12"/>
      <name val="Tahoma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color indexed="17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57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0"/>
      <name val="Arial CE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b/>
      <i/>
      <sz val="11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i/>
      <sz val="11"/>
      <name val="Arial"/>
      <family val="2"/>
      <charset val="238"/>
    </font>
    <font>
      <i/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i/>
      <sz val="8"/>
      <color indexed="12"/>
      <name val="Arial CE"/>
      <family val="2"/>
      <charset val="238"/>
    </font>
    <font>
      <sz val="9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48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i/>
      <sz val="8"/>
      <color indexed="57"/>
      <name val="Arial CE"/>
      <family val="2"/>
      <charset val="238"/>
    </font>
    <font>
      <b/>
      <i/>
      <sz val="10"/>
      <color indexed="57"/>
      <name val="Arial CE"/>
      <family val="2"/>
      <charset val="238"/>
    </font>
    <font>
      <sz val="8"/>
      <color indexed="17"/>
      <name val="Arial CE"/>
      <family val="2"/>
      <charset val="238"/>
    </font>
    <font>
      <i/>
      <sz val="10"/>
      <color indexed="12"/>
      <name val="Arial CE"/>
      <family val="2"/>
      <charset val="238"/>
    </font>
    <font>
      <i/>
      <sz val="8"/>
      <color indexed="48"/>
      <name val="Arial CE"/>
      <family val="2"/>
      <charset val="238"/>
    </font>
    <font>
      <b/>
      <i/>
      <sz val="10"/>
      <color indexed="12"/>
      <name val="Arial CE"/>
      <family val="2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color indexed="30"/>
      <name val="Arial CE"/>
      <family val="2"/>
      <charset val="238"/>
    </font>
    <font>
      <sz val="8"/>
      <color indexed="62"/>
      <name val="Arial CE"/>
      <charset val="238"/>
    </font>
    <font>
      <sz val="8"/>
      <color indexed="56"/>
      <name val="Arial CE"/>
      <family val="2"/>
      <charset val="238"/>
    </font>
    <font>
      <sz val="8"/>
      <color indexed="56"/>
      <name val="Arial CE"/>
      <charset val="238"/>
    </font>
    <font>
      <sz val="8"/>
      <color indexed="12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8"/>
      <color indexed="12"/>
      <name val="Arial CE"/>
      <charset val="238"/>
    </font>
    <font>
      <i/>
      <sz val="9"/>
      <name val="Arial CE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vertAlign val="superscript"/>
      <sz val="8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Arial CE"/>
      <charset val="238"/>
    </font>
    <font>
      <b/>
      <i/>
      <sz val="8"/>
      <name val="Arial CE"/>
      <charset val="238"/>
    </font>
    <font>
      <sz val="8"/>
      <color indexed="30"/>
      <name val="Arial CE"/>
      <family val="2"/>
      <charset val="238"/>
    </font>
    <font>
      <b/>
      <sz val="8"/>
      <color indexed="17"/>
      <name val="Arial CE"/>
      <charset val="238"/>
    </font>
    <font>
      <b/>
      <i/>
      <sz val="8"/>
      <color indexed="17"/>
      <name val="Arial CE"/>
      <charset val="238"/>
    </font>
    <font>
      <sz val="8"/>
      <color indexed="30"/>
      <name val="Arial CE"/>
      <charset val="238"/>
    </font>
    <font>
      <b/>
      <sz val="8"/>
      <color indexed="30"/>
      <name val="Arial CE"/>
      <charset val="238"/>
    </font>
    <font>
      <b/>
      <sz val="8"/>
      <color indexed="17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8"/>
      <color indexed="17"/>
      <name val="Arial CE"/>
      <charset val="238"/>
    </font>
    <font>
      <b/>
      <sz val="8"/>
      <color indexed="17"/>
      <name val="Arial CE"/>
      <family val="2"/>
      <charset val="238"/>
    </font>
    <font>
      <b/>
      <sz val="9"/>
      <color indexed="30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30"/>
      <name val="Arial CE"/>
      <charset val="238"/>
    </font>
    <font>
      <b/>
      <sz val="8"/>
      <color indexed="17"/>
      <name val="Arial"/>
      <family val="2"/>
      <charset val="238"/>
    </font>
    <font>
      <sz val="8"/>
      <color indexed="30"/>
      <name val="Arial CE"/>
      <family val="2"/>
      <charset val="238"/>
    </font>
    <font>
      <sz val="8"/>
      <color indexed="30"/>
      <name val="Arial"/>
      <family val="2"/>
      <charset val="238"/>
    </font>
    <font>
      <sz val="8"/>
      <color indexed="17"/>
      <name val="Arial CE"/>
      <family val="2"/>
      <charset val="238"/>
    </font>
    <font>
      <i/>
      <sz val="8"/>
      <color indexed="12"/>
      <name val="Arial CE"/>
      <charset val="238"/>
    </font>
    <font>
      <b/>
      <sz val="8"/>
      <color indexed="10"/>
      <name val="Arial CE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 CE"/>
      <family val="2"/>
      <charset val="238"/>
    </font>
    <font>
      <sz val="8"/>
      <color theme="7" tint="-0.249977111117893"/>
      <name val="Arial"/>
      <family val="2"/>
      <charset val="238"/>
    </font>
    <font>
      <b/>
      <sz val="8"/>
      <color rgb="FF00B050"/>
      <name val="Arial"/>
      <family val="2"/>
      <charset val="238"/>
    </font>
    <font>
      <b/>
      <i/>
      <sz val="9"/>
      <name val="Arial CE"/>
      <charset val="238"/>
    </font>
    <font>
      <sz val="8"/>
      <color rgb="FF002060"/>
      <name val="Arial"/>
      <family val="2"/>
      <charset val="238"/>
    </font>
    <font>
      <sz val="8"/>
      <color theme="7" tint="-0.249977111117893"/>
      <name val="Arial CE"/>
      <charset val="238"/>
    </font>
    <font>
      <sz val="8"/>
      <color theme="7" tint="-0.249977111117893"/>
      <name val="Arial CE"/>
      <family val="2"/>
      <charset val="238"/>
    </font>
    <font>
      <sz val="10"/>
      <color theme="7" tint="-0.249977111117893"/>
      <name val="Arial CE"/>
      <family val="2"/>
      <charset val="238"/>
    </font>
    <font>
      <i/>
      <sz val="10"/>
      <color theme="7" tint="-0.249977111117893"/>
      <name val="Arial CE"/>
      <family val="2"/>
      <charset val="238"/>
    </font>
    <font>
      <sz val="8"/>
      <color theme="8" tint="-0.249977111117893"/>
      <name val="Arial"/>
      <family val="2"/>
      <charset val="238"/>
    </font>
    <font>
      <sz val="7"/>
      <name val="Arial"/>
      <family val="2"/>
      <charset val="238"/>
    </font>
    <font>
      <sz val="8"/>
      <color rgb="FF0070C0"/>
      <name val="Arial"/>
      <family val="2"/>
      <charset val="238"/>
    </font>
    <font>
      <sz val="6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8"/>
      <color theme="6" tint="-0.499984740745262"/>
      <name val="Arial CE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22"/>
      </patternFill>
    </fill>
    <fill>
      <patternFill patternType="solid">
        <fgColor indexed="29"/>
        <bgColor indexed="22"/>
      </patternFill>
    </fill>
    <fill>
      <patternFill patternType="solid">
        <fgColor indexed="50"/>
        <bgColor indexed="22"/>
      </patternFill>
    </fill>
    <fill>
      <patternFill patternType="solid">
        <fgColor indexed="43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2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22"/>
      </patternFill>
    </fill>
    <fill>
      <patternFill patternType="solid">
        <fgColor rgb="FFCCFFCC"/>
        <bgColor indexed="27"/>
      </patternFill>
    </fill>
    <fill>
      <patternFill patternType="solid">
        <fgColor theme="4" tint="0.39997558519241921"/>
        <bgColor indexed="2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41"/>
      </patternFill>
    </fill>
  </fills>
  <borders count="2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31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6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164" fontId="1" fillId="0" borderId="0" applyFill="0" applyBorder="0" applyAlignment="0" applyProtection="0"/>
    <xf numFmtId="165" fontId="6" fillId="0" borderId="0" applyFill="0" applyAlignment="0" applyProtection="0"/>
    <xf numFmtId="0" fontId="7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2" fillId="24" borderId="5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166" fontId="83" fillId="0" borderId="0" applyFill="0" applyBorder="0" applyAlignment="0" applyProtection="0"/>
    <xf numFmtId="0" fontId="15" fillId="0" borderId="7" applyNumberFormat="0" applyFill="0" applyAlignment="0" applyProtection="0"/>
    <xf numFmtId="0" fontId="16" fillId="0" borderId="3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6" fillId="0" borderId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83" fillId="9" borderId="9" applyNumberFormat="0" applyAlignment="0" applyProtection="0"/>
    <xf numFmtId="0" fontId="14" fillId="0" borderId="6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13" fillId="7" borderId="1" applyNumberFormat="0" applyAlignment="0" applyProtection="0"/>
    <xf numFmtId="0" fontId="5" fillId="14" borderId="1" applyNumberFormat="0" applyAlignment="0" applyProtection="0"/>
    <xf numFmtId="0" fontId="19" fillId="14" borderId="10" applyNumberFormat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</cellStyleXfs>
  <cellXfs count="21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right"/>
    </xf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49" fontId="0" fillId="0" borderId="0" xfId="0" applyNumberFormat="1" applyAlignment="1">
      <alignment horizontal="right"/>
    </xf>
    <xf numFmtId="0" fontId="29" fillId="0" borderId="0" xfId="0" applyFont="1" applyBorder="1"/>
    <xf numFmtId="3" fontId="30" fillId="0" borderId="0" xfId="0" applyNumberFormat="1" applyFont="1" applyBorder="1" applyAlignment="1">
      <alignment horizontal="right"/>
    </xf>
    <xf numFmtId="49" fontId="29" fillId="0" borderId="0" xfId="0" applyNumberFormat="1" applyFont="1" applyAlignment="1">
      <alignment horizontal="center"/>
    </xf>
    <xf numFmtId="0" fontId="29" fillId="0" borderId="0" xfId="0" applyFont="1"/>
    <xf numFmtId="3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6" fillId="0" borderId="0" xfId="569" applyFont="1" applyBorder="1"/>
    <xf numFmtId="0" fontId="31" fillId="0" borderId="0" xfId="569" applyFont="1" applyBorder="1"/>
    <xf numFmtId="2" fontId="6" fillId="0" borderId="0" xfId="569" applyNumberFormat="1" applyFont="1" applyBorder="1" applyAlignment="1">
      <alignment horizontal="center"/>
    </xf>
    <xf numFmtId="3" fontId="6" fillId="0" borderId="0" xfId="569" applyNumberFormat="1" applyFont="1" applyBorder="1"/>
    <xf numFmtId="0" fontId="6" fillId="0" borderId="0" xfId="569" applyFont="1" applyFill="1" applyBorder="1"/>
    <xf numFmtId="4" fontId="6" fillId="0" borderId="0" xfId="569" applyNumberFormat="1" applyFont="1" applyFill="1" applyBorder="1"/>
    <xf numFmtId="0" fontId="32" fillId="0" borderId="0" xfId="569" applyFont="1" applyFill="1" applyBorder="1" applyAlignment="1"/>
    <xf numFmtId="0" fontId="32" fillId="0" borderId="0" xfId="569" applyFont="1" applyBorder="1" applyAlignment="1">
      <alignment horizontal="center"/>
    </xf>
    <xf numFmtId="0" fontId="31" fillId="0" borderId="0" xfId="569" applyFont="1" applyBorder="1" applyAlignment="1">
      <alignment horizontal="center"/>
    </xf>
    <xf numFmtId="2" fontId="32" fillId="0" borderId="0" xfId="569" applyNumberFormat="1" applyFont="1" applyFill="1" applyBorder="1" applyAlignment="1"/>
    <xf numFmtId="2" fontId="32" fillId="0" borderId="0" xfId="569" applyNumberFormat="1" applyFont="1" applyFill="1" applyBorder="1" applyAlignment="1">
      <alignment horizontal="center"/>
    </xf>
    <xf numFmtId="3" fontId="32" fillId="0" borderId="0" xfId="569" applyNumberFormat="1" applyFont="1" applyFill="1" applyBorder="1" applyAlignment="1">
      <alignment horizontal="center"/>
    </xf>
    <xf numFmtId="4" fontId="32" fillId="0" borderId="0" xfId="569" applyNumberFormat="1" applyFont="1" applyFill="1" applyBorder="1" applyAlignment="1">
      <alignment horizontal="center"/>
    </xf>
    <xf numFmtId="2" fontId="31" fillId="0" borderId="0" xfId="569" applyNumberFormat="1" applyFont="1" applyFill="1" applyBorder="1" applyAlignment="1">
      <alignment horizontal="justify" vertical="center"/>
    </xf>
    <xf numFmtId="4" fontId="31" fillId="0" borderId="0" xfId="569" applyNumberFormat="1" applyFont="1" applyFill="1" applyBorder="1" applyAlignment="1">
      <alignment horizontal="justify" vertical="top"/>
    </xf>
    <xf numFmtId="4" fontId="35" fillId="0" borderId="0" xfId="569" applyNumberFormat="1" applyFont="1" applyFill="1" applyBorder="1" applyAlignment="1">
      <alignment horizontal="right" vertical="top"/>
    </xf>
    <xf numFmtId="4" fontId="35" fillId="0" borderId="0" xfId="569" applyNumberFormat="1" applyFont="1" applyFill="1" applyBorder="1" applyAlignment="1">
      <alignment horizontal="center" vertical="top"/>
    </xf>
    <xf numFmtId="0" fontId="33" fillId="0" borderId="0" xfId="569" applyFont="1" applyBorder="1"/>
    <xf numFmtId="4" fontId="37" fillId="0" borderId="0" xfId="569" applyNumberFormat="1" applyFont="1" applyFill="1" applyBorder="1" applyAlignment="1">
      <alignment horizontal="right"/>
    </xf>
    <xf numFmtId="4" fontId="37" fillId="0" borderId="0" xfId="569" applyNumberFormat="1" applyFont="1" applyFill="1" applyBorder="1" applyAlignment="1">
      <alignment horizontal="center"/>
    </xf>
    <xf numFmtId="0" fontId="6" fillId="0" borderId="0" xfId="569" applyFill="1" applyBorder="1"/>
    <xf numFmtId="4" fontId="36" fillId="0" borderId="0" xfId="569" applyNumberFormat="1" applyFont="1" applyFill="1" applyBorder="1" applyAlignment="1">
      <alignment horizontal="right"/>
    </xf>
    <xf numFmtId="4" fontId="36" fillId="0" borderId="0" xfId="569" applyNumberFormat="1" applyFont="1" applyFill="1" applyBorder="1" applyAlignment="1">
      <alignment horizontal="center"/>
    </xf>
    <xf numFmtId="4" fontId="38" fillId="0" borderId="0" xfId="569" applyNumberFormat="1" applyFont="1" applyFill="1" applyBorder="1" applyAlignment="1">
      <alignment horizontal="left"/>
    </xf>
    <xf numFmtId="4" fontId="39" fillId="0" borderId="0" xfId="569" applyNumberFormat="1" applyFont="1" applyBorder="1" applyAlignment="1">
      <alignment horizontal="left"/>
    </xf>
    <xf numFmtId="0" fontId="36" fillId="0" borderId="0" xfId="569" applyFont="1" applyBorder="1"/>
    <xf numFmtId="3" fontId="36" fillId="0" borderId="0" xfId="569" applyNumberFormat="1" applyFont="1" applyBorder="1"/>
    <xf numFmtId="3" fontId="36" fillId="0" borderId="0" xfId="569" applyNumberFormat="1" applyFont="1" applyBorder="1" applyAlignment="1">
      <alignment horizontal="center"/>
    </xf>
    <xf numFmtId="3" fontId="37" fillId="0" borderId="0" xfId="569" applyNumberFormat="1" applyFont="1" applyBorder="1"/>
    <xf numFmtId="4" fontId="36" fillId="0" borderId="0" xfId="569" applyNumberFormat="1" applyFont="1" applyBorder="1" applyAlignment="1">
      <alignment horizontal="center"/>
    </xf>
    <xf numFmtId="3" fontId="36" fillId="0" borderId="0" xfId="569" applyNumberFormat="1" applyFont="1" applyBorder="1" applyAlignment="1">
      <alignment horizontal="right"/>
    </xf>
    <xf numFmtId="4" fontId="35" fillId="0" borderId="0" xfId="569" applyNumberFormat="1" applyFont="1" applyFill="1" applyBorder="1" applyAlignment="1">
      <alignment horizontal="center"/>
    </xf>
    <xf numFmtId="0" fontId="33" fillId="0" borderId="0" xfId="569" applyFont="1" applyFill="1" applyBorder="1"/>
    <xf numFmtId="0" fontId="6" fillId="0" borderId="0" xfId="569" applyBorder="1"/>
    <xf numFmtId="0" fontId="36" fillId="0" borderId="0" xfId="569" applyFont="1" applyFill="1" applyBorder="1"/>
    <xf numFmtId="3" fontId="37" fillId="0" borderId="0" xfId="569" applyNumberFormat="1" applyFont="1" applyBorder="1" applyAlignment="1">
      <alignment horizontal="right"/>
    </xf>
    <xf numFmtId="2" fontId="36" fillId="0" borderId="0" xfId="569" applyNumberFormat="1" applyFont="1" applyBorder="1" applyAlignment="1">
      <alignment horizontal="center"/>
    </xf>
    <xf numFmtId="2" fontId="36" fillId="0" borderId="0" xfId="569" applyNumberFormat="1" applyFont="1" applyFill="1" applyBorder="1" applyAlignment="1">
      <alignment horizontal="center"/>
    </xf>
    <xf numFmtId="2" fontId="31" fillId="0" borderId="0" xfId="569" applyNumberFormat="1" applyFont="1" applyFill="1" applyBorder="1" applyAlignment="1">
      <alignment horizontal="center" vertical="center"/>
    </xf>
    <xf numFmtId="4" fontId="31" fillId="0" borderId="0" xfId="569" applyNumberFormat="1" applyFont="1" applyFill="1" applyBorder="1" applyAlignment="1">
      <alignment horizontal="center" vertical="top"/>
    </xf>
    <xf numFmtId="4" fontId="35" fillId="0" borderId="0" xfId="569" applyNumberFormat="1" applyFont="1" applyFill="1" applyBorder="1" applyAlignment="1">
      <alignment horizontal="right"/>
    </xf>
    <xf numFmtId="2" fontId="39" fillId="0" borderId="0" xfId="569" applyNumberFormat="1" applyFont="1" applyBorder="1" applyAlignment="1">
      <alignment horizontal="left"/>
    </xf>
    <xf numFmtId="3" fontId="36" fillId="0" borderId="0" xfId="569" applyNumberFormat="1" applyFont="1" applyFill="1" applyBorder="1"/>
    <xf numFmtId="3" fontId="37" fillId="0" borderId="0" xfId="569" applyNumberFormat="1" applyFont="1" applyFill="1" applyBorder="1"/>
    <xf numFmtId="1" fontId="36" fillId="0" borderId="0" xfId="569" applyNumberFormat="1" applyFont="1" applyFill="1" applyBorder="1" applyAlignment="1">
      <alignment horizontal="left"/>
    </xf>
    <xf numFmtId="1" fontId="36" fillId="0" borderId="0" xfId="569" applyNumberFormat="1" applyFont="1" applyFill="1" applyBorder="1" applyAlignment="1">
      <alignment horizontal="right"/>
    </xf>
    <xf numFmtId="2" fontId="41" fillId="0" borderId="0" xfId="569" applyNumberFormat="1" applyFont="1" applyBorder="1" applyAlignment="1">
      <alignment horizontal="left"/>
    </xf>
    <xf numFmtId="0" fontId="36" fillId="0" borderId="0" xfId="569" applyFont="1" applyBorder="1" applyAlignment="1"/>
    <xf numFmtId="3" fontId="36" fillId="0" borderId="0" xfId="569" applyNumberFormat="1" applyFont="1" applyFill="1" applyBorder="1" applyAlignment="1">
      <alignment horizontal="right"/>
    </xf>
    <xf numFmtId="3" fontId="37" fillId="0" borderId="0" xfId="569" applyNumberFormat="1" applyFont="1" applyFill="1" applyBorder="1" applyAlignment="1">
      <alignment horizontal="right"/>
    </xf>
    <xf numFmtId="3" fontId="32" fillId="4" borderId="0" xfId="569" applyNumberFormat="1" applyFont="1" applyFill="1" applyBorder="1" applyAlignment="1"/>
    <xf numFmtId="3" fontId="32" fillId="0" borderId="0" xfId="569" applyNumberFormat="1" applyFont="1" applyFill="1" applyBorder="1" applyAlignment="1"/>
    <xf numFmtId="3" fontId="34" fillId="0" borderId="0" xfId="569" applyNumberFormat="1" applyFont="1" applyFill="1" applyBorder="1" applyAlignment="1">
      <alignment horizontal="right" vertical="top"/>
    </xf>
    <xf numFmtId="3" fontId="34" fillId="0" borderId="0" xfId="569" applyNumberFormat="1" applyFont="1" applyFill="1" applyBorder="1" applyAlignment="1">
      <alignment horizontal="right"/>
    </xf>
    <xf numFmtId="3" fontId="34" fillId="0" borderId="0" xfId="569" applyNumberFormat="1" applyFont="1" applyFill="1" applyBorder="1"/>
    <xf numFmtId="3" fontId="33" fillId="0" borderId="0" xfId="569" applyNumberFormat="1" applyFont="1" applyFill="1" applyBorder="1" applyAlignment="1">
      <alignment horizontal="center"/>
    </xf>
    <xf numFmtId="3" fontId="6" fillId="0" borderId="0" xfId="569" applyNumberFormat="1" applyFont="1" applyFill="1" applyBorder="1"/>
    <xf numFmtId="2" fontId="39" fillId="0" borderId="0" xfId="569" applyNumberFormat="1" applyFont="1" applyFill="1" applyBorder="1" applyAlignment="1">
      <alignment horizontal="left"/>
    </xf>
    <xf numFmtId="4" fontId="6" fillId="0" borderId="0" xfId="569" applyNumberFormat="1" applyFont="1" applyFill="1" applyBorder="1" applyAlignment="1">
      <alignment horizontal="right"/>
    </xf>
    <xf numFmtId="3" fontId="6" fillId="0" borderId="0" xfId="569" applyNumberFormat="1" applyFont="1" applyFill="1" applyBorder="1" applyAlignment="1">
      <alignment horizontal="right"/>
    </xf>
    <xf numFmtId="4" fontId="36" fillId="0" borderId="0" xfId="569" applyNumberFormat="1" applyFont="1" applyFill="1" applyBorder="1"/>
    <xf numFmtId="1" fontId="35" fillId="0" borderId="0" xfId="569" applyNumberFormat="1" applyFont="1" applyFill="1" applyBorder="1" applyAlignment="1">
      <alignment horizontal="right"/>
    </xf>
    <xf numFmtId="4" fontId="35" fillId="0" borderId="0" xfId="569" applyNumberFormat="1" applyFont="1" applyFill="1" applyBorder="1"/>
    <xf numFmtId="0" fontId="36" fillId="0" borderId="0" xfId="569" applyFont="1" applyBorder="1" applyAlignment="1">
      <alignment horizontal="left"/>
    </xf>
    <xf numFmtId="0" fontId="6" fillId="0" borderId="0" xfId="569"/>
    <xf numFmtId="10" fontId="6" fillId="0" borderId="0" xfId="569" applyNumberFormat="1" applyFont="1" applyBorder="1"/>
    <xf numFmtId="4" fontId="36" fillId="0" borderId="0" xfId="569" applyNumberFormat="1" applyFont="1" applyBorder="1" applyAlignment="1">
      <alignment horizontal="right"/>
    </xf>
    <xf numFmtId="4" fontId="37" fillId="0" borderId="0" xfId="569" applyNumberFormat="1" applyFont="1" applyFill="1" applyBorder="1"/>
    <xf numFmtId="0" fontId="32" fillId="0" borderId="0" xfId="569" applyFont="1" applyFill="1" applyBorder="1"/>
    <xf numFmtId="0" fontId="31" fillId="4" borderId="0" xfId="569" applyFont="1" applyFill="1" applyBorder="1" applyAlignment="1"/>
    <xf numFmtId="0" fontId="31" fillId="0" borderId="0" xfId="569" applyFont="1" applyFill="1" applyBorder="1" applyAlignment="1"/>
    <xf numFmtId="0" fontId="37" fillId="0" borderId="0" xfId="569" applyFont="1" applyBorder="1" applyAlignment="1">
      <alignment horizontal="left"/>
    </xf>
    <xf numFmtId="0" fontId="31" fillId="0" borderId="0" xfId="569" applyFont="1" applyFill="1" applyBorder="1"/>
    <xf numFmtId="4" fontId="31" fillId="0" borderId="0" xfId="569" applyNumberFormat="1" applyFont="1" applyFill="1" applyBorder="1"/>
    <xf numFmtId="3" fontId="31" fillId="0" borderId="0" xfId="569" applyNumberFormat="1" applyFont="1" applyFill="1" applyBorder="1" applyAlignment="1">
      <alignment horizontal="right"/>
    </xf>
    <xf numFmtId="2" fontId="31" fillId="0" borderId="0" xfId="569" applyNumberFormat="1" applyFont="1" applyFill="1" applyBorder="1" applyAlignment="1">
      <alignment horizontal="center"/>
    </xf>
    <xf numFmtId="0" fontId="37" fillId="0" borderId="0" xfId="569" applyFont="1" applyBorder="1"/>
    <xf numFmtId="4" fontId="39" fillId="0" borderId="0" xfId="569" applyNumberFormat="1" applyFont="1" applyBorder="1"/>
    <xf numFmtId="4" fontId="41" fillId="0" borderId="0" xfId="569" applyNumberFormat="1" applyFont="1" applyBorder="1"/>
    <xf numFmtId="0" fontId="44" fillId="0" borderId="0" xfId="0" applyFont="1" applyAlignment="1">
      <alignment horizontal="center"/>
    </xf>
    <xf numFmtId="0" fontId="0" fillId="0" borderId="0" xfId="0" applyBorder="1"/>
    <xf numFmtId="167" fontId="0" fillId="0" borderId="0" xfId="0" applyNumberFormat="1"/>
    <xf numFmtId="3" fontId="0" fillId="0" borderId="0" xfId="0" applyNumberFormat="1"/>
    <xf numFmtId="0" fontId="26" fillId="0" borderId="0" xfId="0" applyFont="1"/>
    <xf numFmtId="167" fontId="45" fillId="0" borderId="0" xfId="0" applyNumberFormat="1" applyFont="1"/>
    <xf numFmtId="3" fontId="0" fillId="0" borderId="0" xfId="0" applyNumberFormat="1" applyFont="1"/>
    <xf numFmtId="0" fontId="46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49" fontId="47" fillId="0" borderId="0" xfId="0" applyNumberFormat="1" applyFont="1" applyFill="1" applyBorder="1" applyAlignment="1">
      <alignment horizontal="center"/>
    </xf>
    <xf numFmtId="0" fontId="47" fillId="0" borderId="0" xfId="0" applyFont="1" applyFill="1" applyBorder="1"/>
    <xf numFmtId="0" fontId="36" fillId="0" borderId="0" xfId="0" applyFont="1" applyFill="1" applyBorder="1"/>
    <xf numFmtId="3" fontId="45" fillId="0" borderId="0" xfId="0" applyNumberFormat="1" applyFont="1"/>
    <xf numFmtId="0" fontId="44" fillId="9" borderId="25" xfId="0" applyFont="1" applyFill="1" applyBorder="1" applyAlignment="1">
      <alignment horizontal="center"/>
    </xf>
    <xf numFmtId="0" fontId="26" fillId="9" borderId="36" xfId="0" applyFont="1" applyFill="1" applyBorder="1" applyAlignment="1">
      <alignment horizontal="left"/>
    </xf>
    <xf numFmtId="49" fontId="46" fillId="9" borderId="28" xfId="0" applyNumberFormat="1" applyFont="1" applyFill="1" applyBorder="1" applyAlignment="1">
      <alignment horizontal="center"/>
    </xf>
    <xf numFmtId="0" fontId="0" fillId="9" borderId="28" xfId="0" applyFont="1" applyFill="1" applyBorder="1"/>
    <xf numFmtId="0" fontId="0" fillId="9" borderId="24" xfId="0" applyFont="1" applyFill="1" applyBorder="1"/>
    <xf numFmtId="0" fontId="44" fillId="9" borderId="37" xfId="0" applyFont="1" applyFill="1" applyBorder="1" applyAlignment="1">
      <alignment horizontal="center"/>
    </xf>
    <xf numFmtId="0" fontId="44" fillId="9" borderId="38" xfId="0" applyFont="1" applyFill="1" applyBorder="1" applyAlignment="1">
      <alignment horizontal="center"/>
    </xf>
    <xf numFmtId="49" fontId="44" fillId="9" borderId="38" xfId="0" applyNumberFormat="1" applyFont="1" applyFill="1" applyBorder="1" applyAlignment="1">
      <alignment horizontal="center"/>
    </xf>
    <xf numFmtId="0" fontId="48" fillId="9" borderId="13" xfId="0" applyFont="1" applyFill="1" applyBorder="1" applyAlignment="1"/>
    <xf numFmtId="0" fontId="48" fillId="9" borderId="39" xfId="0" applyFont="1" applyFill="1" applyBorder="1" applyAlignment="1">
      <alignment horizontal="center"/>
    </xf>
    <xf numFmtId="167" fontId="0" fillId="9" borderId="18" xfId="0" applyNumberFormat="1" applyFont="1" applyFill="1" applyBorder="1" applyAlignment="1">
      <alignment horizontal="center"/>
    </xf>
    <xf numFmtId="167" fontId="0" fillId="9" borderId="40" xfId="0" applyNumberFormat="1" applyFont="1" applyFill="1" applyBorder="1" applyAlignment="1">
      <alignment horizontal="center"/>
    </xf>
    <xf numFmtId="167" fontId="0" fillId="9" borderId="41" xfId="0" applyNumberFormat="1" applyFont="1" applyFill="1" applyBorder="1" applyAlignment="1">
      <alignment horizontal="center"/>
    </xf>
    <xf numFmtId="1" fontId="0" fillId="9" borderId="18" xfId="0" applyNumberFormat="1" applyFont="1" applyFill="1" applyBorder="1" applyAlignment="1">
      <alignment horizontal="center" vertical="center"/>
    </xf>
    <xf numFmtId="1" fontId="0" fillId="9" borderId="42" xfId="0" applyNumberFormat="1" applyFont="1" applyFill="1" applyBorder="1" applyAlignment="1">
      <alignment horizontal="center" vertical="center"/>
    </xf>
    <xf numFmtId="1" fontId="0" fillId="9" borderId="43" xfId="0" applyNumberFormat="1" applyFont="1" applyFill="1" applyBorder="1" applyAlignment="1">
      <alignment horizontal="center" vertical="center"/>
    </xf>
    <xf numFmtId="0" fontId="44" fillId="0" borderId="44" xfId="0" applyFont="1" applyBorder="1" applyAlignment="1">
      <alignment horizontal="center"/>
    </xf>
    <xf numFmtId="0" fontId="49" fillId="7" borderId="26" xfId="0" applyFont="1" applyFill="1" applyBorder="1" applyAlignment="1">
      <alignment horizontal="left" vertical="center"/>
    </xf>
    <xf numFmtId="0" fontId="49" fillId="7" borderId="26" xfId="0" applyFont="1" applyFill="1" applyBorder="1" applyAlignment="1">
      <alignment vertical="center"/>
    </xf>
    <xf numFmtId="0" fontId="49" fillId="7" borderId="26" xfId="0" applyFont="1" applyFill="1" applyBorder="1" applyAlignment="1"/>
    <xf numFmtId="0" fontId="49" fillId="7" borderId="45" xfId="0" applyFont="1" applyFill="1" applyBorder="1" applyAlignment="1"/>
    <xf numFmtId="167" fontId="49" fillId="7" borderId="13" xfId="0" applyNumberFormat="1" applyFont="1" applyFill="1" applyBorder="1" applyAlignment="1"/>
    <xf numFmtId="3" fontId="49" fillId="7" borderId="39" xfId="0" applyNumberFormat="1" applyFont="1" applyFill="1" applyBorder="1" applyAlignment="1"/>
    <xf numFmtId="0" fontId="44" fillId="0" borderId="37" xfId="0" applyFont="1" applyBorder="1" applyAlignment="1">
      <alignment horizontal="center"/>
    </xf>
    <xf numFmtId="0" fontId="50" fillId="7" borderId="38" xfId="0" applyFont="1" applyFill="1" applyBorder="1"/>
    <xf numFmtId="0" fontId="50" fillId="7" borderId="0" xfId="0" applyFont="1" applyFill="1" applyBorder="1"/>
    <xf numFmtId="0" fontId="50" fillId="7" borderId="46" xfId="0" applyFont="1" applyFill="1" applyBorder="1"/>
    <xf numFmtId="0" fontId="50" fillId="7" borderId="47" xfId="0" applyFont="1" applyFill="1" applyBorder="1"/>
    <xf numFmtId="0" fontId="51" fillId="10" borderId="38" xfId="0" applyFont="1" applyFill="1" applyBorder="1" applyAlignment="1">
      <alignment horizontal="center"/>
    </xf>
    <xf numFmtId="0" fontId="53" fillId="10" borderId="38" xfId="0" applyFont="1" applyFill="1" applyBorder="1" applyAlignment="1"/>
    <xf numFmtId="0" fontId="44" fillId="10" borderId="0" xfId="0" applyFont="1" applyFill="1" applyBorder="1" applyAlignment="1"/>
    <xf numFmtId="0" fontId="44" fillId="10" borderId="46" xfId="0" applyFont="1" applyFill="1" applyBorder="1" applyAlignment="1"/>
    <xf numFmtId="167" fontId="52" fillId="10" borderId="22" xfId="0" applyNumberFormat="1" applyFont="1" applyFill="1" applyBorder="1" applyAlignment="1"/>
    <xf numFmtId="3" fontId="52" fillId="10" borderId="44" xfId="0" applyNumberFormat="1" applyFont="1" applyFill="1" applyBorder="1" applyAlignment="1"/>
    <xf numFmtId="3" fontId="52" fillId="10" borderId="37" xfId="0" applyNumberFormat="1" applyFont="1" applyFill="1" applyBorder="1" applyAlignment="1"/>
    <xf numFmtId="0" fontId="54" fillId="0" borderId="38" xfId="0" applyFont="1" applyFill="1" applyBorder="1" applyAlignment="1">
      <alignment horizontal="center"/>
    </xf>
    <xf numFmtId="49" fontId="50" fillId="3" borderId="0" xfId="0" applyNumberFormat="1" applyFont="1" applyFill="1" applyBorder="1" applyAlignment="1">
      <alignment horizontal="left"/>
    </xf>
    <xf numFmtId="0" fontId="55" fillId="3" borderId="0" xfId="0" applyFont="1" applyFill="1" applyBorder="1"/>
    <xf numFmtId="0" fontId="44" fillId="3" borderId="0" xfId="0" applyFont="1" applyFill="1" applyBorder="1"/>
    <xf numFmtId="0" fontId="50" fillId="3" borderId="46" xfId="0" applyFont="1" applyFill="1" applyBorder="1"/>
    <xf numFmtId="167" fontId="50" fillId="3" borderId="22" xfId="0" applyNumberFormat="1" applyFont="1" applyFill="1" applyBorder="1" applyAlignment="1">
      <alignment horizontal="right"/>
    </xf>
    <xf numFmtId="3" fontId="50" fillId="3" borderId="37" xfId="0" applyNumberFormat="1" applyFont="1" applyFill="1" applyBorder="1" applyAlignment="1">
      <alignment horizontal="right"/>
    </xf>
    <xf numFmtId="0" fontId="44" fillId="0" borderId="0" xfId="0" applyFont="1" applyFill="1"/>
    <xf numFmtId="0" fontId="51" fillId="0" borderId="38" xfId="0" applyFont="1" applyFill="1" applyBorder="1" applyAlignment="1">
      <alignment horizontal="center"/>
    </xf>
    <xf numFmtId="0" fontId="53" fillId="0" borderId="0" xfId="0" applyFont="1" applyFill="1" applyBorder="1" applyAlignment="1"/>
    <xf numFmtId="0" fontId="0" fillId="7" borderId="0" xfId="0" applyFont="1" applyFill="1" applyBorder="1"/>
    <xf numFmtId="0" fontId="0" fillId="7" borderId="46" xfId="0" applyFont="1" applyFill="1" applyBorder="1"/>
    <xf numFmtId="167" fontId="50" fillId="7" borderId="22" xfId="0" applyNumberFormat="1" applyFont="1" applyFill="1" applyBorder="1"/>
    <xf numFmtId="3" fontId="50" fillId="7" borderId="37" xfId="0" applyNumberFormat="1" applyFont="1" applyFill="1" applyBorder="1"/>
    <xf numFmtId="0" fontId="44" fillId="0" borderId="0" xfId="0" applyFont="1" applyBorder="1" applyAlignment="1">
      <alignment horizontal="center"/>
    </xf>
    <xf numFmtId="49" fontId="51" fillId="15" borderId="21" xfId="0" applyNumberFormat="1" applyFont="1" applyFill="1" applyBorder="1" applyAlignment="1">
      <alignment horizontal="center"/>
    </xf>
    <xf numFmtId="49" fontId="52" fillId="15" borderId="48" xfId="0" applyNumberFormat="1" applyFont="1" applyFill="1" applyBorder="1" applyAlignment="1">
      <alignment horizontal="left"/>
    </xf>
    <xf numFmtId="0" fontId="52" fillId="15" borderId="15" xfId="0" applyFont="1" applyFill="1" applyBorder="1"/>
    <xf numFmtId="0" fontId="52" fillId="15" borderId="49" xfId="0" applyFont="1" applyFill="1" applyBorder="1"/>
    <xf numFmtId="167" fontId="52" fillId="15" borderId="14" xfId="0" applyNumberFormat="1" applyFont="1" applyFill="1" applyBorder="1" applyAlignment="1">
      <alignment horizontal="right"/>
    </xf>
    <xf numFmtId="3" fontId="50" fillId="15" borderId="50" xfId="0" applyNumberFormat="1" applyFont="1" applyFill="1" applyBorder="1" applyAlignment="1">
      <alignment horizontal="right"/>
    </xf>
    <xf numFmtId="0" fontId="44" fillId="0" borderId="0" xfId="0" applyFont="1" applyFill="1" applyBorder="1" applyAlignment="1">
      <alignment horizontal="center"/>
    </xf>
    <xf numFmtId="49" fontId="56" fillId="0" borderId="51" xfId="0" applyNumberFormat="1" applyFont="1" applyFill="1" applyBorder="1" applyAlignment="1">
      <alignment horizontal="right"/>
    </xf>
    <xf numFmtId="0" fontId="44" fillId="0" borderId="21" xfId="0" applyFont="1" applyBorder="1" applyAlignment="1">
      <alignment horizontal="center"/>
    </xf>
    <xf numFmtId="0" fontId="44" fillId="8" borderId="51" xfId="0" applyFont="1" applyFill="1" applyBorder="1"/>
    <xf numFmtId="0" fontId="44" fillId="8" borderId="38" xfId="0" applyFont="1" applyFill="1" applyBorder="1"/>
    <xf numFmtId="167" fontId="44" fillId="0" borderId="0" xfId="0" applyNumberFormat="1" applyFont="1" applyFill="1" applyBorder="1" applyAlignment="1">
      <alignment horizontal="right"/>
    </xf>
    <xf numFmtId="3" fontId="44" fillId="0" borderId="37" xfId="0" applyNumberFormat="1" applyFont="1" applyFill="1" applyBorder="1" applyAlignment="1">
      <alignment horizontal="right"/>
    </xf>
    <xf numFmtId="0" fontId="44" fillId="0" borderId="16" xfId="0" applyFont="1" applyBorder="1" applyAlignment="1">
      <alignment horizontal="center"/>
    </xf>
    <xf numFmtId="0" fontId="44" fillId="0" borderId="48" xfId="0" applyFont="1" applyFill="1" applyBorder="1"/>
    <xf numFmtId="0" fontId="44" fillId="0" borderId="30" xfId="0" applyFont="1" applyFill="1" applyBorder="1"/>
    <xf numFmtId="167" fontId="44" fillId="0" borderId="15" xfId="0" applyNumberFormat="1" applyFont="1" applyFill="1" applyBorder="1" applyAlignment="1">
      <alignment horizontal="right"/>
    </xf>
    <xf numFmtId="3" fontId="44" fillId="0" borderId="50" xfId="0" applyNumberFormat="1" applyFont="1" applyFill="1" applyBorder="1" applyAlignment="1">
      <alignment horizontal="right"/>
    </xf>
    <xf numFmtId="0" fontId="44" fillId="8" borderId="48" xfId="0" applyFont="1" applyFill="1" applyBorder="1"/>
    <xf numFmtId="0" fontId="44" fillId="8" borderId="30" xfId="0" applyFont="1" applyFill="1" applyBorder="1"/>
    <xf numFmtId="0" fontId="44" fillId="8" borderId="52" xfId="0" applyFont="1" applyFill="1" applyBorder="1"/>
    <xf numFmtId="0" fontId="44" fillId="8" borderId="53" xfId="0" applyFont="1" applyFill="1" applyBorder="1"/>
    <xf numFmtId="167" fontId="44" fillId="0" borderId="19" xfId="0" applyNumberFormat="1" applyFont="1" applyFill="1" applyBorder="1" applyAlignment="1">
      <alignment horizontal="right"/>
    </xf>
    <xf numFmtId="3" fontId="44" fillId="0" borderId="42" xfId="0" applyNumberFormat="1" applyFont="1" applyFill="1" applyBorder="1" applyAlignment="1">
      <alignment horizontal="right"/>
    </xf>
    <xf numFmtId="0" fontId="44" fillId="8" borderId="49" xfId="0" applyFont="1" applyFill="1" applyBorder="1"/>
    <xf numFmtId="167" fontId="44" fillId="0" borderId="14" xfId="0" applyNumberFormat="1" applyFont="1" applyFill="1" applyBorder="1" applyAlignment="1">
      <alignment horizontal="right"/>
    </xf>
    <xf numFmtId="0" fontId="44" fillId="0" borderId="38" xfId="0" applyFont="1" applyBorder="1" applyAlignment="1">
      <alignment horizontal="center"/>
    </xf>
    <xf numFmtId="0" fontId="0" fillId="3" borderId="0" xfId="0" applyFont="1" applyFill="1" applyBorder="1"/>
    <xf numFmtId="0" fontId="52" fillId="3" borderId="46" xfId="0" applyFont="1" applyFill="1" applyBorder="1"/>
    <xf numFmtId="167" fontId="52" fillId="3" borderId="22" xfId="0" applyNumberFormat="1" applyFont="1" applyFill="1" applyBorder="1" applyAlignment="1">
      <alignment horizontal="right"/>
    </xf>
    <xf numFmtId="3" fontId="52" fillId="3" borderId="37" xfId="0" applyNumberFormat="1" applyFont="1" applyFill="1" applyBorder="1" applyAlignment="1">
      <alignment horizontal="right"/>
    </xf>
    <xf numFmtId="0" fontId="44" fillId="0" borderId="38" xfId="0" applyFont="1" applyFill="1" applyBorder="1" applyAlignment="1">
      <alignment horizontal="center"/>
    </xf>
    <xf numFmtId="0" fontId="0" fillId="0" borderId="0" xfId="0" applyFill="1"/>
    <xf numFmtId="49" fontId="51" fillId="15" borderId="38" xfId="0" applyNumberFormat="1" applyFont="1" applyFill="1" applyBorder="1" applyAlignment="1">
      <alignment horizontal="center"/>
    </xf>
    <xf numFmtId="0" fontId="52" fillId="15" borderId="48" xfId="0" applyFont="1" applyFill="1" applyBorder="1"/>
    <xf numFmtId="0" fontId="50" fillId="15" borderId="49" xfId="0" applyFont="1" applyFill="1" applyBorder="1"/>
    <xf numFmtId="167" fontId="50" fillId="15" borderId="14" xfId="0" applyNumberFormat="1" applyFont="1" applyFill="1" applyBorder="1" applyAlignment="1">
      <alignment horizontal="right"/>
    </xf>
    <xf numFmtId="49" fontId="56" fillId="0" borderId="38" xfId="0" applyNumberFormat="1" applyFont="1" applyFill="1" applyBorder="1" applyAlignment="1">
      <alignment horizontal="right"/>
    </xf>
    <xf numFmtId="0" fontId="44" fillId="0" borderId="21" xfId="0" applyFont="1" applyFill="1" applyBorder="1" applyAlignment="1">
      <alignment horizontal="center"/>
    </xf>
    <xf numFmtId="0" fontId="44" fillId="0" borderId="0" xfId="0" applyFont="1" applyFill="1" applyBorder="1"/>
    <xf numFmtId="0" fontId="44" fillId="0" borderId="46" xfId="0" applyFont="1" applyFill="1" applyBorder="1"/>
    <xf numFmtId="167" fontId="50" fillId="0" borderId="22" xfId="0" applyNumberFormat="1" applyFont="1" applyFill="1" applyBorder="1" applyAlignment="1">
      <alignment horizontal="right"/>
    </xf>
    <xf numFmtId="0" fontId="44" fillId="0" borderId="16" xfId="0" applyFont="1" applyFill="1" applyBorder="1" applyAlignment="1">
      <alignment horizontal="center"/>
    </xf>
    <xf numFmtId="0" fontId="44" fillId="0" borderId="15" xfId="0" applyFont="1" applyFill="1" applyBorder="1"/>
    <xf numFmtId="0" fontId="44" fillId="0" borderId="49" xfId="0" applyFont="1" applyFill="1" applyBorder="1"/>
    <xf numFmtId="167" fontId="50" fillId="0" borderId="14" xfId="0" applyNumberFormat="1" applyFont="1" applyFill="1" applyBorder="1" applyAlignment="1">
      <alignment horizontal="right"/>
    </xf>
    <xf numFmtId="0" fontId="50" fillId="0" borderId="49" xfId="0" applyFont="1" applyFill="1" applyBorder="1"/>
    <xf numFmtId="167" fontId="44" fillId="0" borderId="14" xfId="0" applyNumberFormat="1" applyFont="1" applyFill="1" applyBorder="1"/>
    <xf numFmtId="3" fontId="44" fillId="0" borderId="50" xfId="0" applyNumberFormat="1" applyFont="1" applyFill="1" applyBorder="1"/>
    <xf numFmtId="167" fontId="50" fillId="15" borderId="14" xfId="0" applyNumberFormat="1" applyFont="1" applyFill="1" applyBorder="1"/>
    <xf numFmtId="3" fontId="50" fillId="15" borderId="50" xfId="0" applyNumberFormat="1" applyFont="1" applyFill="1" applyBorder="1"/>
    <xf numFmtId="49" fontId="44" fillId="0" borderId="21" xfId="0" applyNumberFormat="1" applyFont="1" applyFill="1" applyBorder="1" applyAlignment="1">
      <alignment horizontal="center"/>
    </xf>
    <xf numFmtId="0" fontId="44" fillId="8" borderId="46" xfId="0" applyFont="1" applyFill="1" applyBorder="1"/>
    <xf numFmtId="167" fontId="44" fillId="0" borderId="22" xfId="0" applyNumberFormat="1" applyFont="1" applyFill="1" applyBorder="1"/>
    <xf numFmtId="3" fontId="44" fillId="0" borderId="37" xfId="0" applyNumberFormat="1" applyFont="1" applyFill="1" applyBorder="1"/>
    <xf numFmtId="49" fontId="56" fillId="0" borderId="0" xfId="0" applyNumberFormat="1" applyFont="1" applyFill="1" applyBorder="1" applyAlignment="1">
      <alignment horizontal="right"/>
    </xf>
    <xf numFmtId="49" fontId="44" fillId="0" borderId="16" xfId="0" applyNumberFormat="1" applyFont="1" applyFill="1" applyBorder="1" applyAlignment="1">
      <alignment horizontal="center"/>
    </xf>
    <xf numFmtId="49" fontId="56" fillId="0" borderId="21" xfId="0" applyNumberFormat="1" applyFont="1" applyFill="1" applyBorder="1" applyAlignment="1">
      <alignment horizontal="right"/>
    </xf>
    <xf numFmtId="167" fontId="44" fillId="0" borderId="22" xfId="0" applyNumberFormat="1" applyFont="1" applyFill="1" applyBorder="1" applyAlignment="1">
      <alignment horizontal="right"/>
    </xf>
    <xf numFmtId="0" fontId="44" fillId="0" borderId="0" xfId="0" applyFont="1" applyBorder="1"/>
    <xf numFmtId="0" fontId="44" fillId="0" borderId="51" xfId="0" applyFont="1" applyBorder="1"/>
    <xf numFmtId="0" fontId="44" fillId="0" borderId="37" xfId="0" applyFont="1" applyBorder="1"/>
    <xf numFmtId="0" fontId="44" fillId="0" borderId="0" xfId="0" applyFont="1"/>
    <xf numFmtId="0" fontId="44" fillId="0" borderId="48" xfId="0" applyFont="1" applyBorder="1"/>
    <xf numFmtId="0" fontId="44" fillId="0" borderId="15" xfId="0" applyFont="1" applyBorder="1"/>
    <xf numFmtId="0" fontId="44" fillId="0" borderId="50" xfId="0" applyFont="1" applyBorder="1"/>
    <xf numFmtId="0" fontId="53" fillId="0" borderId="51" xfId="0" applyFont="1" applyFill="1" applyBorder="1" applyAlignment="1"/>
    <xf numFmtId="167" fontId="52" fillId="15" borderId="14" xfId="0" applyNumberFormat="1" applyFont="1" applyFill="1" applyBorder="1" applyAlignment="1"/>
    <xf numFmtId="3" fontId="50" fillId="15" borderId="50" xfId="0" applyNumberFormat="1" applyFont="1" applyFill="1" applyBorder="1" applyAlignment="1"/>
    <xf numFmtId="0" fontId="50" fillId="0" borderId="46" xfId="0" applyFont="1" applyFill="1" applyBorder="1"/>
    <xf numFmtId="167" fontId="50" fillId="0" borderId="22" xfId="0" applyNumberFormat="1" applyFont="1" applyFill="1" applyBorder="1" applyAlignment="1"/>
    <xf numFmtId="3" fontId="44" fillId="0" borderId="37" xfId="0" applyNumberFormat="1" applyFont="1" applyFill="1" applyBorder="1" applyAlignment="1"/>
    <xf numFmtId="167" fontId="50" fillId="0" borderId="14" xfId="0" applyNumberFormat="1" applyFont="1" applyFill="1" applyBorder="1" applyAlignment="1"/>
    <xf numFmtId="3" fontId="44" fillId="0" borderId="50" xfId="0" applyNumberFormat="1" applyFont="1" applyFill="1" applyBorder="1" applyAlignment="1"/>
    <xf numFmtId="0" fontId="51" fillId="10" borderId="0" xfId="0" applyFont="1" applyFill="1" applyBorder="1" applyAlignment="1">
      <alignment horizontal="center"/>
    </xf>
    <xf numFmtId="0" fontId="53" fillId="10" borderId="51" xfId="0" applyFont="1" applyFill="1" applyBorder="1" applyAlignment="1"/>
    <xf numFmtId="0" fontId="51" fillId="0" borderId="0" xfId="0" applyFont="1" applyFill="1" applyBorder="1" applyAlignment="1">
      <alignment horizontal="center"/>
    </xf>
    <xf numFmtId="49" fontId="54" fillId="15" borderId="21" xfId="0" applyNumberFormat="1" applyFont="1" applyFill="1" applyBorder="1" applyAlignment="1">
      <alignment horizontal="center"/>
    </xf>
    <xf numFmtId="0" fontId="44" fillId="0" borderId="51" xfId="0" applyFont="1" applyFill="1" applyBorder="1"/>
    <xf numFmtId="0" fontId="53" fillId="10" borderId="0" xfId="0" applyFont="1" applyFill="1" applyBorder="1" applyAlignment="1"/>
    <xf numFmtId="0" fontId="50" fillId="10" borderId="46" xfId="0" applyFont="1" applyFill="1" applyBorder="1" applyAlignment="1"/>
    <xf numFmtId="49" fontId="54" fillId="15" borderId="38" xfId="0" applyNumberFormat="1" applyFont="1" applyFill="1" applyBorder="1" applyAlignment="1">
      <alignment horizontal="center"/>
    </xf>
    <xf numFmtId="0" fontId="56" fillId="0" borderId="0" xfId="0" applyFont="1" applyBorder="1" applyAlignment="1">
      <alignment horizontal="right"/>
    </xf>
    <xf numFmtId="0" fontId="44" fillId="0" borderId="15" xfId="0" applyFont="1" applyFill="1" applyBorder="1" applyAlignment="1"/>
    <xf numFmtId="0" fontId="50" fillId="0" borderId="49" xfId="0" applyFont="1" applyFill="1" applyBorder="1" applyAlignment="1"/>
    <xf numFmtId="167" fontId="52" fillId="0" borderId="14" xfId="0" applyNumberFormat="1" applyFont="1" applyFill="1" applyBorder="1" applyAlignment="1"/>
    <xf numFmtId="0" fontId="44" fillId="0" borderId="54" xfId="0" applyFont="1" applyBorder="1" applyAlignment="1">
      <alignment horizontal="center"/>
    </xf>
    <xf numFmtId="0" fontId="51" fillId="0" borderId="55" xfId="0" applyFont="1" applyFill="1" applyBorder="1" applyAlignment="1">
      <alignment horizontal="center"/>
    </xf>
    <xf numFmtId="0" fontId="56" fillId="0" borderId="32" xfId="0" applyFont="1" applyBorder="1" applyAlignment="1">
      <alignment horizontal="right"/>
    </xf>
    <xf numFmtId="0" fontId="44" fillId="0" borderId="35" xfId="0" applyFont="1" applyFill="1" applyBorder="1" applyAlignment="1">
      <alignment horizontal="center"/>
    </xf>
    <xf numFmtId="0" fontId="44" fillId="0" borderId="32" xfId="0" applyFont="1" applyFill="1" applyBorder="1" applyAlignment="1"/>
    <xf numFmtId="0" fontId="50" fillId="0" borderId="56" xfId="0" applyFont="1" applyFill="1" applyBorder="1" applyAlignment="1"/>
    <xf numFmtId="167" fontId="52" fillId="0" borderId="31" xfId="0" applyNumberFormat="1" applyFont="1" applyFill="1" applyBorder="1" applyAlignment="1"/>
    <xf numFmtId="3" fontId="48" fillId="0" borderId="54" xfId="0" applyNumberFormat="1" applyFont="1" applyFill="1" applyBorder="1" applyAlignment="1"/>
    <xf numFmtId="167" fontId="0" fillId="0" borderId="0" xfId="0" applyNumberFormat="1" applyFont="1" applyFill="1"/>
    <xf numFmtId="3" fontId="45" fillId="0" borderId="0" xfId="0" applyNumberFormat="1" applyFont="1" applyFill="1"/>
    <xf numFmtId="167" fontId="0" fillId="0" borderId="0" xfId="0" applyNumberFormat="1" applyFont="1"/>
    <xf numFmtId="167" fontId="0" fillId="9" borderId="22" xfId="0" applyNumberFormat="1" applyFont="1" applyFill="1" applyBorder="1" applyAlignment="1">
      <alignment horizontal="center"/>
    </xf>
    <xf numFmtId="0" fontId="44" fillId="9" borderId="54" xfId="0" applyFont="1" applyFill="1" applyBorder="1" applyAlignment="1">
      <alignment horizontal="center"/>
    </xf>
    <xf numFmtId="0" fontId="44" fillId="9" borderId="57" xfId="0" applyFont="1" applyFill="1" applyBorder="1" applyAlignment="1">
      <alignment horizontal="center"/>
    </xf>
    <xf numFmtId="49" fontId="44" fillId="9" borderId="57" xfId="0" applyNumberFormat="1" applyFont="1" applyFill="1" applyBorder="1" applyAlignment="1">
      <alignment horizontal="center"/>
    </xf>
    <xf numFmtId="1" fontId="0" fillId="9" borderId="33" xfId="0" applyNumberFormat="1" applyFont="1" applyFill="1" applyBorder="1" applyAlignment="1">
      <alignment horizontal="center" vertical="center"/>
    </xf>
    <xf numFmtId="1" fontId="0" fillId="9" borderId="58" xfId="0" applyNumberFormat="1" applyFont="1" applyFill="1" applyBorder="1" applyAlignment="1">
      <alignment horizontal="center" vertical="center"/>
    </xf>
    <xf numFmtId="0" fontId="49" fillId="7" borderId="59" xfId="0" applyFont="1" applyFill="1" applyBorder="1" applyAlignment="1">
      <alignment horizontal="left" vertical="center"/>
    </xf>
    <xf numFmtId="0" fontId="49" fillId="7" borderId="60" xfId="0" applyFont="1" applyFill="1" applyBorder="1" applyAlignment="1">
      <alignment vertical="center"/>
    </xf>
    <xf numFmtId="0" fontId="57" fillId="7" borderId="60" xfId="0" applyFont="1" applyFill="1" applyBorder="1" applyAlignment="1"/>
    <xf numFmtId="0" fontId="49" fillId="7" borderId="60" xfId="0" applyFont="1" applyFill="1" applyBorder="1" applyAlignment="1"/>
    <xf numFmtId="0" fontId="57" fillId="7" borderId="41" xfId="0" applyFont="1" applyFill="1" applyBorder="1" applyAlignment="1"/>
    <xf numFmtId="167" fontId="49" fillId="7" borderId="59" xfId="0" applyNumberFormat="1" applyFont="1" applyFill="1" applyBorder="1" applyAlignment="1"/>
    <xf numFmtId="3" fontId="49" fillId="7" borderId="60" xfId="0" applyNumberFormat="1" applyFont="1" applyFill="1" applyBorder="1" applyAlignment="1"/>
    <xf numFmtId="0" fontId="50" fillId="7" borderId="61" xfId="0" applyFont="1" applyFill="1" applyBorder="1"/>
    <xf numFmtId="0" fontId="50" fillId="7" borderId="62" xfId="0" applyFont="1" applyFill="1" applyBorder="1"/>
    <xf numFmtId="0" fontId="51" fillId="10" borderId="61" xfId="0" applyFont="1" applyFill="1" applyBorder="1" applyAlignment="1">
      <alignment horizontal="center"/>
    </xf>
    <xf numFmtId="3" fontId="52" fillId="10" borderId="0" xfId="0" applyNumberFormat="1" applyFont="1" applyFill="1" applyBorder="1" applyAlignment="1"/>
    <xf numFmtId="0" fontId="51" fillId="0" borderId="61" xfId="0" applyFont="1" applyFill="1" applyBorder="1" applyAlignment="1">
      <alignment horizontal="center"/>
    </xf>
    <xf numFmtId="3" fontId="50" fillId="7" borderId="0" xfId="0" applyNumberFormat="1" applyFont="1" applyFill="1" applyBorder="1"/>
    <xf numFmtId="0" fontId="44" fillId="0" borderId="61" xfId="0" applyFont="1" applyBorder="1" applyAlignment="1">
      <alignment horizontal="center"/>
    </xf>
    <xf numFmtId="49" fontId="54" fillId="15" borderId="0" xfId="0" applyNumberFormat="1" applyFont="1" applyFill="1" applyBorder="1" applyAlignment="1">
      <alignment horizontal="center"/>
    </xf>
    <xf numFmtId="0" fontId="44" fillId="15" borderId="15" xfId="0" applyFont="1" applyFill="1" applyBorder="1"/>
    <xf numFmtId="0" fontId="44" fillId="15" borderId="49" xfId="0" applyFont="1" applyFill="1" applyBorder="1"/>
    <xf numFmtId="3" fontId="50" fillId="15" borderId="14" xfId="0" applyNumberFormat="1" applyFont="1" applyFill="1" applyBorder="1" applyAlignment="1">
      <alignment horizontal="right"/>
    </xf>
    <xf numFmtId="3" fontId="44" fillId="0" borderId="15" xfId="0" applyNumberFormat="1" applyFont="1" applyFill="1" applyBorder="1" applyAlignment="1">
      <alignment horizontal="right"/>
    </xf>
    <xf numFmtId="0" fontId="44" fillId="0" borderId="55" xfId="0" applyFont="1" applyBorder="1" applyAlignment="1">
      <alignment horizontal="center"/>
    </xf>
    <xf numFmtId="49" fontId="56" fillId="0" borderId="32" xfId="0" applyNumberFormat="1" applyFont="1" applyFill="1" applyBorder="1" applyAlignment="1">
      <alignment horizontal="right"/>
    </xf>
    <xf numFmtId="49" fontId="44" fillId="0" borderId="35" xfId="0" applyNumberFormat="1" applyFont="1" applyFill="1" applyBorder="1" applyAlignment="1">
      <alignment horizontal="center"/>
    </xf>
    <xf numFmtId="0" fontId="44" fillId="0" borderId="63" xfId="0" applyFont="1" applyFill="1" applyBorder="1"/>
    <xf numFmtId="0" fontId="44" fillId="0" borderId="56" xfId="0" applyFont="1" applyFill="1" applyBorder="1"/>
    <xf numFmtId="167" fontId="50" fillId="0" borderId="31" xfId="0" applyNumberFormat="1" applyFont="1" applyFill="1" applyBorder="1" applyAlignment="1">
      <alignment horizontal="right"/>
    </xf>
    <xf numFmtId="3" fontId="44" fillId="0" borderId="32" xfId="0" applyNumberFormat="1" applyFont="1" applyFill="1" applyBorder="1" applyAlignment="1">
      <alignment horizontal="right"/>
    </xf>
    <xf numFmtId="3" fontId="44" fillId="0" borderId="54" xfId="0" applyNumberFormat="1" applyFont="1" applyFill="1" applyBorder="1" applyAlignment="1">
      <alignment horizontal="right"/>
    </xf>
    <xf numFmtId="0" fontId="58" fillId="0" borderId="0" xfId="0" applyFont="1" applyBorder="1"/>
    <xf numFmtId="0" fontId="26" fillId="0" borderId="0" xfId="0" applyFont="1" applyBorder="1"/>
    <xf numFmtId="167" fontId="0" fillId="0" borderId="0" xfId="0" applyNumberFormat="1" applyFont="1" applyBorder="1"/>
    <xf numFmtId="3" fontId="59" fillId="0" borderId="0" xfId="0" applyNumberFormat="1" applyFont="1" applyBorder="1"/>
    <xf numFmtId="3" fontId="59" fillId="0" borderId="0" xfId="0" applyNumberFormat="1" applyFont="1" applyFill="1"/>
    <xf numFmtId="0" fontId="57" fillId="7" borderId="26" xfId="0" applyFont="1" applyFill="1" applyBorder="1" applyAlignment="1"/>
    <xf numFmtId="0" fontId="57" fillId="7" borderId="45" xfId="0" applyFont="1" applyFill="1" applyBorder="1" applyAlignment="1"/>
    <xf numFmtId="0" fontId="44" fillId="0" borderId="22" xfId="0" applyFont="1" applyBorder="1" applyAlignment="1">
      <alignment horizontal="center"/>
    </xf>
    <xf numFmtId="49" fontId="54" fillId="15" borderId="21" xfId="0" applyNumberFormat="1" applyFont="1" applyFill="1" applyBorder="1" applyAlignment="1">
      <alignment horizontal="right"/>
    </xf>
    <xf numFmtId="0" fontId="44" fillId="8" borderId="0" xfId="0" applyFont="1" applyFill="1" applyBorder="1"/>
    <xf numFmtId="3" fontId="44" fillId="0" borderId="0" xfId="0" applyNumberFormat="1" applyFont="1" applyFill="1" applyBorder="1" applyAlignment="1">
      <alignment horizontal="right"/>
    </xf>
    <xf numFmtId="0" fontId="44" fillId="8" borderId="15" xfId="0" applyFont="1" applyFill="1" applyBorder="1"/>
    <xf numFmtId="3" fontId="52" fillId="10" borderId="37" xfId="0" applyNumberFormat="1" applyFont="1" applyFill="1" applyBorder="1" applyAlignment="1">
      <alignment horizontal="right"/>
    </xf>
    <xf numFmtId="3" fontId="52" fillId="10" borderId="0" xfId="0" applyNumberFormat="1" applyFont="1" applyFill="1" applyBorder="1" applyAlignment="1">
      <alignment horizontal="right"/>
    </xf>
    <xf numFmtId="0" fontId="0" fillId="0" borderId="21" xfId="0" applyFont="1" applyBorder="1"/>
    <xf numFmtId="0" fontId="44" fillId="8" borderId="16" xfId="0" applyFont="1" applyFill="1" applyBorder="1" applyAlignment="1">
      <alignment horizontal="center"/>
    </xf>
    <xf numFmtId="0" fontId="44" fillId="8" borderId="21" xfId="0" applyFont="1" applyFill="1" applyBorder="1" applyAlignment="1">
      <alignment horizontal="center"/>
    </xf>
    <xf numFmtId="1" fontId="0" fillId="9" borderId="64" xfId="0" applyNumberFormat="1" applyFont="1" applyFill="1" applyBorder="1" applyAlignment="1">
      <alignment horizontal="center" vertical="center"/>
    </xf>
    <xf numFmtId="167" fontId="60" fillId="7" borderId="13" xfId="0" applyNumberFormat="1" applyFont="1" applyFill="1" applyBorder="1" applyAlignment="1"/>
    <xf numFmtId="3" fontId="50" fillId="7" borderId="46" xfId="0" applyNumberFormat="1" applyFont="1" applyFill="1" applyBorder="1"/>
    <xf numFmtId="3" fontId="44" fillId="0" borderId="46" xfId="0" applyNumberFormat="1" applyFont="1" applyFill="1" applyBorder="1" applyAlignment="1">
      <alignment horizontal="right"/>
    </xf>
    <xf numFmtId="3" fontId="44" fillId="0" borderId="49" xfId="0" applyNumberFormat="1" applyFont="1" applyFill="1" applyBorder="1" applyAlignment="1">
      <alignment horizontal="right"/>
    </xf>
    <xf numFmtId="3" fontId="52" fillId="10" borderId="46" xfId="0" applyNumberFormat="1" applyFont="1" applyFill="1" applyBorder="1" applyAlignment="1"/>
    <xf numFmtId="0" fontId="0" fillId="15" borderId="49" xfId="0" applyFont="1" applyFill="1" applyBorder="1"/>
    <xf numFmtId="3" fontId="44" fillId="0" borderId="46" xfId="0" applyNumberFormat="1" applyFont="1" applyBorder="1"/>
    <xf numFmtId="3" fontId="44" fillId="0" borderId="49" xfId="0" applyNumberFormat="1" applyFont="1" applyBorder="1"/>
    <xf numFmtId="0" fontId="44" fillId="7" borderId="46" xfId="0" applyFont="1" applyFill="1" applyBorder="1"/>
    <xf numFmtId="167" fontId="44" fillId="7" borderId="22" xfId="0" applyNumberFormat="1" applyFont="1" applyFill="1" applyBorder="1" applyAlignment="1">
      <alignment horizontal="right"/>
    </xf>
    <xf numFmtId="3" fontId="50" fillId="7" borderId="37" xfId="0" applyNumberFormat="1" applyFont="1" applyFill="1" applyBorder="1" applyAlignment="1">
      <alignment horizontal="right"/>
    </xf>
    <xf numFmtId="0" fontId="56" fillId="0" borderId="21" xfId="0" applyFont="1" applyBorder="1" applyAlignment="1">
      <alignment horizontal="right"/>
    </xf>
    <xf numFmtId="0" fontId="0" fillId="0" borderId="49" xfId="0" applyFont="1" applyFill="1" applyBorder="1"/>
    <xf numFmtId="0" fontId="55" fillId="0" borderId="0" xfId="0" applyFont="1" applyBorder="1" applyAlignment="1">
      <alignment horizontal="center"/>
    </xf>
    <xf numFmtId="0" fontId="55" fillId="15" borderId="49" xfId="0" applyFont="1" applyFill="1" applyBorder="1"/>
    <xf numFmtId="0" fontId="55" fillId="0" borderId="0" xfId="0" applyFont="1"/>
    <xf numFmtId="0" fontId="0" fillId="0" borderId="0" xfId="0" applyFont="1" applyBorder="1" applyAlignment="1">
      <alignment horizontal="center"/>
    </xf>
    <xf numFmtId="0" fontId="44" fillId="0" borderId="46" xfId="0" applyFont="1" applyBorder="1"/>
    <xf numFmtId="0" fontId="0" fillId="0" borderId="22" xfId="0" applyFont="1" applyBorder="1" applyAlignment="1"/>
    <xf numFmtId="0" fontId="56" fillId="0" borderId="0" xfId="0" applyFont="1" applyBorder="1" applyAlignment="1"/>
    <xf numFmtId="0" fontId="44" fillId="0" borderId="15" xfId="0" applyFont="1" applyBorder="1" applyAlignment="1"/>
    <xf numFmtId="0" fontId="44" fillId="0" borderId="49" xfId="0" applyFont="1" applyBorder="1" applyAlignment="1"/>
    <xf numFmtId="0" fontId="53" fillId="10" borderId="0" xfId="0" applyFont="1" applyFill="1" applyBorder="1" applyAlignment="1">
      <alignment horizontal="center"/>
    </xf>
    <xf numFmtId="0" fontId="0" fillId="10" borderId="0" xfId="0" applyFont="1" applyFill="1" applyBorder="1" applyAlignment="1"/>
    <xf numFmtId="0" fontId="0" fillId="10" borderId="46" xfId="0" applyFont="1" applyFill="1" applyBorder="1" applyAlignment="1"/>
    <xf numFmtId="167" fontId="55" fillId="10" borderId="22" xfId="0" applyNumberFormat="1" applyFont="1" applyFill="1" applyBorder="1" applyAlignment="1"/>
    <xf numFmtId="0" fontId="44" fillId="0" borderId="32" xfId="0" applyFont="1" applyBorder="1" applyAlignment="1">
      <alignment horizontal="center"/>
    </xf>
    <xf numFmtId="49" fontId="56" fillId="0" borderId="35" xfId="0" applyNumberFormat="1" applyFont="1" applyFill="1" applyBorder="1" applyAlignment="1">
      <alignment horizontal="right"/>
    </xf>
    <xf numFmtId="0" fontId="44" fillId="8" borderId="63" xfId="0" applyFont="1" applyFill="1" applyBorder="1"/>
    <xf numFmtId="0" fontId="44" fillId="8" borderId="56" xfId="0" applyFont="1" applyFill="1" applyBorder="1"/>
    <xf numFmtId="167" fontId="44" fillId="0" borderId="31" xfId="0" applyNumberFormat="1" applyFont="1" applyFill="1" applyBorder="1" applyAlignment="1">
      <alignment horizontal="right"/>
    </xf>
    <xf numFmtId="3" fontId="44" fillId="0" borderId="56" xfId="0" applyNumberFormat="1" applyFont="1" applyFill="1" applyBorder="1" applyAlignment="1">
      <alignment horizontal="right"/>
    </xf>
    <xf numFmtId="0" fontId="49" fillId="7" borderId="60" xfId="0" applyFont="1" applyFill="1" applyBorder="1" applyAlignment="1">
      <alignment horizontal="left" vertical="center"/>
    </xf>
    <xf numFmtId="3" fontId="52" fillId="10" borderId="65" xfId="0" applyNumberFormat="1" applyFont="1" applyFill="1" applyBorder="1" applyAlignment="1"/>
    <xf numFmtId="3" fontId="50" fillId="15" borderId="49" xfId="0" applyNumberFormat="1" applyFont="1" applyFill="1" applyBorder="1" applyAlignment="1">
      <alignment horizontal="right"/>
    </xf>
    <xf numFmtId="0" fontId="53" fillId="1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right"/>
    </xf>
    <xf numFmtId="49" fontId="54" fillId="15" borderId="0" xfId="0" applyNumberFormat="1" applyFont="1" applyFill="1" applyBorder="1" applyAlignment="1">
      <alignment horizontal="right"/>
    </xf>
    <xf numFmtId="3" fontId="44" fillId="15" borderId="50" xfId="0" applyNumberFormat="1" applyFont="1" applyFill="1" applyBorder="1" applyAlignment="1">
      <alignment horizontal="right"/>
    </xf>
    <xf numFmtId="3" fontId="44" fillId="15" borderId="49" xfId="0" applyNumberFormat="1" applyFont="1" applyFill="1" applyBorder="1" applyAlignment="1">
      <alignment horizontal="right"/>
    </xf>
    <xf numFmtId="167" fontId="50" fillId="0" borderId="15" xfId="0" applyNumberFormat="1" applyFont="1" applyFill="1" applyBorder="1" applyAlignment="1">
      <alignment horizontal="right"/>
    </xf>
    <xf numFmtId="0" fontId="44" fillId="0" borderId="17" xfId="0" applyFont="1" applyFill="1" applyBorder="1" applyAlignment="1">
      <alignment horizontal="center"/>
    </xf>
    <xf numFmtId="0" fontId="44" fillId="0" borderId="43" xfId="0" applyFont="1" applyFill="1" applyBorder="1"/>
    <xf numFmtId="167" fontId="50" fillId="0" borderId="18" xfId="0" applyNumberFormat="1" applyFont="1" applyFill="1" applyBorder="1" applyAlignment="1">
      <alignment horizontal="right"/>
    </xf>
    <xf numFmtId="3" fontId="44" fillId="0" borderId="43" xfId="0" applyNumberFormat="1" applyFont="1" applyFill="1" applyBorder="1" applyAlignment="1">
      <alignment horizontal="right"/>
    </xf>
    <xf numFmtId="0" fontId="0" fillId="10" borderId="0" xfId="0" applyFill="1" applyBorder="1"/>
    <xf numFmtId="0" fontId="0" fillId="0" borderId="0" xfId="0" applyBorder="1" applyAlignment="1">
      <alignment horizontal="center"/>
    </xf>
    <xf numFmtId="0" fontId="0" fillId="0" borderId="51" xfId="0" applyBorder="1"/>
    <xf numFmtId="0" fontId="56" fillId="0" borderId="51" xfId="0" applyFont="1" applyBorder="1"/>
    <xf numFmtId="0" fontId="44" fillId="0" borderId="48" xfId="0" applyFont="1" applyBorder="1" applyAlignment="1">
      <alignment horizontal="center"/>
    </xf>
    <xf numFmtId="0" fontId="44" fillId="0" borderId="49" xfId="0" applyFont="1" applyBorder="1"/>
    <xf numFmtId="0" fontId="0" fillId="0" borderId="32" xfId="0" applyBorder="1" applyAlignment="1">
      <alignment horizontal="center"/>
    </xf>
    <xf numFmtId="0" fontId="56" fillId="0" borderId="63" xfId="0" applyFont="1" applyBorder="1"/>
    <xf numFmtId="0" fontId="44" fillId="0" borderId="66" xfId="0" applyFont="1" applyBorder="1" applyAlignment="1">
      <alignment horizontal="center"/>
    </xf>
    <xf numFmtId="0" fontId="44" fillId="0" borderId="34" xfId="0" applyFont="1" applyBorder="1"/>
    <xf numFmtId="0" fontId="61" fillId="0" borderId="49" xfId="0" applyFont="1" applyFill="1" applyBorder="1"/>
    <xf numFmtId="167" fontId="62" fillId="0" borderId="14" xfId="0" applyNumberFormat="1" applyFont="1" applyFill="1" applyBorder="1" applyAlignment="1">
      <alignment horizontal="right"/>
    </xf>
    <xf numFmtId="0" fontId="44" fillId="0" borderId="55" xfId="0" applyFont="1" applyFill="1" applyBorder="1" applyAlignment="1">
      <alignment horizontal="center"/>
    </xf>
    <xf numFmtId="0" fontId="44" fillId="0" borderId="32" xfId="0" applyFont="1" applyFill="1" applyBorder="1"/>
    <xf numFmtId="0" fontId="51" fillId="10" borderId="67" xfId="0" applyFont="1" applyFill="1" applyBorder="1" applyAlignment="1">
      <alignment horizontal="center"/>
    </xf>
    <xf numFmtId="0" fontId="53" fillId="10" borderId="68" xfId="0" applyFont="1" applyFill="1" applyBorder="1" applyAlignment="1"/>
    <xf numFmtId="0" fontId="44" fillId="10" borderId="68" xfId="0" applyFont="1" applyFill="1" applyBorder="1" applyAlignment="1"/>
    <xf numFmtId="0" fontId="44" fillId="10" borderId="65" xfId="0" applyFont="1" applyFill="1" applyBorder="1" applyAlignment="1"/>
    <xf numFmtId="167" fontId="52" fillId="10" borderId="69" xfId="0" applyNumberFormat="1" applyFont="1" applyFill="1" applyBorder="1" applyAlignment="1"/>
    <xf numFmtId="49" fontId="44" fillId="0" borderId="27" xfId="0" applyNumberFormat="1" applyFont="1" applyFill="1" applyBorder="1" applyAlignment="1">
      <alignment horizontal="center"/>
    </xf>
    <xf numFmtId="0" fontId="44" fillId="8" borderId="34" xfId="0" applyFont="1" applyFill="1" applyBorder="1"/>
    <xf numFmtId="0" fontId="44" fillId="8" borderId="64" xfId="0" applyFont="1" applyFill="1" applyBorder="1"/>
    <xf numFmtId="167" fontId="44" fillId="0" borderId="33" xfId="0" applyNumberFormat="1" applyFont="1" applyFill="1" applyBorder="1" applyAlignment="1">
      <alignment horizontal="right"/>
    </xf>
    <xf numFmtId="3" fontId="44" fillId="0" borderId="58" xfId="0" applyNumberFormat="1" applyFont="1" applyFill="1" applyBorder="1" applyAlignment="1">
      <alignment horizontal="right"/>
    </xf>
    <xf numFmtId="167" fontId="0" fillId="9" borderId="59" xfId="0" applyNumberFormat="1" applyFont="1" applyFill="1" applyBorder="1" applyAlignment="1">
      <alignment horizontal="center"/>
    </xf>
    <xf numFmtId="0" fontId="60" fillId="7" borderId="26" xfId="0" applyFont="1" applyFill="1" applyBorder="1" applyAlignment="1">
      <alignment vertical="center"/>
    </xf>
    <xf numFmtId="0" fontId="63" fillId="7" borderId="26" xfId="0" applyFont="1" applyFill="1" applyBorder="1" applyAlignment="1"/>
    <xf numFmtId="0" fontId="63" fillId="7" borderId="45" xfId="0" applyFont="1" applyFill="1" applyBorder="1" applyAlignment="1"/>
    <xf numFmtId="0" fontId="52" fillId="0" borderId="46" xfId="0" applyFont="1" applyFill="1" applyBorder="1"/>
    <xf numFmtId="167" fontId="50" fillId="0" borderId="22" xfId="0" applyNumberFormat="1" applyFont="1" applyFill="1" applyBorder="1"/>
    <xf numFmtId="3" fontId="44" fillId="0" borderId="0" xfId="0" applyNumberFormat="1" applyFont="1" applyFill="1" applyBorder="1"/>
    <xf numFmtId="0" fontId="52" fillId="0" borderId="49" xfId="0" applyFont="1" applyFill="1" applyBorder="1"/>
    <xf numFmtId="167" fontId="50" fillId="0" borderId="14" xfId="0" applyNumberFormat="1" applyFont="1" applyFill="1" applyBorder="1"/>
    <xf numFmtId="3" fontId="44" fillId="0" borderId="15" xfId="0" applyNumberFormat="1" applyFont="1" applyFill="1" applyBorder="1"/>
    <xf numFmtId="167" fontId="48" fillId="0" borderId="22" xfId="0" applyNumberFormat="1" applyFont="1" applyFill="1" applyBorder="1" applyAlignment="1"/>
    <xf numFmtId="167" fontId="48" fillId="0" borderId="14" xfId="0" applyNumberFormat="1" applyFont="1" applyFill="1" applyBorder="1" applyAlignment="1"/>
    <xf numFmtId="3" fontId="50" fillId="15" borderId="15" xfId="0" applyNumberFormat="1" applyFont="1" applyFill="1" applyBorder="1" applyAlignment="1">
      <alignment horizontal="right"/>
    </xf>
    <xf numFmtId="3" fontId="50" fillId="3" borderId="0" xfId="0" applyNumberFormat="1" applyFont="1" applyFill="1" applyBorder="1" applyAlignment="1">
      <alignment horizontal="right"/>
    </xf>
    <xf numFmtId="0" fontId="0" fillId="0" borderId="38" xfId="0" applyFont="1" applyBorder="1" applyAlignment="1">
      <alignment horizontal="center"/>
    </xf>
    <xf numFmtId="49" fontId="50" fillId="3" borderId="0" xfId="0" applyNumberFormat="1" applyFont="1" applyFill="1" applyBorder="1" applyAlignment="1">
      <alignment horizontal="right"/>
    </xf>
    <xf numFmtId="0" fontId="44" fillId="3" borderId="46" xfId="0" applyFont="1" applyFill="1" applyBorder="1"/>
    <xf numFmtId="167" fontId="44" fillId="3" borderId="22" xfId="0" applyNumberFormat="1" applyFont="1" applyFill="1" applyBorder="1" applyAlignment="1">
      <alignment horizontal="right"/>
    </xf>
    <xf numFmtId="3" fontId="44" fillId="7" borderId="37" xfId="0" applyNumberFormat="1" applyFont="1" applyFill="1" applyBorder="1" applyAlignment="1">
      <alignment horizontal="right"/>
    </xf>
    <xf numFmtId="3" fontId="44" fillId="7" borderId="0" xfId="0" applyNumberFormat="1" applyFont="1" applyFill="1" applyBorder="1" applyAlignment="1">
      <alignment horizontal="right"/>
    </xf>
    <xf numFmtId="0" fontId="50" fillId="0" borderId="38" xfId="0" applyFont="1" applyBorder="1" applyAlignment="1">
      <alignment horizontal="center"/>
    </xf>
    <xf numFmtId="49" fontId="44" fillId="0" borderId="48" xfId="0" applyNumberFormat="1" applyFont="1" applyFill="1" applyBorder="1" applyAlignment="1">
      <alignment horizontal="center"/>
    </xf>
    <xf numFmtId="0" fontId="36" fillId="8" borderId="0" xfId="0" applyFont="1" applyFill="1" applyBorder="1"/>
    <xf numFmtId="4" fontId="44" fillId="0" borderId="0" xfId="0" applyNumberFormat="1" applyFont="1"/>
    <xf numFmtId="0" fontId="0" fillId="0" borderId="0" xfId="0" applyFont="1"/>
    <xf numFmtId="167" fontId="0" fillId="9" borderId="70" xfId="0" applyNumberFormat="1" applyFont="1" applyFill="1" applyBorder="1" applyAlignment="1">
      <alignment horizontal="center"/>
    </xf>
    <xf numFmtId="0" fontId="61" fillId="8" borderId="48" xfId="0" applyFont="1" applyFill="1" applyBorder="1"/>
    <xf numFmtId="3" fontId="61" fillId="0" borderId="50" xfId="0" applyNumberFormat="1" applyFont="1" applyFill="1" applyBorder="1" applyAlignment="1">
      <alignment horizontal="right"/>
    </xf>
    <xf numFmtId="167" fontId="26" fillId="0" borderId="0" xfId="0" applyNumberFormat="1" applyFont="1"/>
    <xf numFmtId="0" fontId="49" fillId="7" borderId="70" xfId="0" applyFont="1" applyFill="1" applyBorder="1" applyAlignment="1">
      <alignment horizontal="left" vertical="center"/>
    </xf>
    <xf numFmtId="167" fontId="49" fillId="7" borderId="59" xfId="0" applyNumberFormat="1" applyFont="1" applyFill="1" applyBorder="1"/>
    <xf numFmtId="3" fontId="55" fillId="7" borderId="40" xfId="0" applyNumberFormat="1" applyFont="1" applyFill="1" applyBorder="1"/>
    <xf numFmtId="168" fontId="52" fillId="10" borderId="22" xfId="0" applyNumberFormat="1" applyFont="1" applyFill="1" applyBorder="1" applyAlignment="1"/>
    <xf numFmtId="3" fontId="52" fillId="10" borderId="22" xfId="0" applyNumberFormat="1" applyFont="1" applyFill="1" applyBorder="1" applyAlignment="1"/>
    <xf numFmtId="168" fontId="50" fillId="7" borderId="22" xfId="0" applyNumberFormat="1" applyFont="1" applyFill="1" applyBorder="1"/>
    <xf numFmtId="3" fontId="50" fillId="7" borderId="22" xfId="0" applyNumberFormat="1" applyFont="1" applyFill="1" applyBorder="1"/>
    <xf numFmtId="168" fontId="50" fillId="15" borderId="14" xfId="0" applyNumberFormat="1" applyFont="1" applyFill="1" applyBorder="1" applyAlignment="1">
      <alignment horizontal="right"/>
    </xf>
    <xf numFmtId="3" fontId="52" fillId="10" borderId="37" xfId="0" applyNumberFormat="1" applyFont="1" applyFill="1" applyBorder="1"/>
    <xf numFmtId="3" fontId="52" fillId="10" borderId="22" xfId="0" applyNumberFormat="1" applyFont="1" applyFill="1" applyBorder="1"/>
    <xf numFmtId="3" fontId="50" fillId="15" borderId="14" xfId="0" applyNumberFormat="1" applyFont="1" applyFill="1" applyBorder="1" applyAlignment="1"/>
    <xf numFmtId="3" fontId="44" fillId="0" borderId="14" xfId="0" applyNumberFormat="1" applyFont="1" applyFill="1" applyBorder="1" applyAlignment="1">
      <alignment horizontal="right"/>
    </xf>
    <xf numFmtId="0" fontId="0" fillId="10" borderId="71" xfId="0" applyFont="1" applyFill="1" applyBorder="1"/>
    <xf numFmtId="167" fontId="0" fillId="10" borderId="22" xfId="0" applyNumberFormat="1" applyFont="1" applyFill="1" applyBorder="1" applyAlignment="1">
      <alignment horizontal="right"/>
    </xf>
    <xf numFmtId="3" fontId="52" fillId="10" borderId="22" xfId="0" applyNumberFormat="1" applyFont="1" applyFill="1" applyBorder="1" applyAlignment="1">
      <alignment horizontal="right"/>
    </xf>
    <xf numFmtId="3" fontId="44" fillId="7" borderId="22" xfId="0" applyNumberFormat="1" applyFont="1" applyFill="1" applyBorder="1" applyAlignment="1">
      <alignment horizontal="right"/>
    </xf>
    <xf numFmtId="0" fontId="61" fillId="8" borderId="49" xfId="0" applyFont="1" applyFill="1" applyBorder="1"/>
    <xf numFmtId="167" fontId="61" fillId="0" borderId="14" xfId="0" applyNumberFormat="1" applyFont="1" applyFill="1" applyBorder="1" applyAlignment="1">
      <alignment horizontal="right"/>
    </xf>
    <xf numFmtId="3" fontId="61" fillId="0" borderId="14" xfId="0" applyNumberFormat="1" applyFont="1" applyFill="1" applyBorder="1" applyAlignment="1">
      <alignment horizontal="right"/>
    </xf>
    <xf numFmtId="167" fontId="44" fillId="0" borderId="54" xfId="0" applyNumberFormat="1" applyFont="1" applyFill="1" applyBorder="1" applyAlignment="1">
      <alignment horizontal="right"/>
    </xf>
    <xf numFmtId="3" fontId="44" fillId="0" borderId="54" xfId="0" applyNumberFormat="1" applyFont="1" applyBorder="1"/>
    <xf numFmtId="3" fontId="44" fillId="0" borderId="31" xfId="0" applyNumberFormat="1" applyFont="1" applyFill="1" applyBorder="1" applyAlignment="1">
      <alignment horizontal="right"/>
    </xf>
    <xf numFmtId="0" fontId="28" fillId="0" borderId="0" xfId="0" applyFont="1"/>
    <xf numFmtId="0" fontId="31" fillId="0" borderId="0" xfId="0" applyFont="1" applyFill="1" applyBorder="1"/>
    <xf numFmtId="3" fontId="31" fillId="0" borderId="0" xfId="0" applyNumberFormat="1" applyFont="1" applyFill="1" applyBorder="1" applyAlignment="1">
      <alignment horizontal="right"/>
    </xf>
    <xf numFmtId="0" fontId="55" fillId="10" borderId="69" xfId="0" applyFont="1" applyFill="1" applyBorder="1" applyAlignment="1">
      <alignment vertical="center"/>
    </xf>
    <xf numFmtId="0" fontId="55" fillId="10" borderId="65" xfId="0" applyFont="1" applyFill="1" applyBorder="1" applyAlignment="1">
      <alignment vertical="center"/>
    </xf>
    <xf numFmtId="0" fontId="55" fillId="10" borderId="22" xfId="0" applyFont="1" applyFill="1" applyBorder="1" applyAlignment="1">
      <alignment horizontal="left" vertical="center"/>
    </xf>
    <xf numFmtId="0" fontId="55" fillId="10" borderId="0" xfId="0" applyFont="1" applyFill="1" applyBorder="1" applyAlignment="1">
      <alignment horizontal="left" vertical="center"/>
    </xf>
    <xf numFmtId="0" fontId="0" fillId="10" borderId="25" xfId="0" applyFont="1" applyFill="1" applyBorder="1" applyAlignment="1">
      <alignment horizontal="center"/>
    </xf>
    <xf numFmtId="0" fontId="0" fillId="10" borderId="40" xfId="0" applyFont="1" applyFill="1" applyBorder="1" applyAlignment="1">
      <alignment horizontal="center"/>
    </xf>
    <xf numFmtId="0" fontId="55" fillId="10" borderId="31" xfId="0" applyFont="1" applyFill="1" applyBorder="1" applyAlignment="1">
      <alignment horizontal="left" vertical="center"/>
    </xf>
    <xf numFmtId="0" fontId="55" fillId="10" borderId="32" xfId="0" applyFont="1" applyFill="1" applyBorder="1" applyAlignment="1">
      <alignment horizontal="left" vertical="center"/>
    </xf>
    <xf numFmtId="0" fontId="6" fillId="10" borderId="37" xfId="0" applyFont="1" applyFill="1" applyBorder="1" applyAlignment="1">
      <alignment horizontal="center" vertical="center"/>
    </xf>
    <xf numFmtId="0" fontId="6" fillId="10" borderId="58" xfId="0" applyFont="1" applyFill="1" applyBorder="1" applyAlignment="1">
      <alignment horizontal="center" vertical="center"/>
    </xf>
    <xf numFmtId="0" fontId="53" fillId="0" borderId="69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left" vertical="center"/>
    </xf>
    <xf numFmtId="3" fontId="66" fillId="0" borderId="44" xfId="0" applyNumberFormat="1" applyFont="1" applyBorder="1"/>
    <xf numFmtId="0" fontId="66" fillId="0" borderId="44" xfId="0" applyFont="1" applyBorder="1"/>
    <xf numFmtId="0" fontId="0" fillId="0" borderId="14" xfId="0" applyFont="1" applyBorder="1"/>
    <xf numFmtId="0" fontId="0" fillId="0" borderId="15" xfId="0" applyFont="1" applyBorder="1"/>
    <xf numFmtId="3" fontId="0" fillId="0" borderId="50" xfId="0" applyNumberFormat="1" applyFont="1" applyBorder="1"/>
    <xf numFmtId="0" fontId="0" fillId="0" borderId="22" xfId="0" applyFont="1" applyBorder="1"/>
    <xf numFmtId="0" fontId="0" fillId="0" borderId="0" xfId="0" applyFont="1" applyBorder="1"/>
    <xf numFmtId="0" fontId="55" fillId="15" borderId="23" xfId="0" applyFont="1" applyFill="1" applyBorder="1"/>
    <xf numFmtId="3" fontId="55" fillId="0" borderId="0" xfId="0" applyNumberFormat="1" applyFont="1"/>
    <xf numFmtId="0" fontId="55" fillId="0" borderId="22" xfId="0" applyFont="1" applyFill="1" applyBorder="1"/>
    <xf numFmtId="0" fontId="55" fillId="0" borderId="0" xfId="0" applyFont="1" applyFill="1" applyBorder="1"/>
    <xf numFmtId="3" fontId="0" fillId="0" borderId="37" xfId="0" applyNumberFormat="1" applyFont="1" applyFill="1" applyBorder="1"/>
    <xf numFmtId="0" fontId="53" fillId="0" borderId="14" xfId="0" applyFont="1" applyFill="1" applyBorder="1"/>
    <xf numFmtId="0" fontId="53" fillId="0" borderId="15" xfId="0" applyFont="1" applyFill="1" applyBorder="1"/>
    <xf numFmtId="0" fontId="0" fillId="0" borderId="51" xfId="0" applyFont="1" applyBorder="1"/>
    <xf numFmtId="0" fontId="55" fillId="15" borderId="72" xfId="0" applyFont="1" applyFill="1" applyBorder="1"/>
    <xf numFmtId="0" fontId="0" fillId="0" borderId="23" xfId="0" applyFont="1" applyBorder="1"/>
    <xf numFmtId="0" fontId="6" fillId="10" borderId="54" xfId="0" applyFont="1" applyFill="1" applyBorder="1" applyAlignment="1">
      <alignment horizontal="center" vertical="center"/>
    </xf>
    <xf numFmtId="4" fontId="6" fillId="0" borderId="0" xfId="569" applyNumberFormat="1" applyFont="1" applyBorder="1"/>
    <xf numFmtId="4" fontId="6" fillId="0" borderId="0" xfId="569" applyNumberFormat="1" applyFont="1" applyBorder="1" applyAlignment="1">
      <alignment horizontal="center"/>
    </xf>
    <xf numFmtId="166" fontId="26" fillId="0" borderId="0" xfId="548" applyFont="1" applyFill="1" applyBorder="1" applyAlignment="1" applyProtection="1"/>
    <xf numFmtId="0" fontId="31" fillId="3" borderId="0" xfId="569" applyFont="1" applyFill="1" applyBorder="1"/>
    <xf numFmtId="4" fontId="31" fillId="0" borderId="0" xfId="569" applyNumberFormat="1" applyFont="1" applyBorder="1"/>
    <xf numFmtId="4" fontId="43" fillId="0" borderId="0" xfId="569" applyNumberFormat="1" applyFont="1" applyFill="1" applyBorder="1" applyAlignment="1">
      <alignment horizontal="justify" vertical="top"/>
    </xf>
    <xf numFmtId="1" fontId="43" fillId="0" borderId="0" xfId="569" applyNumberFormat="1" applyFont="1" applyFill="1" applyBorder="1" applyAlignment="1">
      <alignment horizontal="justify" vertical="top"/>
    </xf>
    <xf numFmtId="1" fontId="43" fillId="0" borderId="0" xfId="569" applyNumberFormat="1" applyFont="1" applyFill="1" applyBorder="1" applyAlignment="1">
      <alignment horizontal="center" vertical="center"/>
    </xf>
    <xf numFmtId="0" fontId="67" fillId="0" borderId="0" xfId="569" applyFont="1" applyFill="1" applyBorder="1" applyAlignment="1">
      <alignment horizontal="left"/>
    </xf>
    <xf numFmtId="0" fontId="68" fillId="0" borderId="0" xfId="569" applyFont="1" applyFill="1" applyBorder="1"/>
    <xf numFmtId="3" fontId="35" fillId="0" borderId="0" xfId="569" applyNumberFormat="1" applyFont="1" applyFill="1" applyBorder="1"/>
    <xf numFmtId="0" fontId="67" fillId="0" borderId="0" xfId="569" applyFont="1" applyBorder="1" applyAlignment="1">
      <alignment horizontal="left"/>
    </xf>
    <xf numFmtId="4" fontId="69" fillId="0" borderId="0" xfId="569" applyNumberFormat="1" applyFont="1" applyFill="1" applyBorder="1"/>
    <xf numFmtId="4" fontId="71" fillId="0" borderId="0" xfId="569" applyNumberFormat="1" applyFont="1" applyFill="1" applyBorder="1"/>
    <xf numFmtId="0" fontId="71" fillId="0" borderId="0" xfId="569" applyFont="1" applyFill="1" applyBorder="1"/>
    <xf numFmtId="3" fontId="71" fillId="0" borderId="0" xfId="569" applyNumberFormat="1" applyFont="1" applyFill="1" applyBorder="1"/>
    <xf numFmtId="0" fontId="72" fillId="0" borderId="0" xfId="569" applyFont="1" applyFill="1" applyBorder="1"/>
    <xf numFmtId="3" fontId="72" fillId="0" borderId="0" xfId="569" applyNumberFormat="1" applyFont="1" applyFill="1" applyBorder="1"/>
    <xf numFmtId="0" fontId="73" fillId="0" borderId="0" xfId="569" applyFont="1" applyFill="1" applyBorder="1"/>
    <xf numFmtId="4" fontId="74" fillId="0" borderId="0" xfId="569" applyNumberFormat="1" applyFont="1" applyFill="1" applyBorder="1" applyAlignment="1">
      <alignment horizontal="right"/>
    </xf>
    <xf numFmtId="3" fontId="74" fillId="0" borderId="0" xfId="569" applyNumberFormat="1" applyFont="1" applyFill="1" applyBorder="1" applyAlignment="1">
      <alignment horizontal="right"/>
    </xf>
    <xf numFmtId="0" fontId="73" fillId="0" borderId="0" xfId="569" applyFont="1" applyBorder="1"/>
    <xf numFmtId="0" fontId="67" fillId="0" borderId="0" xfId="569" applyFont="1" applyBorder="1"/>
    <xf numFmtId="0" fontId="69" fillId="0" borderId="0" xfId="569" applyFont="1" applyFill="1" applyBorder="1"/>
    <xf numFmtId="3" fontId="69" fillId="0" borderId="0" xfId="569" applyNumberFormat="1" applyFont="1" applyFill="1" applyBorder="1"/>
    <xf numFmtId="4" fontId="74" fillId="0" borderId="0" xfId="569" applyNumberFormat="1" applyFont="1" applyFill="1" applyBorder="1"/>
    <xf numFmtId="3" fontId="74" fillId="0" borderId="0" xfId="569" applyNumberFormat="1" applyFont="1" applyFill="1" applyBorder="1"/>
    <xf numFmtId="0" fontId="38" fillId="0" borderId="0" xfId="569" applyFont="1" applyFill="1" applyBorder="1" applyAlignment="1">
      <alignment horizontal="left"/>
    </xf>
    <xf numFmtId="3" fontId="69" fillId="0" borderId="0" xfId="569" applyNumberFormat="1" applyFont="1" applyFill="1" applyBorder="1" applyAlignment="1">
      <alignment horizontal="right"/>
    </xf>
    <xf numFmtId="3" fontId="40" fillId="0" borderId="0" xfId="569" applyNumberFormat="1" applyFont="1" applyFill="1" applyBorder="1" applyAlignment="1">
      <alignment horizontal="right"/>
    </xf>
    <xf numFmtId="0" fontId="75" fillId="0" borderId="0" xfId="569" applyFont="1" applyFill="1" applyBorder="1"/>
    <xf numFmtId="3" fontId="36" fillId="0" borderId="0" xfId="569" applyNumberFormat="1" applyFont="1" applyFill="1" applyBorder="1" applyAlignment="1">
      <alignment horizontal="left"/>
    </xf>
    <xf numFmtId="0" fontId="35" fillId="0" borderId="0" xfId="569" applyFont="1" applyFill="1" applyBorder="1"/>
    <xf numFmtId="3" fontId="69" fillId="0" borderId="0" xfId="569" applyNumberFormat="1" applyFont="1" applyFill="1" applyBorder="1" applyAlignment="1">
      <alignment horizontal="left"/>
    </xf>
    <xf numFmtId="2" fontId="76" fillId="0" borderId="0" xfId="569" applyNumberFormat="1" applyFont="1" applyBorder="1" applyAlignment="1">
      <alignment horizontal="left"/>
    </xf>
    <xf numFmtId="4" fontId="36" fillId="0" borderId="0" xfId="569" applyNumberFormat="1" applyFont="1" applyFill="1" applyBorder="1" applyAlignment="1">
      <alignment horizontal="left"/>
    </xf>
    <xf numFmtId="0" fontId="43" fillId="0" borderId="0" xfId="569" applyFont="1" applyFill="1" applyBorder="1" applyAlignment="1">
      <alignment horizontal="justify" vertical="center"/>
    </xf>
    <xf numFmtId="0" fontId="43" fillId="0" borderId="0" xfId="569" applyFont="1" applyFill="1" applyBorder="1" applyAlignment="1">
      <alignment horizontal="center" vertical="center"/>
    </xf>
    <xf numFmtId="2" fontId="43" fillId="0" borderId="0" xfId="569" applyNumberFormat="1" applyFont="1" applyFill="1" applyBorder="1" applyAlignment="1">
      <alignment horizontal="justify" vertical="center"/>
    </xf>
    <xf numFmtId="0" fontId="68" fillId="0" borderId="0" xfId="569" applyFont="1" applyBorder="1"/>
    <xf numFmtId="1" fontId="35" fillId="0" borderId="0" xfId="569" applyNumberFormat="1" applyFont="1" applyFill="1" applyBorder="1"/>
    <xf numFmtId="2" fontId="35" fillId="0" borderId="0" xfId="569" applyNumberFormat="1" applyFont="1" applyFill="1" applyBorder="1"/>
    <xf numFmtId="0" fontId="37" fillId="0" borderId="0" xfId="569" applyFont="1" applyFill="1" applyBorder="1"/>
    <xf numFmtId="0" fontId="34" fillId="0" borderId="0" xfId="569" applyFont="1" applyBorder="1"/>
    <xf numFmtId="0" fontId="36" fillId="0" borderId="0" xfId="569" applyFont="1" applyFill="1" applyBorder="1" applyAlignment="1">
      <alignment horizontal="right"/>
    </xf>
    <xf numFmtId="49" fontId="31" fillId="0" borderId="0" xfId="569" applyNumberFormat="1" applyFont="1" applyFill="1" applyBorder="1" applyAlignment="1">
      <alignment horizontal="right"/>
    </xf>
    <xf numFmtId="4" fontId="31" fillId="0" borderId="0" xfId="569" applyNumberFormat="1" applyFont="1" applyFill="1" applyBorder="1" applyAlignment="1">
      <alignment horizontal="right"/>
    </xf>
    <xf numFmtId="4" fontId="31" fillId="0" borderId="0" xfId="569" applyNumberFormat="1" applyFont="1" applyFill="1" applyBorder="1" applyAlignment="1">
      <alignment horizontal="center"/>
    </xf>
    <xf numFmtId="0" fontId="31" fillId="0" borderId="0" xfId="569" applyFont="1" applyFill="1" applyBorder="1" applyAlignment="1">
      <alignment horizontal="center"/>
    </xf>
    <xf numFmtId="3" fontId="35" fillId="0" borderId="0" xfId="569" applyNumberFormat="1" applyFont="1" applyFill="1" applyBorder="1" applyAlignment="1">
      <alignment horizontal="right"/>
    </xf>
    <xf numFmtId="0" fontId="36" fillId="0" borderId="0" xfId="569" applyFont="1" applyFill="1" applyBorder="1" applyAlignment="1">
      <alignment horizontal="left"/>
    </xf>
    <xf numFmtId="4" fontId="76" fillId="0" borderId="0" xfId="569" applyNumberFormat="1" applyFont="1" applyBorder="1" applyAlignment="1">
      <alignment horizontal="left"/>
    </xf>
    <xf numFmtId="0" fontId="6" fillId="0" borderId="51" xfId="569" applyFont="1" applyFill="1" applyBorder="1"/>
    <xf numFmtId="3" fontId="70" fillId="0" borderId="0" xfId="569" applyNumberFormat="1" applyFont="1" applyFill="1" applyBorder="1"/>
    <xf numFmtId="4" fontId="76" fillId="0" borderId="0" xfId="569" applyNumberFormat="1" applyFont="1" applyFill="1" applyBorder="1" applyAlignment="1">
      <alignment horizontal="left"/>
    </xf>
    <xf numFmtId="49" fontId="31" fillId="8" borderId="0" xfId="569" applyNumberFormat="1" applyFont="1" applyFill="1" applyBorder="1" applyAlignment="1">
      <alignment horizontal="right"/>
    </xf>
    <xf numFmtId="0" fontId="36" fillId="8" borderId="0" xfId="569" applyFont="1" applyFill="1" applyBorder="1"/>
    <xf numFmtId="0" fontId="31" fillId="8" borderId="0" xfId="569" applyFont="1" applyFill="1" applyBorder="1"/>
    <xf numFmtId="4" fontId="31" fillId="8" borderId="0" xfId="569" applyNumberFormat="1" applyFont="1" applyFill="1" applyBorder="1" applyAlignment="1">
      <alignment horizontal="right"/>
    </xf>
    <xf numFmtId="4" fontId="31" fillId="8" borderId="0" xfId="569" applyNumberFormat="1" applyFont="1" applyFill="1" applyBorder="1" applyAlignment="1">
      <alignment horizontal="center"/>
    </xf>
    <xf numFmtId="2" fontId="34" fillId="0" borderId="0" xfId="569" applyNumberFormat="1" applyFont="1" applyFill="1" applyBorder="1"/>
    <xf numFmtId="3" fontId="31" fillId="0" borderId="0" xfId="569" applyNumberFormat="1" applyFont="1" applyFill="1" applyBorder="1" applyAlignment="1"/>
    <xf numFmtId="0" fontId="70" fillId="0" borderId="0" xfId="569" applyFont="1" applyFill="1" applyBorder="1" applyAlignment="1">
      <alignment horizontal="left"/>
    </xf>
    <xf numFmtId="0" fontId="70" fillId="0" borderId="0" xfId="569" applyFont="1" applyFill="1" applyBorder="1"/>
    <xf numFmtId="0" fontId="37" fillId="0" borderId="51" xfId="569" applyFont="1" applyBorder="1"/>
    <xf numFmtId="3" fontId="6" fillId="0" borderId="0" xfId="569" applyNumberFormat="1" applyFont="1" applyFill="1" applyBorder="1" applyAlignment="1">
      <alignment horizontal="center"/>
    </xf>
    <xf numFmtId="0" fontId="38" fillId="0" borderId="0" xfId="569" applyFont="1" applyFill="1" applyBorder="1"/>
    <xf numFmtId="2" fontId="37" fillId="0" borderId="0" xfId="569" applyNumberFormat="1" applyFont="1" applyFill="1" applyBorder="1"/>
    <xf numFmtId="0" fontId="69" fillId="0" borderId="0" xfId="569" applyFont="1" applyBorder="1" applyAlignment="1">
      <alignment horizontal="left"/>
    </xf>
    <xf numFmtId="0" fontId="76" fillId="0" borderId="0" xfId="569" applyFont="1" applyFill="1" applyBorder="1"/>
    <xf numFmtId="3" fontId="67" fillId="0" borderId="0" xfId="569" applyNumberFormat="1" applyFont="1" applyFill="1" applyBorder="1" applyAlignment="1">
      <alignment horizontal="left"/>
    </xf>
    <xf numFmtId="0" fontId="77" fillId="0" borderId="0" xfId="569" applyFont="1" applyFill="1" applyBorder="1" applyAlignment="1">
      <alignment horizontal="left"/>
    </xf>
    <xf numFmtId="4" fontId="37" fillId="0" borderId="0" xfId="569" applyNumberFormat="1" applyFont="1" applyBorder="1"/>
    <xf numFmtId="4" fontId="37" fillId="0" borderId="0" xfId="569" applyNumberFormat="1" applyFont="1" applyBorder="1" applyAlignment="1">
      <alignment horizontal="center"/>
    </xf>
    <xf numFmtId="49" fontId="31" fillId="8" borderId="0" xfId="569" applyNumberFormat="1" applyFont="1" applyFill="1" applyBorder="1" applyAlignment="1"/>
    <xf numFmtId="4" fontId="31" fillId="8" borderId="0" xfId="569" applyNumberFormat="1" applyFont="1" applyFill="1" applyBorder="1" applyAlignment="1"/>
    <xf numFmtId="4" fontId="6" fillId="0" borderId="0" xfId="569" applyNumberFormat="1" applyFont="1" applyFill="1" applyBorder="1" applyAlignment="1">
      <alignment horizontal="left"/>
    </xf>
    <xf numFmtId="4" fontId="6" fillId="0" borderId="0" xfId="569" applyNumberFormat="1" applyFont="1" applyFill="1" applyBorder="1" applyAlignment="1">
      <alignment horizontal="center"/>
    </xf>
    <xf numFmtId="4" fontId="36" fillId="0" borderId="0" xfId="569" applyNumberFormat="1" applyFont="1" applyBorder="1"/>
    <xf numFmtId="0" fontId="77" fillId="0" borderId="0" xfId="569" applyFont="1" applyBorder="1"/>
    <xf numFmtId="0" fontId="69" fillId="0" borderId="0" xfId="569" applyFont="1" applyFill="1" applyBorder="1" applyAlignment="1">
      <alignment horizontal="right"/>
    </xf>
    <xf numFmtId="4" fontId="33" fillId="0" borderId="0" xfId="569" applyNumberFormat="1" applyFont="1" applyFill="1" applyBorder="1"/>
    <xf numFmtId="3" fontId="36" fillId="0" borderId="0" xfId="569" applyNumberFormat="1" applyFont="1" applyFill="1" applyBorder="1" applyAlignment="1">
      <alignment horizontal="right" vertical="center"/>
    </xf>
    <xf numFmtId="3" fontId="36" fillId="0" borderId="0" xfId="569" applyNumberFormat="1" applyFont="1" applyFill="1" applyBorder="1" applyAlignment="1">
      <alignment horizontal="left" vertical="center"/>
    </xf>
    <xf numFmtId="3" fontId="38" fillId="0" borderId="0" xfId="569" applyNumberFormat="1" applyFont="1" applyFill="1" applyBorder="1" applyAlignment="1">
      <alignment horizontal="left"/>
    </xf>
    <xf numFmtId="3" fontId="38" fillId="0" borderId="0" xfId="569" applyNumberFormat="1" applyFont="1" applyFill="1" applyBorder="1" applyAlignment="1">
      <alignment horizontal="right"/>
    </xf>
    <xf numFmtId="4" fontId="79" fillId="0" borderId="0" xfId="569" applyNumberFormat="1" applyFont="1" applyFill="1" applyBorder="1" applyAlignment="1">
      <alignment horizontal="right"/>
    </xf>
    <xf numFmtId="3" fontId="78" fillId="0" borderId="0" xfId="569" applyNumberFormat="1" applyFont="1" applyFill="1" applyBorder="1" applyAlignment="1">
      <alignment horizontal="left"/>
    </xf>
    <xf numFmtId="3" fontId="67" fillId="0" borderId="0" xfId="569" applyNumberFormat="1" applyFont="1" applyFill="1" applyBorder="1" applyAlignment="1">
      <alignment horizontal="right"/>
    </xf>
    <xf numFmtId="0" fontId="78" fillId="0" borderId="0" xfId="569" applyFont="1" applyFill="1" applyBorder="1" applyAlignment="1">
      <alignment horizontal="left"/>
    </xf>
    <xf numFmtId="0" fontId="67" fillId="0" borderId="0" xfId="569" applyFont="1" applyFill="1" applyBorder="1"/>
    <xf numFmtId="0" fontId="6" fillId="8" borderId="0" xfId="569" applyFont="1" applyFill="1" applyBorder="1"/>
    <xf numFmtId="4" fontId="31" fillId="8" borderId="0" xfId="569" applyNumberFormat="1" applyFont="1" applyFill="1" applyBorder="1"/>
    <xf numFmtId="0" fontId="35" fillId="0" borderId="0" xfId="569" applyFont="1" applyBorder="1"/>
    <xf numFmtId="3" fontId="67" fillId="0" borderId="0" xfId="569" applyNumberFormat="1" applyFont="1" applyFill="1" applyBorder="1"/>
    <xf numFmtId="169" fontId="37" fillId="0" borderId="0" xfId="569" applyNumberFormat="1" applyFont="1" applyFill="1" applyBorder="1"/>
    <xf numFmtId="170" fontId="37" fillId="0" borderId="0" xfId="569" applyNumberFormat="1" applyFont="1" applyFill="1" applyBorder="1"/>
    <xf numFmtId="169" fontId="36" fillId="0" borderId="0" xfId="569" applyNumberFormat="1" applyFont="1" applyFill="1" applyBorder="1" applyAlignment="1">
      <alignment horizontal="left"/>
    </xf>
    <xf numFmtId="169" fontId="36" fillId="0" borderId="0" xfId="569" applyNumberFormat="1" applyFont="1" applyFill="1" applyBorder="1"/>
    <xf numFmtId="169" fontId="35" fillId="0" borderId="0" xfId="569" applyNumberFormat="1" applyFont="1" applyFill="1" applyBorder="1"/>
    <xf numFmtId="0" fontId="34" fillId="0" borderId="0" xfId="569" applyFont="1" applyFill="1" applyBorder="1"/>
    <xf numFmtId="169" fontId="37" fillId="0" borderId="0" xfId="569" applyNumberFormat="1" applyFont="1" applyFill="1" applyBorder="1" applyAlignment="1">
      <alignment horizontal="right"/>
    </xf>
    <xf numFmtId="2" fontId="43" fillId="0" borderId="0" xfId="569" applyNumberFormat="1" applyFont="1" applyFill="1" applyBorder="1" applyAlignment="1">
      <alignment horizontal="center" vertical="center"/>
    </xf>
    <xf numFmtId="1" fontId="43" fillId="0" borderId="0" xfId="569" applyNumberFormat="1" applyFont="1" applyFill="1" applyBorder="1" applyAlignment="1">
      <alignment horizontal="center" vertical="top"/>
    </xf>
    <xf numFmtId="0" fontId="36" fillId="0" borderId="0" xfId="569" applyFont="1" applyFill="1" applyBorder="1" applyAlignment="1">
      <alignment horizontal="center"/>
    </xf>
    <xf numFmtId="3" fontId="39" fillId="0" borderId="0" xfId="569" applyNumberFormat="1" applyFont="1" applyBorder="1"/>
    <xf numFmtId="3" fontId="41" fillId="0" borderId="0" xfId="569" applyNumberFormat="1" applyFont="1" applyBorder="1"/>
    <xf numFmtId="0" fontId="82" fillId="0" borderId="0" xfId="569" applyFont="1" applyBorder="1"/>
    <xf numFmtId="0" fontId="81" fillId="0" borderId="0" xfId="569" applyFont="1" applyBorder="1"/>
    <xf numFmtId="0" fontId="6" fillId="0" borderId="0" xfId="569" applyFont="1" applyFill="1" applyBorder="1" applyAlignment="1">
      <alignment horizontal="center"/>
    </xf>
    <xf numFmtId="0" fontId="48" fillId="0" borderId="17" xfId="0" applyFont="1" applyFill="1" applyBorder="1" applyAlignment="1">
      <alignment horizontal="center"/>
    </xf>
    <xf numFmtId="0" fontId="44" fillId="0" borderId="52" xfId="0" applyFont="1" applyFill="1" applyBorder="1"/>
    <xf numFmtId="167" fontId="44" fillId="0" borderId="18" xfId="0" applyNumberFormat="1" applyFont="1" applyFill="1" applyBorder="1" applyAlignment="1">
      <alignment horizontal="right"/>
    </xf>
    <xf numFmtId="3" fontId="44" fillId="0" borderId="19" xfId="0" applyNumberFormat="1" applyFont="1" applyFill="1" applyBorder="1" applyAlignment="1">
      <alignment horizontal="right"/>
    </xf>
    <xf numFmtId="0" fontId="48" fillId="0" borderId="73" xfId="0" applyFont="1" applyFill="1" applyBorder="1" applyAlignment="1">
      <alignment horizontal="center"/>
    </xf>
    <xf numFmtId="0" fontId="44" fillId="0" borderId="74" xfId="0" applyFont="1" applyFill="1" applyBorder="1"/>
    <xf numFmtId="3" fontId="44" fillId="0" borderId="77" xfId="0" applyNumberFormat="1" applyFont="1" applyFill="1" applyBorder="1" applyAlignment="1">
      <alignment horizontal="right"/>
    </xf>
    <xf numFmtId="3" fontId="44" fillId="0" borderId="78" xfId="0" applyNumberFormat="1" applyFont="1" applyFill="1" applyBorder="1" applyAlignment="1">
      <alignment horizontal="right"/>
    </xf>
    <xf numFmtId="3" fontId="44" fillId="0" borderId="22" xfId="0" applyNumberFormat="1" applyFont="1" applyFill="1" applyBorder="1" applyAlignment="1">
      <alignment horizontal="right"/>
    </xf>
    <xf numFmtId="3" fontId="50" fillId="15" borderId="14" xfId="0" applyNumberFormat="1" applyFont="1" applyFill="1" applyBorder="1"/>
    <xf numFmtId="3" fontId="44" fillId="0" borderId="18" xfId="0" applyNumberFormat="1" applyFont="1" applyFill="1" applyBorder="1" applyAlignment="1">
      <alignment horizontal="right"/>
    </xf>
    <xf numFmtId="3" fontId="44" fillId="0" borderId="76" xfId="0" applyNumberFormat="1" applyFont="1" applyFill="1" applyBorder="1" applyAlignment="1">
      <alignment horizontal="right"/>
    </xf>
    <xf numFmtId="3" fontId="49" fillId="7" borderId="79" xfId="0" applyNumberFormat="1" applyFont="1" applyFill="1" applyBorder="1" applyAlignment="1"/>
    <xf numFmtId="3" fontId="52" fillId="10" borderId="80" xfId="0" applyNumberFormat="1" applyFont="1" applyFill="1" applyBorder="1" applyAlignment="1"/>
    <xf numFmtId="3" fontId="50" fillId="7" borderId="80" xfId="0" applyNumberFormat="1" applyFont="1" applyFill="1" applyBorder="1"/>
    <xf numFmtId="3" fontId="50" fillId="15" borderId="81" xfId="0" applyNumberFormat="1" applyFont="1" applyFill="1" applyBorder="1" applyAlignment="1">
      <alignment horizontal="right"/>
    </xf>
    <xf numFmtId="3" fontId="44" fillId="0" borderId="80" xfId="0" applyNumberFormat="1" applyFont="1" applyFill="1" applyBorder="1" applyAlignment="1">
      <alignment horizontal="right"/>
    </xf>
    <xf numFmtId="3" fontId="44" fillId="0" borderId="81" xfId="0" applyNumberFormat="1" applyFont="1" applyFill="1" applyBorder="1" applyAlignment="1">
      <alignment horizontal="right"/>
    </xf>
    <xf numFmtId="3" fontId="52" fillId="10" borderId="80" xfId="0" applyNumberFormat="1" applyFont="1" applyFill="1" applyBorder="1" applyAlignment="1">
      <alignment horizontal="right"/>
    </xf>
    <xf numFmtId="3" fontId="50" fillId="15" borderId="81" xfId="0" applyNumberFormat="1" applyFont="1" applyFill="1" applyBorder="1"/>
    <xf numFmtId="3" fontId="44" fillId="0" borderId="82" xfId="0" applyNumberFormat="1" applyFont="1" applyFill="1" applyBorder="1" applyAlignment="1">
      <alignment horizontal="right"/>
    </xf>
    <xf numFmtId="3" fontId="44" fillId="0" borderId="83" xfId="0" applyNumberFormat="1" applyFont="1" applyFill="1" applyBorder="1" applyAlignment="1">
      <alignment horizontal="right"/>
    </xf>
    <xf numFmtId="49" fontId="29" fillId="0" borderId="0" xfId="0" applyNumberFormat="1" applyFont="1" applyBorder="1" applyAlignment="1">
      <alignment horizontal="center"/>
    </xf>
    <xf numFmtId="3" fontId="29" fillId="0" borderId="0" xfId="0" applyNumberFormat="1" applyFont="1" applyBorder="1" applyAlignment="1">
      <alignment horizontal="right"/>
    </xf>
    <xf numFmtId="0" fontId="29" fillId="0" borderId="0" xfId="0" applyFont="1" applyFill="1" applyBorder="1" applyAlignment="1">
      <alignment horizontal="justify" vertical="top"/>
    </xf>
    <xf numFmtId="3" fontId="27" fillId="0" borderId="0" xfId="0" applyNumberFormat="1" applyFont="1" applyBorder="1" applyAlignment="1">
      <alignment horizontal="right"/>
    </xf>
    <xf numFmtId="49" fontId="44" fillId="0" borderId="17" xfId="0" applyNumberFormat="1" applyFont="1" applyFill="1" applyBorder="1" applyAlignment="1">
      <alignment horizontal="center"/>
    </xf>
    <xf numFmtId="0" fontId="44" fillId="8" borderId="43" xfId="0" applyFont="1" applyFill="1" applyBorder="1"/>
    <xf numFmtId="49" fontId="44" fillId="0" borderId="20" xfId="0" applyNumberFormat="1" applyFont="1" applyFill="1" applyBorder="1" applyAlignment="1">
      <alignment horizontal="center"/>
    </xf>
    <xf numFmtId="0" fontId="44" fillId="8" borderId="95" xfId="0" applyFont="1" applyFill="1" applyBorder="1"/>
    <xf numFmtId="0" fontId="44" fillId="8" borderId="41" xfId="0" applyFont="1" applyFill="1" applyBorder="1"/>
    <xf numFmtId="167" fontId="44" fillId="26" borderId="76" xfId="0" applyNumberFormat="1" applyFont="1" applyFill="1" applyBorder="1" applyAlignment="1">
      <alignment horizontal="right"/>
    </xf>
    <xf numFmtId="3" fontId="44" fillId="26" borderId="77" xfId="0" applyNumberFormat="1" applyFont="1" applyFill="1" applyBorder="1" applyAlignment="1">
      <alignment horizontal="right"/>
    </xf>
    <xf numFmtId="3" fontId="44" fillId="26" borderId="76" xfId="0" applyNumberFormat="1" applyFont="1" applyFill="1" applyBorder="1" applyAlignment="1">
      <alignment horizontal="right"/>
    </xf>
    <xf numFmtId="0" fontId="53" fillId="10" borderId="38" xfId="0" applyFont="1" applyFill="1" applyBorder="1" applyAlignment="1">
      <alignment horizontal="center"/>
    </xf>
    <xf numFmtId="0" fontId="50" fillId="27" borderId="0" xfId="0" applyFont="1" applyFill="1" applyBorder="1"/>
    <xf numFmtId="0" fontId="50" fillId="27" borderId="46" xfId="0" applyFont="1" applyFill="1" applyBorder="1"/>
    <xf numFmtId="0" fontId="44" fillId="27" borderId="0" xfId="0" applyFont="1" applyFill="1" applyBorder="1"/>
    <xf numFmtId="167" fontId="44" fillId="27" borderId="0" xfId="0" applyNumberFormat="1" applyFont="1" applyFill="1" applyBorder="1" applyAlignment="1">
      <alignment horizontal="right"/>
    </xf>
    <xf numFmtId="3" fontId="44" fillId="27" borderId="37" xfId="0" applyNumberFormat="1" applyFont="1" applyFill="1" applyBorder="1" applyAlignment="1">
      <alignment horizontal="right"/>
    </xf>
    <xf numFmtId="3" fontId="44" fillId="27" borderId="0" xfId="0" applyNumberFormat="1" applyFont="1" applyFill="1" applyBorder="1" applyAlignment="1">
      <alignment horizontal="right"/>
    </xf>
    <xf numFmtId="0" fontId="0" fillId="27" borderId="46" xfId="0" applyFont="1" applyFill="1" applyBorder="1"/>
    <xf numFmtId="167" fontId="50" fillId="27" borderId="22" xfId="0" applyNumberFormat="1" applyFont="1" applyFill="1" applyBorder="1"/>
    <xf numFmtId="3" fontId="50" fillId="27" borderId="37" xfId="0" applyNumberFormat="1" applyFont="1" applyFill="1" applyBorder="1"/>
    <xf numFmtId="3" fontId="50" fillId="27" borderId="46" xfId="0" applyNumberFormat="1" applyFont="1" applyFill="1" applyBorder="1"/>
    <xf numFmtId="3" fontId="52" fillId="10" borderId="97" xfId="0" applyNumberFormat="1" applyFont="1" applyFill="1" applyBorder="1" applyAlignment="1"/>
    <xf numFmtId="3" fontId="50" fillId="27" borderId="80" xfId="0" applyNumberFormat="1" applyFont="1" applyFill="1" applyBorder="1"/>
    <xf numFmtId="3" fontId="44" fillId="0" borderId="81" xfId="0" applyNumberFormat="1" applyFont="1" applyFill="1" applyBorder="1"/>
    <xf numFmtId="3" fontId="50" fillId="27" borderId="22" xfId="0" applyNumberFormat="1" applyFont="1" applyFill="1" applyBorder="1"/>
    <xf numFmtId="3" fontId="50" fillId="27" borderId="0" xfId="0" applyNumberFormat="1" applyFont="1" applyFill="1" applyBorder="1"/>
    <xf numFmtId="0" fontId="44" fillId="8" borderId="85" xfId="0" applyFont="1" applyFill="1" applyBorder="1"/>
    <xf numFmtId="167" fontId="50" fillId="15" borderId="15" xfId="0" applyNumberFormat="1" applyFont="1" applyFill="1" applyBorder="1"/>
    <xf numFmtId="167" fontId="52" fillId="10" borderId="0" xfId="0" applyNumberFormat="1" applyFont="1" applyFill="1" applyBorder="1" applyAlignment="1"/>
    <xf numFmtId="0" fontId="44" fillId="0" borderId="85" xfId="0" applyFont="1" applyFill="1" applyBorder="1"/>
    <xf numFmtId="167" fontId="50" fillId="7" borderId="0" xfId="0" applyNumberFormat="1" applyFont="1" applyFill="1" applyBorder="1"/>
    <xf numFmtId="167" fontId="50" fillId="27" borderId="0" xfId="0" applyNumberFormat="1" applyFont="1" applyFill="1" applyBorder="1"/>
    <xf numFmtId="0" fontId="0" fillId="27" borderId="0" xfId="0" applyFont="1" applyFill="1" applyBorder="1"/>
    <xf numFmtId="0" fontId="50" fillId="7" borderId="109" xfId="0" applyFont="1" applyFill="1" applyBorder="1"/>
    <xf numFmtId="0" fontId="44" fillId="7" borderId="105" xfId="0" applyFont="1" applyFill="1" applyBorder="1" applyAlignment="1"/>
    <xf numFmtId="0" fontId="50" fillId="7" borderId="105" xfId="0" applyFont="1" applyFill="1" applyBorder="1"/>
    <xf numFmtId="0" fontId="50" fillId="7" borderId="110" xfId="0" applyFont="1" applyFill="1" applyBorder="1"/>
    <xf numFmtId="167" fontId="52" fillId="7" borderId="111" xfId="0" applyNumberFormat="1" applyFont="1" applyFill="1" applyBorder="1"/>
    <xf numFmtId="3" fontId="52" fillId="7" borderId="112" xfId="0" applyNumberFormat="1" applyFont="1" applyFill="1" applyBorder="1"/>
    <xf numFmtId="167" fontId="50" fillId="27" borderId="22" xfId="0" applyNumberFormat="1" applyFont="1" applyFill="1" applyBorder="1" applyAlignment="1">
      <alignment horizontal="right"/>
    </xf>
    <xf numFmtId="3" fontId="50" fillId="27" borderId="37" xfId="0" applyNumberFormat="1" applyFont="1" applyFill="1" applyBorder="1" applyAlignment="1">
      <alignment horizontal="right"/>
    </xf>
    <xf numFmtId="3" fontId="50" fillId="27" borderId="0" xfId="0" applyNumberFormat="1" applyFont="1" applyFill="1" applyBorder="1" applyAlignment="1">
      <alignment horizontal="right"/>
    </xf>
    <xf numFmtId="0" fontId="44" fillId="27" borderId="46" xfId="0" applyFont="1" applyFill="1" applyBorder="1"/>
    <xf numFmtId="3" fontId="50" fillId="27" borderId="46" xfId="0" applyNumberFormat="1" applyFont="1" applyFill="1" applyBorder="1" applyAlignment="1">
      <alignment horizontal="right"/>
    </xf>
    <xf numFmtId="49" fontId="54" fillId="0" borderId="0" xfId="0" applyNumberFormat="1" applyFont="1" applyFill="1" applyBorder="1" applyAlignment="1">
      <alignment horizontal="center"/>
    </xf>
    <xf numFmtId="0" fontId="44" fillId="0" borderId="115" xfId="0" applyFont="1" applyFill="1" applyBorder="1" applyAlignment="1">
      <alignment horizontal="center"/>
    </xf>
    <xf numFmtId="0" fontId="44" fillId="0" borderId="116" xfId="0" applyFont="1" applyFill="1" applyBorder="1" applyAlignment="1">
      <alignment horizontal="center"/>
    </xf>
    <xf numFmtId="0" fontId="44" fillId="0" borderId="105" xfId="0" applyFont="1" applyFill="1" applyBorder="1"/>
    <xf numFmtId="0" fontId="44" fillId="0" borderId="110" xfId="0" applyFont="1" applyFill="1" applyBorder="1"/>
    <xf numFmtId="167" fontId="44" fillId="0" borderId="111" xfId="0" applyNumberFormat="1" applyFont="1" applyFill="1" applyBorder="1" applyAlignment="1">
      <alignment horizontal="right"/>
    </xf>
    <xf numFmtId="3" fontId="44" fillId="0" borderId="112" xfId="0" applyNumberFormat="1" applyFont="1" applyFill="1" applyBorder="1" applyAlignment="1">
      <alignment horizontal="right"/>
    </xf>
    <xf numFmtId="3" fontId="44" fillId="0" borderId="110" xfId="0" applyNumberFormat="1" applyFont="1" applyFill="1" applyBorder="1" applyAlignment="1">
      <alignment horizontal="right"/>
    </xf>
    <xf numFmtId="0" fontId="50" fillId="28" borderId="0" xfId="0" applyFont="1" applyFill="1" applyBorder="1"/>
    <xf numFmtId="0" fontId="44" fillId="28" borderId="0" xfId="0" applyFont="1" applyFill="1" applyBorder="1"/>
    <xf numFmtId="0" fontId="0" fillId="28" borderId="46" xfId="0" applyFont="1" applyFill="1" applyBorder="1"/>
    <xf numFmtId="167" fontId="50" fillId="28" borderId="22" xfId="0" applyNumberFormat="1" applyFont="1" applyFill="1" applyBorder="1"/>
    <xf numFmtId="3" fontId="50" fillId="28" borderId="37" xfId="0" applyNumberFormat="1" applyFont="1" applyFill="1" applyBorder="1"/>
    <xf numFmtId="0" fontId="50" fillId="29" borderId="117" xfId="0" applyFont="1" applyFill="1" applyBorder="1"/>
    <xf numFmtId="0" fontId="44" fillId="29" borderId="118" xfId="0" applyFont="1" applyFill="1" applyBorder="1" applyAlignment="1"/>
    <xf numFmtId="0" fontId="50" fillId="29" borderId="118" xfId="0" applyFont="1" applyFill="1" applyBorder="1"/>
    <xf numFmtId="0" fontId="50" fillId="29" borderId="119" xfId="0" applyFont="1" applyFill="1" applyBorder="1"/>
    <xf numFmtId="167" fontId="51" fillId="29" borderId="120" xfId="0" applyNumberFormat="1" applyFont="1" applyFill="1" applyBorder="1" applyAlignment="1"/>
    <xf numFmtId="3" fontId="52" fillId="29" borderId="37" xfId="0" applyNumberFormat="1" applyFont="1" applyFill="1" applyBorder="1" applyAlignment="1"/>
    <xf numFmtId="3" fontId="52" fillId="29" borderId="121" xfId="0" applyNumberFormat="1" applyFont="1" applyFill="1" applyBorder="1" applyAlignment="1"/>
    <xf numFmtId="0" fontId="50" fillId="29" borderId="46" xfId="0" applyFont="1" applyFill="1" applyBorder="1"/>
    <xf numFmtId="0" fontId="44" fillId="29" borderId="0" xfId="0" applyFont="1" applyFill="1" applyBorder="1"/>
    <xf numFmtId="0" fontId="0" fillId="29" borderId="46" xfId="0" applyFont="1" applyFill="1" applyBorder="1"/>
    <xf numFmtId="167" fontId="50" fillId="29" borderId="22" xfId="0" applyNumberFormat="1" applyFont="1" applyFill="1" applyBorder="1"/>
    <xf numFmtId="3" fontId="50" fillId="29" borderId="37" xfId="0" applyNumberFormat="1" applyFont="1" applyFill="1" applyBorder="1"/>
    <xf numFmtId="3" fontId="44" fillId="0" borderId="113" xfId="0" applyNumberFormat="1" applyFont="1" applyFill="1" applyBorder="1" applyAlignment="1">
      <alignment horizontal="right"/>
    </xf>
    <xf numFmtId="49" fontId="44" fillId="0" borderId="122" xfId="0" applyNumberFormat="1" applyFont="1" applyFill="1" applyBorder="1" applyAlignment="1">
      <alignment horizontal="center"/>
    </xf>
    <xf numFmtId="3" fontId="44" fillId="0" borderId="50" xfId="0" applyNumberFormat="1" applyFont="1" applyBorder="1"/>
    <xf numFmtId="0" fontId="36" fillId="3" borderId="0" xfId="569" applyFont="1" applyFill="1" applyBorder="1"/>
    <xf numFmtId="0" fontId="36" fillId="31" borderId="0" xfId="569" applyFont="1" applyFill="1" applyBorder="1"/>
    <xf numFmtId="0" fontId="37" fillId="31" borderId="0" xfId="569" applyFont="1" applyFill="1" applyBorder="1"/>
    <xf numFmtId="2" fontId="36" fillId="3" borderId="0" xfId="569" applyNumberFormat="1" applyFont="1" applyFill="1" applyBorder="1" applyAlignment="1">
      <alignment horizontal="center"/>
    </xf>
    <xf numFmtId="0" fontId="6" fillId="3" borderId="0" xfId="569" applyFont="1" applyFill="1" applyBorder="1"/>
    <xf numFmtId="4" fontId="37" fillId="0" borderId="124" xfId="569" applyNumberFormat="1" applyFont="1" applyBorder="1"/>
    <xf numFmtId="4" fontId="37" fillId="0" borderId="124" xfId="569" applyNumberFormat="1" applyFont="1" applyFill="1" applyBorder="1"/>
    <xf numFmtId="0" fontId="48" fillId="9" borderId="13" xfId="0" applyFont="1" applyFill="1" applyBorder="1" applyAlignment="1">
      <alignment horizontal="center"/>
    </xf>
    <xf numFmtId="3" fontId="49" fillId="7" borderId="45" xfId="0" applyNumberFormat="1" applyFont="1" applyFill="1" applyBorder="1" applyAlignment="1"/>
    <xf numFmtId="3" fontId="52" fillId="29" borderId="46" xfId="0" applyNumberFormat="1" applyFont="1" applyFill="1" applyBorder="1" applyAlignment="1"/>
    <xf numFmtId="3" fontId="50" fillId="3" borderId="46" xfId="0" applyNumberFormat="1" applyFont="1" applyFill="1" applyBorder="1" applyAlignment="1">
      <alignment horizontal="right"/>
    </xf>
    <xf numFmtId="3" fontId="50" fillId="28" borderId="46" xfId="0" applyNumberFormat="1" applyFont="1" applyFill="1" applyBorder="1"/>
    <xf numFmtId="3" fontId="52" fillId="3" borderId="46" xfId="0" applyNumberFormat="1" applyFont="1" applyFill="1" applyBorder="1" applyAlignment="1">
      <alignment horizontal="right"/>
    </xf>
    <xf numFmtId="3" fontId="44" fillId="0" borderId="49" xfId="0" applyNumberFormat="1" applyFont="1" applyFill="1" applyBorder="1"/>
    <xf numFmtId="3" fontId="50" fillId="15" borderId="49" xfId="0" applyNumberFormat="1" applyFont="1" applyFill="1" applyBorder="1"/>
    <xf numFmtId="3" fontId="44" fillId="0" borderId="46" xfId="0" applyNumberFormat="1" applyFont="1" applyFill="1" applyBorder="1"/>
    <xf numFmtId="3" fontId="50" fillId="29" borderId="46" xfId="0" applyNumberFormat="1" applyFont="1" applyFill="1" applyBorder="1"/>
    <xf numFmtId="3" fontId="50" fillId="15" borderId="49" xfId="0" applyNumberFormat="1" applyFont="1" applyFill="1" applyBorder="1" applyAlignment="1"/>
    <xf numFmtId="3" fontId="44" fillId="0" borderId="46" xfId="0" applyNumberFormat="1" applyFont="1" applyFill="1" applyBorder="1" applyAlignment="1"/>
    <xf numFmtId="3" fontId="44" fillId="0" borderId="49" xfId="0" applyNumberFormat="1" applyFont="1" applyFill="1" applyBorder="1" applyAlignment="1"/>
    <xf numFmtId="3" fontId="48" fillId="0" borderId="56" xfId="0" applyNumberFormat="1" applyFont="1" applyFill="1" applyBorder="1" applyAlignment="1"/>
    <xf numFmtId="0" fontId="44" fillId="0" borderId="80" xfId="0" applyFont="1" applyBorder="1"/>
    <xf numFmtId="0" fontId="44" fillId="0" borderId="81" xfId="0" applyFont="1" applyBorder="1"/>
    <xf numFmtId="3" fontId="44" fillId="0" borderId="84" xfId="0" applyNumberFormat="1" applyFont="1" applyFill="1" applyBorder="1" applyAlignment="1">
      <alignment horizontal="right"/>
    </xf>
    <xf numFmtId="3" fontId="50" fillId="7" borderId="46" xfId="0" applyNumberFormat="1" applyFont="1" applyFill="1" applyBorder="1" applyAlignment="1">
      <alignment horizontal="right"/>
    </xf>
    <xf numFmtId="1" fontId="44" fillId="0" borderId="49" xfId="0" applyNumberFormat="1" applyFont="1" applyBorder="1"/>
    <xf numFmtId="167" fontId="0" fillId="9" borderId="0" xfId="0" applyNumberFormat="1" applyFont="1" applyFill="1" applyBorder="1" applyAlignment="1">
      <alignment horizontal="center"/>
    </xf>
    <xf numFmtId="1" fontId="0" fillId="9" borderId="19" xfId="0" applyNumberFormat="1" applyFont="1" applyFill="1" applyBorder="1" applyAlignment="1">
      <alignment horizontal="center" vertical="center"/>
    </xf>
    <xf numFmtId="3" fontId="52" fillId="7" borderId="110" xfId="0" applyNumberFormat="1" applyFont="1" applyFill="1" applyBorder="1"/>
    <xf numFmtId="1" fontId="0" fillId="9" borderId="82" xfId="0" applyNumberFormat="1" applyFont="1" applyFill="1" applyBorder="1" applyAlignment="1">
      <alignment horizontal="center" vertical="center"/>
    </xf>
    <xf numFmtId="3" fontId="55" fillId="7" borderId="41" xfId="0" applyNumberFormat="1" applyFont="1" applyFill="1" applyBorder="1"/>
    <xf numFmtId="167" fontId="44" fillId="32" borderId="22" xfId="0" applyNumberFormat="1" applyFont="1" applyFill="1" applyBorder="1" applyAlignment="1">
      <alignment horizontal="right"/>
    </xf>
    <xf numFmtId="3" fontId="44" fillId="32" borderId="37" xfId="0" applyNumberFormat="1" applyFont="1" applyFill="1" applyBorder="1" applyAlignment="1">
      <alignment horizontal="right"/>
    </xf>
    <xf numFmtId="3" fontId="44" fillId="32" borderId="22" xfId="0" applyNumberFormat="1" applyFont="1" applyFill="1" applyBorder="1" applyAlignment="1">
      <alignment horizontal="right"/>
    </xf>
    <xf numFmtId="167" fontId="44" fillId="26" borderId="14" xfId="0" applyNumberFormat="1" applyFont="1" applyFill="1" applyBorder="1" applyAlignment="1">
      <alignment horizontal="right"/>
    </xf>
    <xf numFmtId="3" fontId="44" fillId="15" borderId="14" xfId="0" applyNumberFormat="1" applyFont="1" applyFill="1" applyBorder="1" applyAlignment="1">
      <alignment horizontal="right"/>
    </xf>
    <xf numFmtId="0" fontId="50" fillId="27" borderId="130" xfId="0" applyFont="1" applyFill="1" applyBorder="1"/>
    <xf numFmtId="0" fontId="44" fillId="27" borderId="78" xfId="0" applyFont="1" applyFill="1" applyBorder="1" applyAlignment="1"/>
    <xf numFmtId="0" fontId="50" fillId="27" borderId="78" xfId="0" applyFont="1" applyFill="1" applyBorder="1"/>
    <xf numFmtId="0" fontId="50" fillId="27" borderId="75" xfId="0" applyFont="1" applyFill="1" applyBorder="1"/>
    <xf numFmtId="167" fontId="52" fillId="27" borderId="76" xfId="0" applyNumberFormat="1" applyFont="1" applyFill="1" applyBorder="1"/>
    <xf numFmtId="3" fontId="52" fillId="27" borderId="75" xfId="0" applyNumberFormat="1" applyFont="1" applyFill="1" applyBorder="1"/>
    <xf numFmtId="3" fontId="52" fillId="27" borderId="77" xfId="0" applyNumberFormat="1" applyFont="1" applyFill="1" applyBorder="1"/>
    <xf numFmtId="3" fontId="52" fillId="27" borderId="78" xfId="0" applyNumberFormat="1" applyFont="1" applyFill="1" applyBorder="1"/>
    <xf numFmtId="3" fontId="52" fillId="7" borderId="105" xfId="0" applyNumberFormat="1" applyFont="1" applyFill="1" applyBorder="1"/>
    <xf numFmtId="3" fontId="52" fillId="7" borderId="111" xfId="0" applyNumberFormat="1" applyFont="1" applyFill="1" applyBorder="1"/>
    <xf numFmtId="3" fontId="52" fillId="7" borderId="106" xfId="0" applyNumberFormat="1" applyFont="1" applyFill="1" applyBorder="1"/>
    <xf numFmtId="0" fontId="52" fillId="15" borderId="52" xfId="0" applyFont="1" applyFill="1" applyBorder="1"/>
    <xf numFmtId="0" fontId="52" fillId="15" borderId="19" xfId="0" applyFont="1" applyFill="1" applyBorder="1"/>
    <xf numFmtId="0" fontId="50" fillId="26" borderId="98" xfId="0" applyFont="1" applyFill="1" applyBorder="1"/>
    <xf numFmtId="3" fontId="44" fillId="26" borderId="131" xfId="0" applyNumberFormat="1" applyFont="1" applyFill="1" applyBorder="1" applyAlignment="1">
      <alignment horizontal="right"/>
    </xf>
    <xf numFmtId="3" fontId="44" fillId="26" borderId="98" xfId="0" applyNumberFormat="1" applyFont="1" applyFill="1" applyBorder="1" applyAlignment="1">
      <alignment horizontal="right"/>
    </xf>
    <xf numFmtId="3" fontId="44" fillId="26" borderId="132" xfId="0" applyNumberFormat="1" applyFont="1" applyFill="1" applyBorder="1" applyAlignment="1">
      <alignment horizontal="right"/>
    </xf>
    <xf numFmtId="3" fontId="52" fillId="27" borderId="83" xfId="0" applyNumberFormat="1" applyFont="1" applyFill="1" applyBorder="1"/>
    <xf numFmtId="167" fontId="51" fillId="7" borderId="111" xfId="0" applyNumberFormat="1" applyFont="1" applyFill="1" applyBorder="1" applyAlignment="1"/>
    <xf numFmtId="3" fontId="52" fillId="7" borderId="110" xfId="0" applyNumberFormat="1" applyFont="1" applyFill="1" applyBorder="1" applyAlignment="1"/>
    <xf numFmtId="3" fontId="52" fillId="7" borderId="112" xfId="0" applyNumberFormat="1" applyFont="1" applyFill="1" applyBorder="1" applyAlignment="1"/>
    <xf numFmtId="0" fontId="50" fillId="28" borderId="130" xfId="0" applyFont="1" applyFill="1" applyBorder="1"/>
    <xf numFmtId="0" fontId="44" fillId="28" borderId="78" xfId="0" applyFont="1" applyFill="1" applyBorder="1" applyAlignment="1"/>
    <xf numFmtId="0" fontId="50" fillId="28" borderId="78" xfId="0" applyFont="1" applyFill="1" applyBorder="1"/>
    <xf numFmtId="0" fontId="50" fillId="28" borderId="75" xfId="0" applyFont="1" applyFill="1" applyBorder="1"/>
    <xf numFmtId="167" fontId="51" fillId="28" borderId="76" xfId="0" applyNumberFormat="1" applyFont="1" applyFill="1" applyBorder="1" applyAlignment="1"/>
    <xf numFmtId="3" fontId="52" fillId="28" borderId="75" xfId="0" applyNumberFormat="1" applyFont="1" applyFill="1" applyBorder="1" applyAlignment="1"/>
    <xf numFmtId="3" fontId="52" fillId="28" borderId="77" xfId="0" applyNumberFormat="1" applyFont="1" applyFill="1" applyBorder="1" applyAlignment="1"/>
    <xf numFmtId="167" fontId="52" fillId="29" borderId="120" xfId="0" applyNumberFormat="1" applyFont="1" applyFill="1" applyBorder="1"/>
    <xf numFmtId="3" fontId="52" fillId="29" borderId="118" xfId="0" applyNumberFormat="1" applyFont="1" applyFill="1" applyBorder="1"/>
    <xf numFmtId="3" fontId="52" fillId="29" borderId="134" xfId="0" applyNumberFormat="1" applyFont="1" applyFill="1" applyBorder="1"/>
    <xf numFmtId="3" fontId="52" fillId="29" borderId="119" xfId="0" applyNumberFormat="1" applyFont="1" applyFill="1" applyBorder="1"/>
    <xf numFmtId="3" fontId="52" fillId="29" borderId="121" xfId="0" applyNumberFormat="1" applyFont="1" applyFill="1" applyBorder="1"/>
    <xf numFmtId="0" fontId="93" fillId="27" borderId="78" xfId="0" applyFont="1" applyFill="1" applyBorder="1" applyAlignment="1"/>
    <xf numFmtId="0" fontId="92" fillId="27" borderId="78" xfId="0" applyFont="1" applyFill="1" applyBorder="1"/>
    <xf numFmtId="3" fontId="52" fillId="27" borderId="76" xfId="0" applyNumberFormat="1" applyFont="1" applyFill="1" applyBorder="1"/>
    <xf numFmtId="3" fontId="52" fillId="29" borderId="120" xfId="0" applyNumberFormat="1" applyFont="1" applyFill="1" applyBorder="1"/>
    <xf numFmtId="0" fontId="50" fillId="29" borderId="96" xfId="0" applyFont="1" applyFill="1" applyBorder="1"/>
    <xf numFmtId="0" fontId="44" fillId="29" borderId="0" xfId="0" applyFont="1" applyFill="1" applyBorder="1" applyAlignment="1"/>
    <xf numFmtId="0" fontId="50" fillId="29" borderId="0" xfId="0" applyFont="1" applyFill="1" applyBorder="1"/>
    <xf numFmtId="3" fontId="44" fillId="33" borderId="37" xfId="0" applyNumberFormat="1" applyFont="1" applyFill="1" applyBorder="1" applyAlignment="1">
      <alignment horizontal="right"/>
    </xf>
    <xf numFmtId="3" fontId="44" fillId="33" borderId="0" xfId="0" applyNumberFormat="1" applyFont="1" applyFill="1" applyBorder="1" applyAlignment="1">
      <alignment horizontal="right"/>
    </xf>
    <xf numFmtId="3" fontId="44" fillId="33" borderId="22" xfId="0" applyNumberFormat="1" applyFont="1" applyFill="1" applyBorder="1" applyAlignment="1">
      <alignment horizontal="right"/>
    </xf>
    <xf numFmtId="3" fontId="44" fillId="33" borderId="80" xfId="0" applyNumberFormat="1" applyFont="1" applyFill="1" applyBorder="1" applyAlignment="1">
      <alignment horizontal="right"/>
    </xf>
    <xf numFmtId="3" fontId="52" fillId="29" borderId="46" xfId="0" applyNumberFormat="1" applyFont="1" applyFill="1" applyBorder="1"/>
    <xf numFmtId="3" fontId="52" fillId="29" borderId="37" xfId="0" applyNumberFormat="1" applyFont="1" applyFill="1" applyBorder="1"/>
    <xf numFmtId="3" fontId="52" fillId="29" borderId="0" xfId="0" applyNumberFormat="1" applyFont="1" applyFill="1" applyBorder="1"/>
    <xf numFmtId="0" fontId="0" fillId="32" borderId="0" xfId="0" applyFill="1" applyBorder="1"/>
    <xf numFmtId="49" fontId="54" fillId="15" borderId="51" xfId="0" applyNumberFormat="1" applyFont="1" applyFill="1" applyBorder="1" applyAlignment="1">
      <alignment horizontal="right"/>
    </xf>
    <xf numFmtId="0" fontId="0" fillId="26" borderId="15" xfId="0" applyFill="1" applyBorder="1"/>
    <xf numFmtId="167" fontId="52" fillId="29" borderId="22" xfId="0" applyNumberFormat="1" applyFont="1" applyFill="1" applyBorder="1"/>
    <xf numFmtId="0" fontId="55" fillId="10" borderId="68" xfId="0" applyFont="1" applyFill="1" applyBorder="1" applyAlignment="1">
      <alignment vertical="center"/>
    </xf>
    <xf numFmtId="0" fontId="0" fillId="10" borderId="24" xfId="0" applyFont="1" applyFill="1" applyBorder="1" applyAlignment="1">
      <alignment horizontal="center"/>
    </xf>
    <xf numFmtId="0" fontId="0" fillId="10" borderId="136" xfId="0" applyFont="1" applyFill="1" applyBorder="1" applyAlignment="1">
      <alignment horizontal="center" vertical="center"/>
    </xf>
    <xf numFmtId="0" fontId="0" fillId="10" borderId="41" xfId="0" applyFont="1" applyFill="1" applyBorder="1" applyAlignment="1">
      <alignment horizontal="center"/>
    </xf>
    <xf numFmtId="0" fontId="6" fillId="10" borderId="46" xfId="0" applyFont="1" applyFill="1" applyBorder="1" applyAlignment="1">
      <alignment horizontal="center" vertical="center"/>
    </xf>
    <xf numFmtId="0" fontId="0" fillId="10" borderId="84" xfId="0" applyFont="1" applyFill="1" applyBorder="1" applyAlignment="1">
      <alignment horizontal="center" vertical="center"/>
    </xf>
    <xf numFmtId="3" fontId="66" fillId="0" borderId="65" xfId="0" applyNumberFormat="1" applyFont="1" applyBorder="1"/>
    <xf numFmtId="3" fontId="0" fillId="0" borderId="49" xfId="0" applyNumberFormat="1" applyFont="1" applyBorder="1"/>
    <xf numFmtId="3" fontId="0" fillId="0" borderId="46" xfId="0" applyNumberFormat="1" applyFont="1" applyFill="1" applyBorder="1"/>
    <xf numFmtId="0" fontId="0" fillId="0" borderId="97" xfId="0" applyFont="1" applyFill="1" applyBorder="1" applyAlignment="1">
      <alignment horizontal="left" vertical="center"/>
    </xf>
    <xf numFmtId="0" fontId="55" fillId="0" borderId="80" xfId="0" applyFont="1" applyFill="1" applyBorder="1"/>
    <xf numFmtId="0" fontId="53" fillId="0" borderId="81" xfId="0" applyFont="1" applyFill="1" applyBorder="1"/>
    <xf numFmtId="0" fontId="6" fillId="10" borderId="56" xfId="0" applyFont="1" applyFill="1" applyBorder="1" applyAlignment="1">
      <alignment horizontal="center" vertical="center"/>
    </xf>
    <xf numFmtId="0" fontId="0" fillId="10" borderId="137" xfId="0" applyFont="1" applyFill="1" applyBorder="1" applyAlignment="1">
      <alignment horizontal="center" vertical="center"/>
    </xf>
    <xf numFmtId="0" fontId="0" fillId="10" borderId="79" xfId="0" applyFont="1" applyFill="1" applyBorder="1" applyAlignment="1">
      <alignment horizontal="center"/>
    </xf>
    <xf numFmtId="0" fontId="6" fillId="10" borderId="84" xfId="0" applyFont="1" applyFill="1" applyBorder="1" applyAlignment="1">
      <alignment horizontal="center" vertical="center"/>
    </xf>
    <xf numFmtId="0" fontId="51" fillId="34" borderId="138" xfId="0" applyFont="1" applyFill="1" applyBorder="1" applyAlignment="1">
      <alignment horizontal="center"/>
    </xf>
    <xf numFmtId="167" fontId="44" fillId="34" borderId="76" xfId="0" applyNumberFormat="1" applyFont="1" applyFill="1" applyBorder="1" applyAlignment="1">
      <alignment horizontal="right"/>
    </xf>
    <xf numFmtId="3" fontId="52" fillId="34" borderId="77" xfId="0" applyNumberFormat="1" applyFont="1" applyFill="1" applyBorder="1" applyAlignment="1">
      <alignment horizontal="right"/>
    </xf>
    <xf numFmtId="3" fontId="52" fillId="34" borderId="76" xfId="0" applyNumberFormat="1" applyFont="1" applyFill="1" applyBorder="1" applyAlignment="1">
      <alignment horizontal="right"/>
    </xf>
    <xf numFmtId="3" fontId="55" fillId="7" borderId="79" xfId="0" applyNumberFormat="1" applyFont="1" applyFill="1" applyBorder="1"/>
    <xf numFmtId="3" fontId="52" fillId="29" borderId="84" xfId="0" applyNumberFormat="1" applyFont="1" applyFill="1" applyBorder="1"/>
    <xf numFmtId="3" fontId="52" fillId="15" borderId="14" xfId="0" applyNumberFormat="1" applyFont="1" applyFill="1" applyBorder="1" applyAlignment="1"/>
    <xf numFmtId="3" fontId="44" fillId="26" borderId="14" xfId="0" applyNumberFormat="1" applyFont="1" applyFill="1" applyBorder="1" applyAlignment="1">
      <alignment horizontal="right"/>
    </xf>
    <xf numFmtId="3" fontId="49" fillId="7" borderId="59" xfId="0" applyNumberFormat="1" applyFont="1" applyFill="1" applyBorder="1" applyAlignment="1"/>
    <xf numFmtId="3" fontId="52" fillId="29" borderId="22" xfId="0" applyNumberFormat="1" applyFont="1" applyFill="1" applyBorder="1"/>
    <xf numFmtId="3" fontId="52" fillId="10" borderId="69" xfId="0" applyNumberFormat="1" applyFont="1" applyFill="1" applyBorder="1" applyAlignment="1"/>
    <xf numFmtId="3" fontId="52" fillId="15" borderId="14" xfId="0" applyNumberFormat="1" applyFont="1" applyFill="1" applyBorder="1" applyAlignment="1">
      <alignment horizontal="right"/>
    </xf>
    <xf numFmtId="3" fontId="44" fillId="0" borderId="33" xfId="0" applyNumberFormat="1" applyFont="1" applyFill="1" applyBorder="1" applyAlignment="1">
      <alignment horizontal="right"/>
    </xf>
    <xf numFmtId="3" fontId="50" fillId="0" borderId="81" xfId="0" applyNumberFormat="1" applyFont="1" applyFill="1" applyBorder="1" applyAlignment="1">
      <alignment horizontal="right"/>
    </xf>
    <xf numFmtId="3" fontId="52" fillId="15" borderId="81" xfId="0" applyNumberFormat="1" applyFont="1" applyFill="1" applyBorder="1" applyAlignment="1">
      <alignment horizontal="right"/>
    </xf>
    <xf numFmtId="3" fontId="50" fillId="27" borderId="80" xfId="0" applyNumberFormat="1" applyFont="1" applyFill="1" applyBorder="1" applyAlignment="1">
      <alignment horizontal="right"/>
    </xf>
    <xf numFmtId="3" fontId="52" fillId="15" borderId="49" xfId="0" applyNumberFormat="1" applyFont="1" applyFill="1" applyBorder="1" applyAlignment="1">
      <alignment horizontal="right"/>
    </xf>
    <xf numFmtId="3" fontId="52" fillId="15" borderId="50" xfId="0" applyNumberFormat="1" applyFont="1" applyFill="1" applyBorder="1" applyAlignment="1">
      <alignment horizontal="right"/>
    </xf>
    <xf numFmtId="3" fontId="50" fillId="0" borderId="82" xfId="0" applyNumberFormat="1" applyFont="1" applyFill="1" applyBorder="1" applyAlignment="1">
      <alignment horizontal="right"/>
    </xf>
    <xf numFmtId="3" fontId="44" fillId="0" borderId="81" xfId="0" applyNumberFormat="1" applyFont="1" applyBorder="1"/>
    <xf numFmtId="3" fontId="50" fillId="10" borderId="80" xfId="0" applyNumberFormat="1" applyFont="1" applyFill="1" applyBorder="1"/>
    <xf numFmtId="3" fontId="50" fillId="32" borderId="80" xfId="0" applyNumberFormat="1" applyFont="1" applyFill="1" applyBorder="1"/>
    <xf numFmtId="3" fontId="50" fillId="26" borderId="81" xfId="0" applyNumberFormat="1" applyFont="1" applyFill="1" applyBorder="1"/>
    <xf numFmtId="3" fontId="44" fillId="0" borderId="106" xfId="0" applyNumberFormat="1" applyFont="1" applyFill="1" applyBorder="1" applyAlignment="1">
      <alignment horizontal="right"/>
    </xf>
    <xf numFmtId="3" fontId="44" fillId="7" borderId="80" xfId="0" applyNumberFormat="1" applyFont="1" applyFill="1" applyBorder="1" applyAlignment="1">
      <alignment horizontal="right"/>
    </xf>
    <xf numFmtId="3" fontId="44" fillId="0" borderId="80" xfId="0" applyNumberFormat="1" applyFont="1" applyFill="1" applyBorder="1"/>
    <xf numFmtId="3" fontId="55" fillId="10" borderId="80" xfId="0" applyNumberFormat="1" applyFont="1" applyFill="1" applyBorder="1" applyAlignment="1"/>
    <xf numFmtId="3" fontId="44" fillId="33" borderId="46" xfId="0" applyNumberFormat="1" applyFont="1" applyFill="1" applyBorder="1" applyAlignment="1">
      <alignment horizontal="right"/>
    </xf>
    <xf numFmtId="3" fontId="44" fillId="26" borderId="141" xfId="0" applyNumberFormat="1" applyFont="1" applyFill="1" applyBorder="1" applyAlignment="1">
      <alignment horizontal="right"/>
    </xf>
    <xf numFmtId="3" fontId="44" fillId="0" borderId="75" xfId="0" applyNumberFormat="1" applyFont="1" applyFill="1" applyBorder="1" applyAlignment="1">
      <alignment horizontal="right"/>
    </xf>
    <xf numFmtId="3" fontId="52" fillId="10" borderId="46" xfId="0" applyNumberFormat="1" applyFont="1" applyFill="1" applyBorder="1" applyAlignment="1">
      <alignment horizontal="right"/>
    </xf>
    <xf numFmtId="3" fontId="50" fillId="29" borderId="80" xfId="0" applyNumberFormat="1" applyFont="1" applyFill="1" applyBorder="1"/>
    <xf numFmtId="3" fontId="50" fillId="26" borderId="99" xfId="0" applyNumberFormat="1" applyFont="1" applyFill="1" applyBorder="1"/>
    <xf numFmtId="3" fontId="44" fillId="10" borderId="80" xfId="0" applyNumberFormat="1" applyFont="1" applyFill="1" applyBorder="1" applyAlignment="1">
      <alignment horizontal="right"/>
    </xf>
    <xf numFmtId="3" fontId="50" fillId="0" borderId="84" xfId="0" applyNumberFormat="1" applyFont="1" applyFill="1" applyBorder="1" applyAlignment="1">
      <alignment horizontal="right"/>
    </xf>
    <xf numFmtId="3" fontId="50" fillId="3" borderId="80" xfId="0" applyNumberFormat="1" applyFont="1" applyFill="1" applyBorder="1" applyAlignment="1">
      <alignment horizontal="right"/>
    </xf>
    <xf numFmtId="3" fontId="50" fillId="28" borderId="80" xfId="0" applyNumberFormat="1" applyFont="1" applyFill="1" applyBorder="1"/>
    <xf numFmtId="3" fontId="52" fillId="3" borderId="80" xfId="0" applyNumberFormat="1" applyFont="1" applyFill="1" applyBorder="1" applyAlignment="1">
      <alignment horizontal="right"/>
    </xf>
    <xf numFmtId="3" fontId="44" fillId="0" borderId="80" xfId="0" applyNumberFormat="1" applyFont="1" applyBorder="1"/>
    <xf numFmtId="3" fontId="52" fillId="7" borderId="106" xfId="0" applyNumberFormat="1" applyFont="1" applyFill="1" applyBorder="1" applyAlignment="1"/>
    <xf numFmtId="3" fontId="52" fillId="28" borderId="83" xfId="0" applyNumberFormat="1" applyFont="1" applyFill="1" applyBorder="1" applyAlignment="1"/>
    <xf numFmtId="3" fontId="52" fillId="29" borderId="84" xfId="0" applyNumberFormat="1" applyFont="1" applyFill="1" applyBorder="1" applyAlignment="1"/>
    <xf numFmtId="3" fontId="44" fillId="0" borderId="80" xfId="0" applyNumberFormat="1" applyFont="1" applyFill="1" applyBorder="1" applyAlignment="1"/>
    <xf numFmtId="3" fontId="44" fillId="0" borderId="81" xfId="0" applyNumberFormat="1" applyFont="1" applyFill="1" applyBorder="1" applyAlignment="1"/>
    <xf numFmtId="3" fontId="50" fillId="15" borderId="81" xfId="0" applyNumberFormat="1" applyFont="1" applyFill="1" applyBorder="1" applyAlignment="1"/>
    <xf numFmtId="3" fontId="44" fillId="0" borderId="84" xfId="0" applyNumberFormat="1" applyFont="1" applyFill="1" applyBorder="1" applyAlignment="1"/>
    <xf numFmtId="3" fontId="52" fillId="7" borderId="111" xfId="0" applyNumberFormat="1" applyFont="1" applyFill="1" applyBorder="1" applyAlignment="1"/>
    <xf numFmtId="3" fontId="52" fillId="28" borderId="76" xfId="0" applyNumberFormat="1" applyFont="1" applyFill="1" applyBorder="1" applyAlignment="1"/>
    <xf numFmtId="3" fontId="52" fillId="29" borderId="22" xfId="0" applyNumberFormat="1" applyFont="1" applyFill="1" applyBorder="1" applyAlignment="1"/>
    <xf numFmtId="3" fontId="50" fillId="3" borderId="22" xfId="0" applyNumberFormat="1" applyFont="1" applyFill="1" applyBorder="1" applyAlignment="1">
      <alignment horizontal="right"/>
    </xf>
    <xf numFmtId="3" fontId="50" fillId="28" borderId="22" xfId="0" applyNumberFormat="1" applyFont="1" applyFill="1" applyBorder="1"/>
    <xf numFmtId="3" fontId="52" fillId="3" borderId="22" xfId="0" applyNumberFormat="1" applyFont="1" applyFill="1" applyBorder="1" applyAlignment="1">
      <alignment horizontal="right"/>
    </xf>
    <xf numFmtId="3" fontId="44" fillId="0" borderId="14" xfId="0" applyNumberFormat="1" applyFont="1" applyFill="1" applyBorder="1"/>
    <xf numFmtId="3" fontId="44" fillId="0" borderId="22" xfId="0" applyNumberFormat="1" applyFont="1" applyFill="1" applyBorder="1"/>
    <xf numFmtId="0" fontId="44" fillId="0" borderId="22" xfId="0" applyFont="1" applyBorder="1"/>
    <xf numFmtId="3" fontId="50" fillId="29" borderId="22" xfId="0" applyNumberFormat="1" applyFont="1" applyFill="1" applyBorder="1"/>
    <xf numFmtId="3" fontId="44" fillId="0" borderId="22" xfId="0" applyNumberFormat="1" applyFont="1" applyFill="1" applyBorder="1" applyAlignment="1"/>
    <xf numFmtId="3" fontId="44" fillId="0" borderId="14" xfId="0" applyNumberFormat="1" applyFont="1" applyFill="1" applyBorder="1" applyAlignment="1"/>
    <xf numFmtId="3" fontId="48" fillId="0" borderId="31" xfId="0" applyNumberFormat="1" applyFont="1" applyFill="1" applyBorder="1" applyAlignment="1"/>
    <xf numFmtId="167" fontId="0" fillId="9" borderId="142" xfId="0" applyNumberFormat="1" applyFont="1" applyFill="1" applyBorder="1" applyAlignment="1">
      <alignment horizontal="center"/>
    </xf>
    <xf numFmtId="3" fontId="52" fillId="10" borderId="143" xfId="0" applyNumberFormat="1" applyFont="1" applyFill="1" applyBorder="1" applyAlignment="1"/>
    <xf numFmtId="3" fontId="50" fillId="27" borderId="22" xfId="0" applyNumberFormat="1" applyFont="1" applyFill="1" applyBorder="1" applyAlignment="1">
      <alignment horizontal="right"/>
    </xf>
    <xf numFmtId="3" fontId="44" fillId="3" borderId="22" xfId="0" applyNumberFormat="1" applyFont="1" applyFill="1" applyBorder="1" applyAlignment="1">
      <alignment horizontal="right"/>
    </xf>
    <xf numFmtId="3" fontId="31" fillId="4" borderId="0" xfId="569" applyNumberFormat="1" applyFont="1" applyFill="1" applyBorder="1" applyAlignment="1"/>
    <xf numFmtId="0" fontId="43" fillId="4" borderId="0" xfId="569" applyFont="1" applyFill="1" applyBorder="1" applyAlignment="1"/>
    <xf numFmtId="0" fontId="43" fillId="0" borderId="0" xfId="569" applyFont="1" applyFill="1" applyBorder="1" applyAlignment="1"/>
    <xf numFmtId="0" fontId="36" fillId="0" borderId="145" xfId="569" applyFont="1" applyBorder="1"/>
    <xf numFmtId="0" fontId="36" fillId="0" borderId="122" xfId="569" applyFont="1" applyFill="1" applyBorder="1"/>
    <xf numFmtId="3" fontId="44" fillId="0" borderId="37" xfId="0" applyNumberFormat="1" applyFont="1" applyBorder="1"/>
    <xf numFmtId="171" fontId="50" fillId="15" borderId="151" xfId="409" applyNumberFormat="1" applyFont="1" applyFill="1" applyBorder="1" applyAlignment="1">
      <alignment horizontal="right"/>
    </xf>
    <xf numFmtId="3" fontId="44" fillId="0" borderId="0" xfId="0" applyNumberFormat="1" applyFont="1" applyBorder="1"/>
    <xf numFmtId="167" fontId="44" fillId="0" borderId="0" xfId="0" applyNumberFormat="1" applyFont="1" applyBorder="1"/>
    <xf numFmtId="3" fontId="50" fillId="15" borderId="152" xfId="0" applyNumberFormat="1" applyFont="1" applyFill="1" applyBorder="1"/>
    <xf numFmtId="3" fontId="50" fillId="15" borderId="153" xfId="0" applyNumberFormat="1" applyFont="1" applyFill="1" applyBorder="1"/>
    <xf numFmtId="3" fontId="50" fillId="7" borderId="152" xfId="0" applyNumberFormat="1" applyFont="1" applyFill="1" applyBorder="1"/>
    <xf numFmtId="3" fontId="50" fillId="7" borderId="153" xfId="0" applyNumberFormat="1" applyFont="1" applyFill="1" applyBorder="1"/>
    <xf numFmtId="3" fontId="50" fillId="7" borderId="154" xfId="0" applyNumberFormat="1" applyFont="1" applyFill="1" applyBorder="1"/>
    <xf numFmtId="3" fontId="44" fillId="15" borderId="155" xfId="0" applyNumberFormat="1" applyFont="1" applyFill="1" applyBorder="1" applyAlignment="1"/>
    <xf numFmtId="3" fontId="44" fillId="15" borderId="60" xfId="0" applyNumberFormat="1" applyFont="1" applyFill="1" applyBorder="1" applyAlignment="1"/>
    <xf numFmtId="3" fontId="44" fillId="15" borderId="20" xfId="0" applyNumberFormat="1" applyFont="1" applyFill="1" applyBorder="1" applyAlignment="1"/>
    <xf numFmtId="3" fontId="44" fillId="15" borderId="156" xfId="0" applyNumberFormat="1" applyFont="1" applyFill="1" applyBorder="1" applyAlignment="1"/>
    <xf numFmtId="3" fontId="44" fillId="3" borderId="146" xfId="0" applyNumberFormat="1" applyFont="1" applyFill="1" applyBorder="1" applyAlignment="1"/>
    <xf numFmtId="3" fontId="44" fillId="3" borderId="15" xfId="0" applyNumberFormat="1" applyFont="1" applyFill="1" applyBorder="1" applyAlignment="1"/>
    <xf numFmtId="3" fontId="44" fillId="3" borderId="16" xfId="0" applyNumberFormat="1" applyFont="1" applyFill="1" applyBorder="1" applyAlignment="1"/>
    <xf numFmtId="3" fontId="44" fillId="3" borderId="157" xfId="0" applyNumberFormat="1" applyFont="1" applyFill="1" applyBorder="1" applyAlignment="1"/>
    <xf numFmtId="3" fontId="44" fillId="4" borderId="149" xfId="0" applyNumberFormat="1" applyFont="1" applyFill="1" applyBorder="1" applyAlignment="1"/>
    <xf numFmtId="3" fontId="44" fillId="4" borderId="15" xfId="0" applyNumberFormat="1" applyFont="1" applyFill="1" applyBorder="1" applyAlignment="1"/>
    <xf numFmtId="3" fontId="44" fillId="4" borderId="16" xfId="0" applyNumberFormat="1" applyFont="1" applyFill="1" applyBorder="1" applyAlignment="1"/>
    <xf numFmtId="3" fontId="44" fillId="4" borderId="157" xfId="0" applyNumberFormat="1" applyFont="1" applyFill="1" applyBorder="1" applyAlignment="1"/>
    <xf numFmtId="3" fontId="44" fillId="15" borderId="30" xfId="0" applyNumberFormat="1" applyFont="1" applyFill="1" applyBorder="1"/>
    <xf numFmtId="3" fontId="44" fillId="15" borderId="16" xfId="0" applyNumberFormat="1" applyFont="1" applyFill="1" applyBorder="1"/>
    <xf numFmtId="3" fontId="44" fillId="15" borderId="157" xfId="0" applyNumberFormat="1" applyFont="1" applyFill="1" applyBorder="1"/>
    <xf numFmtId="3" fontId="44" fillId="3" borderId="30" xfId="0" applyNumberFormat="1" applyFont="1" applyFill="1" applyBorder="1"/>
    <xf numFmtId="3" fontId="44" fillId="3" borderId="16" xfId="0" applyNumberFormat="1" applyFont="1" applyFill="1" applyBorder="1"/>
    <xf numFmtId="3" fontId="44" fillId="3" borderId="157" xfId="0" applyNumberFormat="1" applyFont="1" applyFill="1" applyBorder="1"/>
    <xf numFmtId="3" fontId="44" fillId="4" borderId="30" xfId="0" applyNumberFormat="1" applyFont="1" applyFill="1" applyBorder="1"/>
    <xf numFmtId="3" fontId="44" fillId="4" borderId="16" xfId="0" applyNumberFormat="1" applyFont="1" applyFill="1" applyBorder="1"/>
    <xf numFmtId="3" fontId="44" fillId="4" borderId="157" xfId="0" applyNumberFormat="1" applyFont="1" applyFill="1" applyBorder="1"/>
    <xf numFmtId="3" fontId="44" fillId="4" borderId="29" xfId="0" applyNumberFormat="1" applyFont="1" applyFill="1" applyBorder="1"/>
    <xf numFmtId="3" fontId="44" fillId="4" borderId="27" xfId="0" applyNumberFormat="1" applyFont="1" applyFill="1" applyBorder="1"/>
    <xf numFmtId="3" fontId="44" fillId="4" borderId="158" xfId="0" applyNumberFormat="1" applyFont="1" applyFill="1" applyBorder="1"/>
    <xf numFmtId="3" fontId="44" fillId="15" borderId="60" xfId="0" applyNumberFormat="1" applyFont="1" applyFill="1" applyBorder="1" applyAlignment="1">
      <alignment horizontal="center"/>
    </xf>
    <xf numFmtId="3" fontId="44" fillId="3" borderId="15" xfId="0" applyNumberFormat="1" applyFont="1" applyFill="1" applyBorder="1" applyAlignment="1">
      <alignment horizontal="center"/>
    </xf>
    <xf numFmtId="3" fontId="44" fillId="4" borderId="15" xfId="0" applyNumberFormat="1" applyFont="1" applyFill="1" applyBorder="1" applyAlignment="1">
      <alignment horizontal="center"/>
    </xf>
    <xf numFmtId="3" fontId="44" fillId="15" borderId="30" xfId="0" applyNumberFormat="1" applyFont="1" applyFill="1" applyBorder="1" applyAlignment="1">
      <alignment horizontal="center"/>
    </xf>
    <xf numFmtId="3" fontId="44" fillId="3" borderId="30" xfId="0" applyNumberFormat="1" applyFont="1" applyFill="1" applyBorder="1" applyAlignment="1">
      <alignment horizontal="center"/>
    </xf>
    <xf numFmtId="3" fontId="44" fillId="4" borderId="30" xfId="0" applyNumberFormat="1" applyFont="1" applyFill="1" applyBorder="1" applyAlignment="1">
      <alignment horizontal="center"/>
    </xf>
    <xf numFmtId="171" fontId="44" fillId="3" borderId="30" xfId="0" applyNumberFormat="1" applyFont="1" applyFill="1" applyBorder="1" applyAlignment="1">
      <alignment horizontal="center"/>
    </xf>
    <xf numFmtId="171" fontId="44" fillId="4" borderId="29" xfId="0" applyNumberFormat="1" applyFont="1" applyFill="1" applyBorder="1" applyAlignment="1">
      <alignment horizontal="center"/>
    </xf>
    <xf numFmtId="0" fontId="0" fillId="26" borderId="0" xfId="0" applyFill="1" applyBorder="1"/>
    <xf numFmtId="49" fontId="29" fillId="15" borderId="78" xfId="0" applyNumberFormat="1" applyFont="1" applyFill="1" applyBorder="1"/>
    <xf numFmtId="3" fontId="0" fillId="15" borderId="74" xfId="0" applyNumberFormat="1" applyFont="1" applyFill="1" applyBorder="1" applyAlignment="1">
      <alignment horizontal="right" vertical="center"/>
    </xf>
    <xf numFmtId="0" fontId="0" fillId="26" borderId="85" xfId="0" applyFill="1" applyBorder="1"/>
    <xf numFmtId="0" fontId="0" fillId="26" borderId="78" xfId="0" applyFill="1" applyBorder="1"/>
    <xf numFmtId="3" fontId="0" fillId="15" borderId="78" xfId="0" applyNumberFormat="1" applyFont="1" applyFill="1" applyBorder="1" applyAlignment="1">
      <alignment horizontal="right"/>
    </xf>
    <xf numFmtId="3" fontId="0" fillId="15" borderId="74" xfId="0" applyNumberFormat="1" applyFont="1" applyFill="1" applyBorder="1" applyAlignment="1">
      <alignment horizontal="right"/>
    </xf>
    <xf numFmtId="49" fontId="29" fillId="15" borderId="78" xfId="0" applyNumberFormat="1" applyFont="1" applyFill="1" applyBorder="1" applyAlignment="1"/>
    <xf numFmtId="49" fontId="29" fillId="15" borderId="85" xfId="0" applyNumberFormat="1" applyFont="1" applyFill="1" applyBorder="1"/>
    <xf numFmtId="3" fontId="0" fillId="15" borderId="159" xfId="0" applyNumberFormat="1" applyFont="1" applyFill="1" applyBorder="1" applyAlignment="1">
      <alignment horizontal="right"/>
    </xf>
    <xf numFmtId="0" fontId="0" fillId="26" borderId="99" xfId="0" applyFill="1" applyBorder="1"/>
    <xf numFmtId="0" fontId="0" fillId="26" borderId="83" xfId="0" applyFill="1" applyBorder="1"/>
    <xf numFmtId="49" fontId="29" fillId="15" borderId="90" xfId="0" applyNumberFormat="1" applyFont="1" applyFill="1" applyBorder="1" applyAlignment="1">
      <alignment horizontal="center"/>
    </xf>
    <xf numFmtId="0" fontId="0" fillId="26" borderId="160" xfId="0" applyFill="1" applyBorder="1"/>
    <xf numFmtId="0" fontId="0" fillId="26" borderId="127" xfId="0" applyFill="1" applyBorder="1"/>
    <xf numFmtId="49" fontId="29" fillId="15" borderId="161" xfId="0" applyNumberFormat="1" applyFont="1" applyFill="1" applyBorder="1" applyAlignment="1">
      <alignment horizontal="center"/>
    </xf>
    <xf numFmtId="16" fontId="29" fillId="26" borderId="90" xfId="0" applyNumberFormat="1" applyFont="1" applyFill="1" applyBorder="1" applyAlignment="1">
      <alignment horizontal="center"/>
    </xf>
    <xf numFmtId="0" fontId="29" fillId="26" borderId="78" xfId="0" applyFont="1" applyFill="1" applyBorder="1" applyAlignment="1">
      <alignment horizontal="left"/>
    </xf>
    <xf numFmtId="0" fontId="29" fillId="0" borderId="78" xfId="0" applyFont="1" applyBorder="1" applyAlignment="1">
      <alignment horizontal="left"/>
    </xf>
    <xf numFmtId="3" fontId="29" fillId="15" borderId="78" xfId="0" applyNumberFormat="1" applyFont="1" applyFill="1" applyBorder="1" applyAlignment="1">
      <alignment horizontal="right"/>
    </xf>
    <xf numFmtId="49" fontId="27" fillId="0" borderId="9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98" fillId="0" borderId="90" xfId="0" applyFont="1" applyBorder="1" applyAlignment="1">
      <alignment horizontal="left"/>
    </xf>
    <xf numFmtId="0" fontId="29" fillId="15" borderId="78" xfId="0" applyFont="1" applyFill="1" applyBorder="1" applyAlignment="1"/>
    <xf numFmtId="0" fontId="98" fillId="0" borderId="19" xfId="0" applyFont="1" applyBorder="1"/>
    <xf numFmtId="0" fontId="98" fillId="0" borderId="15" xfId="0" applyFont="1" applyBorder="1"/>
    <xf numFmtId="0" fontId="98" fillId="0" borderId="0" xfId="0" applyFont="1" applyBorder="1"/>
    <xf numFmtId="49" fontId="98" fillId="0" borderId="89" xfId="0" applyNumberFormat="1" applyFont="1" applyBorder="1" applyAlignment="1">
      <alignment horizontal="center"/>
    </xf>
    <xf numFmtId="49" fontId="98" fillId="0" borderId="88" xfId="0" applyNumberFormat="1" applyFont="1" applyBorder="1" applyAlignment="1">
      <alignment horizontal="center"/>
    </xf>
    <xf numFmtId="49" fontId="98" fillId="0" borderId="91" xfId="0" applyNumberFormat="1" applyFont="1" applyBorder="1" applyAlignment="1">
      <alignment horizontal="center"/>
    </xf>
    <xf numFmtId="17" fontId="98" fillId="0" borderId="89" xfId="0" applyNumberFormat="1" applyFont="1" applyBorder="1" applyAlignment="1">
      <alignment horizontal="center"/>
    </xf>
    <xf numFmtId="0" fontId="98" fillId="0" borderId="94" xfId="0" applyFont="1" applyBorder="1"/>
    <xf numFmtId="0" fontId="98" fillId="0" borderId="78" xfId="0" applyFont="1" applyBorder="1"/>
    <xf numFmtId="0" fontId="25" fillId="0" borderId="91" xfId="0" applyFont="1" applyBorder="1" applyAlignment="1">
      <alignment horizontal="center"/>
    </xf>
    <xf numFmtId="0" fontId="27" fillId="0" borderId="0" xfId="0" applyFont="1" applyBorder="1"/>
    <xf numFmtId="0" fontId="27" fillId="0" borderId="162" xfId="0" applyFont="1" applyBorder="1"/>
    <xf numFmtId="49" fontId="98" fillId="0" borderId="163" xfId="0" applyNumberFormat="1" applyFont="1" applyBorder="1" applyAlignment="1">
      <alignment horizontal="center"/>
    </xf>
    <xf numFmtId="0" fontId="98" fillId="0" borderId="135" xfId="0" applyFont="1" applyBorder="1"/>
    <xf numFmtId="3" fontId="97" fillId="35" borderId="164" xfId="0" applyNumberFormat="1" applyFont="1" applyFill="1" applyBorder="1" applyAlignment="1">
      <alignment horizontal="right"/>
    </xf>
    <xf numFmtId="49" fontId="29" fillId="0" borderId="88" xfId="0" applyNumberFormat="1" applyFont="1" applyBorder="1" applyAlignment="1">
      <alignment horizontal="center"/>
    </xf>
    <xf numFmtId="49" fontId="29" fillId="0" borderId="93" xfId="0" applyNumberFormat="1" applyFont="1" applyBorder="1" applyAlignment="1">
      <alignment horizontal="center"/>
    </xf>
    <xf numFmtId="3" fontId="98" fillId="0" borderId="122" xfId="0" applyNumberFormat="1" applyFont="1" applyBorder="1" applyAlignment="1">
      <alignment horizontal="right"/>
    </xf>
    <xf numFmtId="3" fontId="98" fillId="0" borderId="165" xfId="0" applyNumberFormat="1" applyFont="1" applyBorder="1" applyAlignment="1">
      <alignment horizontal="right"/>
    </xf>
    <xf numFmtId="3" fontId="98" fillId="0" borderId="166" xfId="0" applyNumberFormat="1" applyFont="1" applyBorder="1" applyAlignment="1">
      <alignment horizontal="right"/>
    </xf>
    <xf numFmtId="3" fontId="98" fillId="0" borderId="52" xfId="0" applyNumberFormat="1" applyFont="1" applyBorder="1" applyAlignment="1">
      <alignment horizontal="right"/>
    </xf>
    <xf numFmtId="3" fontId="98" fillId="0" borderId="48" xfId="0" applyNumberFormat="1" applyFont="1" applyBorder="1" applyAlignment="1">
      <alignment horizontal="right"/>
    </xf>
    <xf numFmtId="3" fontId="98" fillId="0" borderId="51" xfId="0" applyNumberFormat="1" applyFont="1" applyBorder="1" applyAlignment="1">
      <alignment horizontal="right"/>
    </xf>
    <xf numFmtId="49" fontId="98" fillId="0" borderId="90" xfId="0" applyNumberFormat="1" applyFont="1" applyBorder="1" applyAlignment="1">
      <alignment horizontal="center"/>
    </xf>
    <xf numFmtId="3" fontId="29" fillId="0" borderId="167" xfId="0" applyNumberFormat="1" applyFont="1" applyBorder="1" applyAlignment="1">
      <alignment horizontal="center" vertical="center" wrapText="1"/>
    </xf>
    <xf numFmtId="3" fontId="29" fillId="0" borderId="100" xfId="0" applyNumberFormat="1" applyFont="1" applyBorder="1" applyAlignment="1">
      <alignment horizontal="center" vertical="center" wrapText="1"/>
    </xf>
    <xf numFmtId="3" fontId="29" fillId="0" borderId="102" xfId="0" applyNumberFormat="1" applyFont="1" applyBorder="1" applyAlignment="1">
      <alignment horizontal="center" vertical="center" wrapText="1"/>
    </xf>
    <xf numFmtId="3" fontId="29" fillId="0" borderId="168" xfId="0" applyNumberFormat="1" applyFont="1" applyBorder="1" applyAlignment="1">
      <alignment horizontal="center" vertical="center" wrapText="1"/>
    </xf>
    <xf numFmtId="3" fontId="29" fillId="0" borderId="101" xfId="0" applyNumberFormat="1" applyFont="1" applyBorder="1" applyAlignment="1">
      <alignment horizontal="center" vertical="center" wrapText="1"/>
    </xf>
    <xf numFmtId="3" fontId="29" fillId="0" borderId="169" xfId="0" applyNumberFormat="1" applyFont="1" applyBorder="1" applyAlignment="1">
      <alignment horizontal="center" vertical="center" wrapText="1"/>
    </xf>
    <xf numFmtId="3" fontId="29" fillId="0" borderId="51" xfId="0" applyNumberFormat="1" applyFont="1" applyBorder="1" applyAlignment="1">
      <alignment horizontal="center" vertical="center"/>
    </xf>
    <xf numFmtId="3" fontId="29" fillId="0" borderId="167" xfId="0" applyNumberFormat="1" applyFont="1" applyBorder="1" applyAlignment="1">
      <alignment horizontal="center" vertical="center"/>
    </xf>
    <xf numFmtId="3" fontId="29" fillId="0" borderId="100" xfId="0" applyNumberFormat="1" applyFont="1" applyBorder="1" applyAlignment="1">
      <alignment horizontal="center" vertical="center"/>
    </xf>
    <xf numFmtId="3" fontId="29" fillId="0" borderId="101" xfId="0" applyNumberFormat="1" applyFont="1" applyBorder="1" applyAlignment="1">
      <alignment horizontal="center" vertical="center"/>
    </xf>
    <xf numFmtId="3" fontId="29" fillId="0" borderId="169" xfId="0" applyNumberFormat="1" applyFont="1" applyBorder="1" applyAlignment="1">
      <alignment horizontal="center" vertical="center"/>
    </xf>
    <xf numFmtId="3" fontId="29" fillId="0" borderId="169" xfId="0" applyNumberFormat="1" applyFont="1" applyBorder="1"/>
    <xf numFmtId="3" fontId="29" fillId="0" borderId="169" xfId="0" applyNumberFormat="1" applyFont="1" applyBorder="1" applyAlignment="1">
      <alignment vertical="center"/>
    </xf>
    <xf numFmtId="3" fontId="29" fillId="0" borderId="147" xfId="0" applyNumberFormat="1" applyFont="1" applyBorder="1" applyAlignment="1">
      <alignment horizontal="center" vertical="center"/>
    </xf>
    <xf numFmtId="3" fontId="29" fillId="0" borderId="124" xfId="0" applyNumberFormat="1" applyFont="1" applyBorder="1" applyAlignment="1">
      <alignment horizontal="center" vertical="center"/>
    </xf>
    <xf numFmtId="3" fontId="29" fillId="0" borderId="122" xfId="0" applyNumberFormat="1" applyFont="1" applyBorder="1" applyAlignment="1">
      <alignment horizontal="center" vertical="center"/>
    </xf>
    <xf numFmtId="3" fontId="29" fillId="0" borderId="85" xfId="0" applyNumberFormat="1" applyFont="1" applyBorder="1" applyAlignment="1">
      <alignment horizontal="center" vertical="center"/>
    </xf>
    <xf numFmtId="3" fontId="29" fillId="0" borderId="165" xfId="0" applyNumberFormat="1" applyFont="1" applyBorder="1" applyAlignment="1">
      <alignment horizontal="center" vertical="center"/>
    </xf>
    <xf numFmtId="3" fontId="29" fillId="0" borderId="166" xfId="0" applyNumberFormat="1" applyFont="1" applyBorder="1" applyAlignment="1">
      <alignment horizontal="center" vertical="center"/>
    </xf>
    <xf numFmtId="3" fontId="29" fillId="0" borderId="170" xfId="0" applyNumberFormat="1" applyFont="1" applyBorder="1" applyAlignment="1">
      <alignment horizontal="center" vertical="center"/>
    </xf>
    <xf numFmtId="3" fontId="29" fillId="0" borderId="171" xfId="0" applyNumberFormat="1" applyFont="1" applyBorder="1" applyAlignment="1">
      <alignment horizontal="center" vertical="center"/>
    </xf>
    <xf numFmtId="3" fontId="29" fillId="0" borderId="172" xfId="0" applyNumberFormat="1" applyFont="1" applyBorder="1" applyAlignment="1">
      <alignment horizontal="center" vertical="center"/>
    </xf>
    <xf numFmtId="3" fontId="97" fillId="36" borderId="122" xfId="0" applyNumberFormat="1" applyFont="1" applyFill="1" applyBorder="1"/>
    <xf numFmtId="3" fontId="97" fillId="36" borderId="85" xfId="0" applyNumberFormat="1" applyFont="1" applyFill="1" applyBorder="1"/>
    <xf numFmtId="3" fontId="97" fillId="36" borderId="136" xfId="0" applyNumberFormat="1" applyFont="1" applyFill="1" applyBorder="1"/>
    <xf numFmtId="3" fontId="97" fillId="36" borderId="101" xfId="0" applyNumberFormat="1" applyFont="1" applyFill="1" applyBorder="1"/>
    <xf numFmtId="3" fontId="97" fillId="35" borderId="122" xfId="0" applyNumberFormat="1" applyFont="1" applyFill="1" applyBorder="1" applyAlignment="1">
      <alignment horizontal="right"/>
    </xf>
    <xf numFmtId="0" fontId="97" fillId="37" borderId="147" xfId="0" applyFont="1" applyFill="1" applyBorder="1" applyAlignment="1">
      <alignment horizontal="center"/>
    </xf>
    <xf numFmtId="0" fontId="97" fillId="37" borderId="124" xfId="0" applyFont="1" applyFill="1" applyBorder="1" applyAlignment="1">
      <alignment horizontal="center"/>
    </xf>
    <xf numFmtId="0" fontId="97" fillId="37" borderId="162" xfId="0" applyFont="1" applyFill="1" applyBorder="1" applyAlignment="1">
      <alignment horizontal="center"/>
    </xf>
    <xf numFmtId="0" fontId="97" fillId="37" borderId="173" xfId="0" applyFont="1" applyFill="1" applyBorder="1" applyAlignment="1">
      <alignment horizontal="center"/>
    </xf>
    <xf numFmtId="0" fontId="29" fillId="26" borderId="78" xfId="0" applyFont="1" applyFill="1" applyBorder="1"/>
    <xf numFmtId="0" fontId="29" fillId="26" borderId="160" xfId="0" applyFont="1" applyFill="1" applyBorder="1"/>
    <xf numFmtId="0" fontId="29" fillId="26" borderId="83" xfId="0" applyFont="1" applyFill="1" applyBorder="1"/>
    <xf numFmtId="3" fontId="29" fillId="0" borderId="159" xfId="0" applyNumberFormat="1" applyFont="1" applyBorder="1" applyAlignment="1">
      <alignment horizontal="right"/>
    </xf>
    <xf numFmtId="3" fontId="29" fillId="26" borderId="159" xfId="0" applyNumberFormat="1" applyFont="1" applyFill="1" applyBorder="1" applyAlignment="1">
      <alignment horizontal="right"/>
    </xf>
    <xf numFmtId="3" fontId="29" fillId="0" borderId="78" xfId="0" applyNumberFormat="1" applyFont="1" applyBorder="1"/>
    <xf numFmtId="3" fontId="29" fillId="0" borderId="122" xfId="0" applyNumberFormat="1" applyFont="1" applyBorder="1"/>
    <xf numFmtId="3" fontId="29" fillId="0" borderId="159" xfId="0" applyNumberFormat="1" applyFont="1" applyBorder="1" applyAlignment="1">
      <alignment horizontal="right" vertical="center"/>
    </xf>
    <xf numFmtId="3" fontId="29" fillId="0" borderId="78" xfId="0" applyNumberFormat="1" applyFont="1" applyBorder="1" applyAlignment="1">
      <alignment vertical="center"/>
    </xf>
    <xf numFmtId="3" fontId="29" fillId="0" borderId="122" xfId="0" applyNumberFormat="1" applyFont="1" applyBorder="1" applyAlignment="1">
      <alignment vertical="center"/>
    </xf>
    <xf numFmtId="3" fontId="29" fillId="0" borderId="174" xfId="0" applyNumberFormat="1" applyFont="1" applyBorder="1" applyAlignment="1">
      <alignment horizontal="right" vertical="center" wrapText="1"/>
    </xf>
    <xf numFmtId="3" fontId="29" fillId="0" borderId="123" xfId="0" applyNumberFormat="1" applyFont="1" applyBorder="1" applyAlignment="1">
      <alignment vertical="center" wrapText="1"/>
    </xf>
    <xf numFmtId="3" fontId="29" fillId="0" borderId="122" xfId="0" applyNumberFormat="1" applyFont="1" applyBorder="1" applyAlignment="1">
      <alignment vertical="center" wrapText="1"/>
    </xf>
    <xf numFmtId="3" fontId="29" fillId="0" borderId="169" xfId="0" applyNumberFormat="1" applyFont="1" applyBorder="1" applyAlignment="1">
      <alignment vertical="center" wrapText="1"/>
    </xf>
    <xf numFmtId="3" fontId="98" fillId="0" borderId="122" xfId="0" applyNumberFormat="1" applyFont="1" applyBorder="1"/>
    <xf numFmtId="3" fontId="98" fillId="0" borderId="169" xfId="0" applyNumberFormat="1" applyFont="1" applyBorder="1"/>
    <xf numFmtId="3" fontId="29" fillId="0" borderId="174" xfId="0" applyNumberFormat="1" applyFont="1" applyBorder="1" applyAlignment="1">
      <alignment horizontal="right"/>
    </xf>
    <xf numFmtId="3" fontId="29" fillId="0" borderId="123" xfId="0" applyNumberFormat="1" applyFont="1" applyBorder="1"/>
    <xf numFmtId="3" fontId="29" fillId="0" borderId="175" xfId="0" applyNumberFormat="1" applyFont="1" applyBorder="1" applyAlignment="1">
      <alignment horizontal="right" vertical="center"/>
    </xf>
    <xf numFmtId="3" fontId="29" fillId="0" borderId="92" xfId="0" applyNumberFormat="1" applyFont="1" applyBorder="1" applyAlignment="1">
      <alignment vertical="center"/>
    </xf>
    <xf numFmtId="3" fontId="29" fillId="0" borderId="166" xfId="0" applyNumberFormat="1" applyFont="1" applyBorder="1" applyAlignment="1">
      <alignment vertical="center"/>
    </xf>
    <xf numFmtId="3" fontId="29" fillId="0" borderId="172" xfId="0" applyNumberFormat="1" applyFont="1" applyBorder="1" applyAlignment="1">
      <alignment vertical="center"/>
    </xf>
    <xf numFmtId="3" fontId="97" fillId="35" borderId="176" xfId="0" applyNumberFormat="1" applyFont="1" applyFill="1" applyBorder="1" applyAlignment="1">
      <alignment horizontal="right"/>
    </xf>
    <xf numFmtId="0" fontId="98" fillId="0" borderId="85" xfId="0" applyFont="1" applyBorder="1"/>
    <xf numFmtId="0" fontId="98" fillId="0" borderId="101" xfId="0" applyFont="1" applyBorder="1"/>
    <xf numFmtId="3" fontId="98" fillId="0" borderId="85" xfId="0" applyNumberFormat="1" applyFont="1" applyBorder="1"/>
    <xf numFmtId="3" fontId="98" fillId="0" borderId="101" xfId="0" applyNumberFormat="1" applyFont="1" applyBorder="1"/>
    <xf numFmtId="3" fontId="98" fillId="0" borderId="160" xfId="0" applyNumberFormat="1" applyFont="1" applyBorder="1"/>
    <xf numFmtId="3" fontId="98" fillId="0" borderId="166" xfId="0" applyNumberFormat="1" applyFont="1" applyBorder="1"/>
    <xf numFmtId="3" fontId="98" fillId="0" borderId="170" xfId="0" applyNumberFormat="1" applyFont="1" applyBorder="1"/>
    <xf numFmtId="3" fontId="98" fillId="0" borderId="171" xfId="0" applyNumberFormat="1" applyFont="1" applyBorder="1"/>
    <xf numFmtId="3" fontId="97" fillId="36" borderId="176" xfId="0" applyNumberFormat="1" applyFont="1" applyFill="1" applyBorder="1"/>
    <xf numFmtId="3" fontId="97" fillId="36" borderId="177" xfId="0" applyNumberFormat="1" applyFont="1" applyFill="1" applyBorder="1"/>
    <xf numFmtId="3" fontId="97" fillId="36" borderId="178" xfId="0" applyNumberFormat="1" applyFont="1" applyFill="1" applyBorder="1"/>
    <xf numFmtId="3" fontId="97" fillId="36" borderId="179" xfId="0" applyNumberFormat="1" applyFont="1" applyFill="1" applyBorder="1"/>
    <xf numFmtId="0" fontId="97" fillId="37" borderId="180" xfId="0" applyFont="1" applyFill="1" applyBorder="1" applyAlignment="1">
      <alignment horizontal="center"/>
    </xf>
    <xf numFmtId="3" fontId="97" fillId="31" borderId="122" xfId="0" applyNumberFormat="1" applyFont="1" applyFill="1" applyBorder="1"/>
    <xf numFmtId="3" fontId="97" fillId="31" borderId="85" xfId="0" applyNumberFormat="1" applyFont="1" applyFill="1" applyBorder="1"/>
    <xf numFmtId="3" fontId="97" fillId="31" borderId="136" xfId="0" applyNumberFormat="1" applyFont="1" applyFill="1" applyBorder="1"/>
    <xf numFmtId="3" fontId="97" fillId="31" borderId="101" xfId="0" applyNumberFormat="1" applyFont="1" applyFill="1" applyBorder="1"/>
    <xf numFmtId="3" fontId="99" fillId="3" borderId="122" xfId="0" applyNumberFormat="1" applyFont="1" applyFill="1" applyBorder="1" applyAlignment="1"/>
    <xf numFmtId="3" fontId="97" fillId="36" borderId="164" xfId="0" applyNumberFormat="1" applyFont="1" applyFill="1" applyBorder="1"/>
    <xf numFmtId="3" fontId="97" fillId="36" borderId="181" xfId="0" applyNumberFormat="1" applyFont="1" applyFill="1" applyBorder="1"/>
    <xf numFmtId="3" fontId="97" fillId="36" borderId="137" xfId="0" applyNumberFormat="1" applyFont="1" applyFill="1" applyBorder="1"/>
    <xf numFmtId="3" fontId="97" fillId="36" borderId="108" xfId="0" applyNumberFormat="1" applyFont="1" applyFill="1" applyBorder="1"/>
    <xf numFmtId="3" fontId="98" fillId="0" borderId="172" xfId="0" applyNumberFormat="1" applyFont="1" applyBorder="1"/>
    <xf numFmtId="3" fontId="97" fillId="36" borderId="103" xfId="0" applyNumberFormat="1" applyFont="1" applyFill="1" applyBorder="1"/>
    <xf numFmtId="3" fontId="98" fillId="0" borderId="167" xfId="0" applyNumberFormat="1" applyFont="1" applyBorder="1" applyAlignment="1">
      <alignment horizontal="right"/>
    </xf>
    <xf numFmtId="3" fontId="98" fillId="0" borderId="167" xfId="0" applyNumberFormat="1" applyFont="1" applyBorder="1"/>
    <xf numFmtId="3" fontId="98" fillId="0" borderId="100" xfId="0" applyNumberFormat="1" applyFont="1" applyBorder="1"/>
    <xf numFmtId="3" fontId="98" fillId="0" borderId="102" xfId="0" applyNumberFormat="1" applyFont="1" applyBorder="1"/>
    <xf numFmtId="3" fontId="98" fillId="0" borderId="168" xfId="0" applyNumberFormat="1" applyFont="1" applyBorder="1"/>
    <xf numFmtId="3" fontId="97" fillId="31" borderId="164" xfId="0" applyNumberFormat="1" applyFont="1" applyFill="1" applyBorder="1"/>
    <xf numFmtId="3" fontId="97" fillId="31" borderId="103" xfId="0" applyNumberFormat="1" applyFont="1" applyFill="1" applyBorder="1"/>
    <xf numFmtId="3" fontId="97" fillId="31" borderId="108" xfId="0" applyNumberFormat="1" applyFont="1" applyFill="1" applyBorder="1"/>
    <xf numFmtId="3" fontId="97" fillId="31" borderId="181" xfId="0" applyNumberFormat="1" applyFont="1" applyFill="1" applyBorder="1"/>
    <xf numFmtId="49" fontId="25" fillId="0" borderId="0" xfId="0" applyNumberFormat="1" applyFont="1" applyBorder="1" applyAlignment="1"/>
    <xf numFmtId="0" fontId="98" fillId="0" borderId="124" xfId="0" applyFont="1" applyBorder="1"/>
    <xf numFmtId="3" fontId="44" fillId="0" borderId="122" xfId="0" applyNumberFormat="1" applyFont="1" applyBorder="1"/>
    <xf numFmtId="3" fontId="44" fillId="0" borderId="85" xfId="0" applyNumberFormat="1" applyFont="1" applyBorder="1"/>
    <xf numFmtId="3" fontId="44" fillId="0" borderId="101" xfId="0" applyNumberFormat="1" applyFont="1" applyBorder="1"/>
    <xf numFmtId="3" fontId="97" fillId="31" borderId="139" xfId="0" applyNumberFormat="1" applyFont="1" applyFill="1" applyBorder="1"/>
    <xf numFmtId="3" fontId="44" fillId="0" borderId="169" xfId="0" applyNumberFormat="1" applyFont="1" applyBorder="1"/>
    <xf numFmtId="0" fontId="25" fillId="0" borderId="182" xfId="0" applyFont="1" applyBorder="1" applyAlignment="1">
      <alignment horizontal="center"/>
    </xf>
    <xf numFmtId="0" fontId="27" fillId="0" borderId="107" xfId="0" applyFont="1" applyBorder="1"/>
    <xf numFmtId="0" fontId="27" fillId="0" borderId="108" xfId="0" applyFont="1" applyBorder="1"/>
    <xf numFmtId="3" fontId="97" fillId="31" borderId="166" xfId="0" applyNumberFormat="1" applyFont="1" applyFill="1" applyBorder="1" applyAlignment="1">
      <alignment horizontal="right"/>
    </xf>
    <xf numFmtId="3" fontId="97" fillId="31" borderId="166" xfId="0" applyNumberFormat="1" applyFont="1" applyFill="1" applyBorder="1"/>
    <xf numFmtId="3" fontId="97" fillId="31" borderId="170" xfId="0" applyNumberFormat="1" applyFont="1" applyFill="1" applyBorder="1"/>
    <xf numFmtId="3" fontId="97" fillId="31" borderId="171" xfId="0" applyNumberFormat="1" applyFont="1" applyFill="1" applyBorder="1"/>
    <xf numFmtId="3" fontId="97" fillId="31" borderId="172" xfId="0" applyNumberFormat="1" applyFont="1" applyFill="1" applyBorder="1"/>
    <xf numFmtId="3" fontId="36" fillId="0" borderId="122" xfId="569" applyNumberFormat="1" applyFont="1" applyBorder="1"/>
    <xf numFmtId="3" fontId="36" fillId="0" borderId="122" xfId="569" applyNumberFormat="1" applyFont="1" applyFill="1" applyBorder="1"/>
    <xf numFmtId="3" fontId="36" fillId="0" borderId="0" xfId="569" applyNumberFormat="1" applyFont="1" applyBorder="1" applyAlignment="1">
      <alignment horizontal="left"/>
    </xf>
    <xf numFmtId="0" fontId="25" fillId="0" borderId="185" xfId="0" applyFont="1" applyBorder="1" applyAlignment="1">
      <alignment horizontal="center"/>
    </xf>
    <xf numFmtId="0" fontId="36" fillId="0" borderId="122" xfId="569" applyFont="1" applyBorder="1"/>
    <xf numFmtId="4" fontId="86" fillId="0" borderId="0" xfId="569" applyNumberFormat="1" applyFont="1" applyFill="1" applyBorder="1"/>
    <xf numFmtId="3" fontId="36" fillId="0" borderId="122" xfId="569" applyNumberFormat="1" applyFont="1" applyBorder="1" applyAlignment="1">
      <alignment horizontal="right"/>
    </xf>
    <xf numFmtId="3" fontId="50" fillId="27" borderId="77" xfId="0" applyNumberFormat="1" applyFont="1" applyFill="1" applyBorder="1"/>
    <xf numFmtId="49" fontId="98" fillId="0" borderId="0" xfId="0" applyNumberFormat="1" applyFont="1" applyBorder="1" applyAlignment="1">
      <alignment horizontal="center"/>
    </xf>
    <xf numFmtId="3" fontId="98" fillId="0" borderId="0" xfId="0" applyNumberFormat="1" applyFont="1" applyBorder="1" applyAlignment="1">
      <alignment horizontal="right"/>
    </xf>
    <xf numFmtId="3" fontId="98" fillId="0" borderId="0" xfId="0" applyNumberFormat="1" applyFont="1" applyBorder="1"/>
    <xf numFmtId="0" fontId="98" fillId="0" borderId="105" xfId="0" applyFont="1" applyBorder="1"/>
    <xf numFmtId="0" fontId="98" fillId="0" borderId="187" xfId="0" applyFont="1" applyBorder="1"/>
    <xf numFmtId="3" fontId="98" fillId="0" borderId="186" xfId="0" applyNumberFormat="1" applyFont="1" applyBorder="1" applyAlignment="1">
      <alignment horizontal="right"/>
    </xf>
    <xf numFmtId="49" fontId="98" fillId="0" borderId="188" xfId="0" applyNumberFormat="1" applyFont="1" applyBorder="1" applyAlignment="1">
      <alignment horizontal="center"/>
    </xf>
    <xf numFmtId="0" fontId="27" fillId="0" borderId="104" xfId="0" applyFont="1" applyBorder="1"/>
    <xf numFmtId="0" fontId="27" fillId="0" borderId="189" xfId="0" applyFont="1" applyBorder="1"/>
    <xf numFmtId="3" fontId="98" fillId="0" borderId="113" xfId="0" applyNumberFormat="1" applyFont="1" applyBorder="1"/>
    <xf numFmtId="49" fontId="99" fillId="0" borderId="0" xfId="0" applyNumberFormat="1" applyFont="1" applyFill="1" applyBorder="1" applyAlignment="1">
      <alignment horizontal="left"/>
    </xf>
    <xf numFmtId="3" fontId="97" fillId="0" borderId="0" xfId="0" applyNumberFormat="1" applyFont="1" applyFill="1" applyBorder="1" applyAlignment="1">
      <alignment horizontal="right"/>
    </xf>
    <xf numFmtId="3" fontId="97" fillId="0" borderId="0" xfId="0" applyNumberFormat="1" applyFont="1" applyFill="1" applyBorder="1"/>
    <xf numFmtId="3" fontId="50" fillId="10" borderId="80" xfId="0" applyNumberFormat="1" applyFont="1" applyFill="1" applyBorder="1" applyAlignment="1"/>
    <xf numFmtId="3" fontId="50" fillId="10" borderId="46" xfId="0" applyNumberFormat="1" applyFont="1" applyFill="1" applyBorder="1" applyAlignment="1"/>
    <xf numFmtId="3" fontId="50" fillId="29" borderId="80" xfId="0" applyNumberFormat="1" applyFont="1" applyFill="1" applyBorder="1" applyAlignment="1"/>
    <xf numFmtId="3" fontId="50" fillId="29" borderId="119" xfId="0" applyNumberFormat="1" applyFont="1" applyFill="1" applyBorder="1" applyAlignment="1"/>
    <xf numFmtId="3" fontId="50" fillId="7" borderId="190" xfId="0" applyNumberFormat="1" applyFont="1" applyFill="1" applyBorder="1" applyAlignment="1"/>
    <xf numFmtId="3" fontId="50" fillId="7" borderId="45" xfId="0" applyNumberFormat="1" applyFont="1" applyFill="1" applyBorder="1" applyAlignment="1"/>
    <xf numFmtId="3" fontId="6" fillId="0" borderId="122" xfId="569" applyNumberFormat="1" applyFont="1" applyBorder="1"/>
    <xf numFmtId="3" fontId="37" fillId="4" borderId="122" xfId="569" applyNumberFormat="1" applyFont="1" applyFill="1" applyBorder="1"/>
    <xf numFmtId="4" fontId="36" fillId="0" borderId="122" xfId="569" applyNumberFormat="1" applyFont="1" applyBorder="1"/>
    <xf numFmtId="3" fontId="35" fillId="38" borderId="122" xfId="569" applyNumberFormat="1" applyFont="1" applyFill="1" applyBorder="1"/>
    <xf numFmtId="3" fontId="84" fillId="0" borderId="122" xfId="569" applyNumberFormat="1" applyFont="1" applyFill="1" applyBorder="1"/>
    <xf numFmtId="3" fontId="89" fillId="0" borderId="122" xfId="569" applyNumberFormat="1" applyFont="1" applyBorder="1"/>
    <xf numFmtId="3" fontId="31" fillId="0" borderId="122" xfId="569" applyNumberFormat="1" applyFont="1" applyFill="1" applyBorder="1" applyAlignment="1">
      <alignment horizontal="center"/>
    </xf>
    <xf numFmtId="0" fontId="35" fillId="4" borderId="122" xfId="569" applyFont="1" applyFill="1" applyBorder="1"/>
    <xf numFmtId="0" fontId="67" fillId="0" borderId="122" xfId="569" applyFont="1" applyFill="1" applyBorder="1"/>
    <xf numFmtId="0" fontId="37" fillId="4" borderId="122" xfId="569" applyFont="1" applyFill="1" applyBorder="1"/>
    <xf numFmtId="0" fontId="89" fillId="0" borderId="122" xfId="569" applyFont="1" applyBorder="1"/>
    <xf numFmtId="0" fontId="90" fillId="0" borderId="122" xfId="569" applyFont="1" applyBorder="1"/>
    <xf numFmtId="0" fontId="43" fillId="0" borderId="122" xfId="569" applyFont="1" applyFill="1" applyBorder="1" applyAlignment="1">
      <alignment vertical="top"/>
    </xf>
    <xf numFmtId="0" fontId="80" fillId="0" borderId="122" xfId="569" applyFont="1" applyFill="1" applyBorder="1" applyAlignment="1">
      <alignment horizontal="center"/>
    </xf>
    <xf numFmtId="0" fontId="33" fillId="0" borderId="122" xfId="569" applyFont="1" applyBorder="1"/>
    <xf numFmtId="0" fontId="67" fillId="0" borderId="122" xfId="569" applyFont="1" applyBorder="1"/>
    <xf numFmtId="0" fontId="35" fillId="38" borderId="122" xfId="569" applyFont="1" applyFill="1" applyBorder="1"/>
    <xf numFmtId="0" fontId="84" fillId="0" borderId="122" xfId="569" applyFont="1" applyFill="1" applyBorder="1"/>
    <xf numFmtId="3" fontId="101" fillId="31" borderId="137" xfId="0" applyNumberFormat="1" applyFont="1" applyFill="1" applyBorder="1"/>
    <xf numFmtId="3" fontId="29" fillId="39" borderId="83" xfId="0" applyNumberFormat="1" applyFont="1" applyFill="1" applyBorder="1" applyAlignment="1">
      <alignment horizontal="center" vertical="center" wrapText="1"/>
    </xf>
    <xf numFmtId="3" fontId="29" fillId="39" borderId="83" xfId="0" applyNumberFormat="1" applyFont="1" applyFill="1" applyBorder="1" applyAlignment="1">
      <alignment horizontal="center" vertical="center"/>
    </xf>
    <xf numFmtId="3" fontId="29" fillId="39" borderId="139" xfId="0" applyNumberFormat="1" applyFont="1" applyFill="1" applyBorder="1" applyAlignment="1">
      <alignment horizontal="center" vertical="center"/>
    </xf>
    <xf numFmtId="3" fontId="29" fillId="39" borderId="83" xfId="0" applyNumberFormat="1" applyFont="1" applyFill="1" applyBorder="1" applyAlignment="1">
      <alignment vertical="center"/>
    </xf>
    <xf numFmtId="3" fontId="29" fillId="39" borderId="180" xfId="0" applyNumberFormat="1" applyFont="1" applyFill="1" applyBorder="1" applyAlignment="1">
      <alignment vertical="center" wrapText="1"/>
    </xf>
    <xf numFmtId="3" fontId="29" fillId="39" borderId="83" xfId="0" applyNumberFormat="1" applyFont="1" applyFill="1" applyBorder="1"/>
    <xf numFmtId="3" fontId="29" fillId="39" borderId="180" xfId="0" applyNumberFormat="1" applyFont="1" applyFill="1" applyBorder="1"/>
    <xf numFmtId="3" fontId="29" fillId="39" borderId="84" xfId="0" applyNumberFormat="1" applyFont="1" applyFill="1" applyBorder="1" applyAlignment="1">
      <alignment vertical="center"/>
    </xf>
    <xf numFmtId="3" fontId="98" fillId="39" borderId="83" xfId="0" applyNumberFormat="1" applyFont="1" applyFill="1" applyBorder="1"/>
    <xf numFmtId="3" fontId="98" fillId="39" borderId="139" xfId="0" applyNumberFormat="1" applyFont="1" applyFill="1" applyBorder="1"/>
    <xf numFmtId="3" fontId="98" fillId="39" borderId="99" xfId="0" applyNumberFormat="1" applyFont="1" applyFill="1" applyBorder="1"/>
    <xf numFmtId="3" fontId="44" fillId="39" borderId="83" xfId="0" applyNumberFormat="1" applyFont="1" applyFill="1" applyBorder="1"/>
    <xf numFmtId="0" fontId="36" fillId="0" borderId="122" xfId="569" applyFont="1" applyBorder="1" applyAlignment="1">
      <alignment horizontal="left"/>
    </xf>
    <xf numFmtId="0" fontId="85" fillId="0" borderId="0" xfId="569" applyFont="1" applyBorder="1"/>
    <xf numFmtId="3" fontId="36" fillId="0" borderId="122" xfId="569" applyNumberFormat="1" applyFont="1" applyFill="1" applyBorder="1" applyAlignment="1">
      <alignment horizontal="right"/>
    </xf>
    <xf numFmtId="3" fontId="95" fillId="0" borderId="122" xfId="569" applyNumberFormat="1" applyFont="1" applyFill="1" applyBorder="1" applyAlignment="1">
      <alignment horizontal="left"/>
    </xf>
    <xf numFmtId="3" fontId="84" fillId="0" borderId="122" xfId="569" applyNumberFormat="1" applyFont="1" applyFill="1" applyBorder="1" applyAlignment="1">
      <alignment horizontal="right"/>
    </xf>
    <xf numFmtId="3" fontId="36" fillId="0" borderId="122" xfId="569" applyNumberFormat="1" applyFont="1" applyFill="1" applyBorder="1" applyAlignment="1">
      <alignment horizontal="left"/>
    </xf>
    <xf numFmtId="0" fontId="36" fillId="0" borderId="122" xfId="569" applyFont="1" applyFill="1" applyBorder="1" applyAlignment="1">
      <alignment horizontal="right"/>
    </xf>
    <xf numFmtId="0" fontId="84" fillId="0" borderId="122" xfId="569" applyFont="1" applyBorder="1"/>
    <xf numFmtId="0" fontId="84" fillId="0" borderId="122" xfId="569" applyFont="1" applyFill="1" applyBorder="1" applyAlignment="1">
      <alignment horizontal="left"/>
    </xf>
    <xf numFmtId="3" fontId="105" fillId="0" borderId="122" xfId="569" applyNumberFormat="1" applyFont="1" applyBorder="1"/>
    <xf numFmtId="3" fontId="105" fillId="0" borderId="122" xfId="569" applyNumberFormat="1" applyFont="1" applyFill="1" applyBorder="1"/>
    <xf numFmtId="3" fontId="108" fillId="0" borderId="0" xfId="569" applyNumberFormat="1" applyFont="1" applyBorder="1" applyAlignment="1">
      <alignment horizontal="right"/>
    </xf>
    <xf numFmtId="3" fontId="38" fillId="0" borderId="0" xfId="569" applyNumberFormat="1" applyFont="1" applyFill="1" applyBorder="1"/>
    <xf numFmtId="3" fontId="95" fillId="0" borderId="0" xfId="569" applyNumberFormat="1" applyFont="1" applyFill="1" applyBorder="1" applyAlignment="1">
      <alignment horizontal="left"/>
    </xf>
    <xf numFmtId="3" fontId="95" fillId="0" borderId="0" xfId="569" applyNumberFormat="1" applyFont="1" applyFill="1" applyBorder="1" applyAlignment="1">
      <alignment horizontal="right"/>
    </xf>
    <xf numFmtId="3" fontId="95" fillId="0" borderId="122" xfId="569" applyNumberFormat="1" applyFont="1" applyFill="1" applyBorder="1" applyAlignment="1">
      <alignment horizontal="right"/>
    </xf>
    <xf numFmtId="3" fontId="95" fillId="40" borderId="0" xfId="569" applyNumberFormat="1" applyFont="1" applyFill="1" applyBorder="1" applyAlignment="1">
      <alignment horizontal="left"/>
    </xf>
    <xf numFmtId="3" fontId="95" fillId="41" borderId="0" xfId="569" applyNumberFormat="1" applyFont="1" applyFill="1" applyBorder="1" applyAlignment="1">
      <alignment horizontal="right"/>
    </xf>
    <xf numFmtId="3" fontId="95" fillId="0" borderId="122" xfId="569" applyNumberFormat="1" applyFont="1" applyBorder="1" applyAlignment="1">
      <alignment horizontal="left"/>
    </xf>
    <xf numFmtId="3" fontId="86" fillId="9" borderId="0" xfId="571" applyNumberFormat="1" applyFont="1" applyBorder="1"/>
    <xf numFmtId="3" fontId="105" fillId="0" borderId="0" xfId="569" applyNumberFormat="1" applyFont="1" applyBorder="1"/>
    <xf numFmtId="3" fontId="105" fillId="0" borderId="0" xfId="569" applyNumberFormat="1" applyFont="1" applyBorder="1" applyAlignment="1">
      <alignment horizontal="right"/>
    </xf>
    <xf numFmtId="3" fontId="107" fillId="0" borderId="0" xfId="569" applyNumberFormat="1" applyFont="1" applyBorder="1" applyAlignment="1">
      <alignment horizontal="left"/>
    </xf>
    <xf numFmtId="3" fontId="84" fillId="0" borderId="0" xfId="569" applyNumberFormat="1" applyFont="1" applyFill="1" applyBorder="1" applyAlignment="1">
      <alignment horizontal="left"/>
    </xf>
    <xf numFmtId="3" fontId="105" fillId="0" borderId="0" xfId="569" applyNumberFormat="1" applyFont="1" applyFill="1" applyBorder="1" applyAlignment="1">
      <alignment horizontal="right"/>
    </xf>
    <xf numFmtId="0" fontId="35" fillId="8" borderId="0" xfId="569" applyFont="1" applyFill="1" applyBorder="1"/>
    <xf numFmtId="3" fontId="35" fillId="8" borderId="0" xfId="569" applyNumberFormat="1" applyFont="1" applyFill="1" applyBorder="1" applyAlignment="1">
      <alignment horizontal="right"/>
    </xf>
    <xf numFmtId="3" fontId="35" fillId="8" borderId="0" xfId="569" applyNumberFormat="1" applyFont="1" applyFill="1" applyBorder="1"/>
    <xf numFmtId="0" fontId="86" fillId="41" borderId="0" xfId="571" applyFont="1" applyFill="1" applyBorder="1"/>
    <xf numFmtId="3" fontId="86" fillId="41" borderId="0" xfId="571" applyNumberFormat="1" applyFont="1" applyFill="1" applyBorder="1" applyAlignment="1">
      <alignment horizontal="right"/>
    </xf>
    <xf numFmtId="3" fontId="86" fillId="41" borderId="0" xfId="571" applyNumberFormat="1" applyFont="1" applyFill="1" applyBorder="1"/>
    <xf numFmtId="0" fontId="106" fillId="40" borderId="0" xfId="569" applyFont="1" applyFill="1" applyBorder="1"/>
    <xf numFmtId="3" fontId="106" fillId="40" borderId="0" xfId="569" applyNumberFormat="1" applyFont="1" applyFill="1" applyBorder="1" applyAlignment="1">
      <alignment horizontal="right"/>
    </xf>
    <xf numFmtId="3" fontId="106" fillId="40" borderId="0" xfId="569" applyNumberFormat="1" applyFont="1" applyFill="1" applyBorder="1"/>
    <xf numFmtId="3" fontId="109" fillId="8" borderId="0" xfId="566" applyNumberFormat="1" applyFont="1" applyFill="1" applyBorder="1"/>
    <xf numFmtId="3" fontId="105" fillId="40" borderId="0" xfId="569" applyNumberFormat="1" applyFont="1" applyFill="1" applyBorder="1"/>
    <xf numFmtId="0" fontId="36" fillId="40" borderId="0" xfId="569" applyFont="1" applyFill="1" applyBorder="1" applyAlignment="1">
      <alignment horizontal="right"/>
    </xf>
    <xf numFmtId="0" fontId="84" fillId="40" borderId="0" xfId="569" applyFont="1" applyFill="1" applyBorder="1" applyAlignment="1">
      <alignment horizontal="left"/>
    </xf>
    <xf numFmtId="3" fontId="36" fillId="40" borderId="0" xfId="569" applyNumberFormat="1" applyFont="1" applyFill="1" applyBorder="1"/>
    <xf numFmtId="3" fontId="36" fillId="41" borderId="0" xfId="569" applyNumberFormat="1" applyFont="1" applyFill="1" applyBorder="1" applyAlignment="1">
      <alignment horizontal="left"/>
    </xf>
    <xf numFmtId="3" fontId="36" fillId="40" borderId="0" xfId="569" applyNumberFormat="1" applyFont="1" applyFill="1" applyBorder="1" applyAlignment="1">
      <alignment horizontal="left"/>
    </xf>
    <xf numFmtId="0" fontId="84" fillId="40" borderId="0" xfId="569" applyFont="1" applyFill="1" applyBorder="1"/>
    <xf numFmtId="3" fontId="69" fillId="40" borderId="0" xfId="569" applyNumberFormat="1" applyFont="1" applyFill="1" applyBorder="1"/>
    <xf numFmtId="3" fontId="89" fillId="40" borderId="0" xfId="569" applyNumberFormat="1" applyFont="1" applyFill="1" applyBorder="1"/>
    <xf numFmtId="0" fontId="105" fillId="40" borderId="0" xfId="569" applyFont="1" applyFill="1" applyBorder="1" applyAlignment="1">
      <alignment horizontal="right"/>
    </xf>
    <xf numFmtId="0" fontId="105" fillId="40" borderId="0" xfId="569" applyFont="1" applyFill="1" applyBorder="1"/>
    <xf numFmtId="3" fontId="105" fillId="41" borderId="0" xfId="569" applyNumberFormat="1" applyFont="1" applyFill="1" applyBorder="1"/>
    <xf numFmtId="0" fontId="71" fillId="40" borderId="0" xfId="569" applyFont="1" applyFill="1" applyBorder="1"/>
    <xf numFmtId="0" fontId="74" fillId="40" borderId="0" xfId="569" applyFont="1" applyFill="1" applyBorder="1"/>
    <xf numFmtId="0" fontId="36" fillId="40" borderId="0" xfId="569" applyFont="1" applyFill="1" applyBorder="1"/>
    <xf numFmtId="165" fontId="36" fillId="40" borderId="0" xfId="410" applyFont="1" applyFill="1" applyBorder="1" applyAlignment="1" applyProtection="1">
      <alignment horizontal="left"/>
    </xf>
    <xf numFmtId="49" fontId="36" fillId="40" borderId="0" xfId="569" applyNumberFormat="1" applyFont="1" applyFill="1" applyBorder="1" applyAlignment="1">
      <alignment horizontal="center"/>
    </xf>
    <xf numFmtId="3" fontId="105" fillId="41" borderId="0" xfId="569" applyNumberFormat="1" applyFont="1" applyFill="1" applyBorder="1" applyAlignment="1">
      <alignment horizontal="right"/>
    </xf>
    <xf numFmtId="3" fontId="105" fillId="40" borderId="0" xfId="569" applyNumberFormat="1" applyFont="1" applyFill="1" applyBorder="1" applyAlignment="1">
      <alignment horizontal="right"/>
    </xf>
    <xf numFmtId="0" fontId="74" fillId="40" borderId="0" xfId="569" applyFont="1" applyFill="1" applyBorder="1" applyAlignment="1">
      <alignment horizontal="right"/>
    </xf>
    <xf numFmtId="3" fontId="104" fillId="40" borderId="0" xfId="569" applyNumberFormat="1" applyFont="1" applyFill="1" applyBorder="1"/>
    <xf numFmtId="3" fontId="108" fillId="41" borderId="0" xfId="569" applyNumberFormat="1" applyFont="1" applyFill="1" applyBorder="1" applyAlignment="1">
      <alignment horizontal="right"/>
    </xf>
    <xf numFmtId="3" fontId="108" fillId="40" borderId="0" xfId="569" applyNumberFormat="1" applyFont="1" applyFill="1" applyBorder="1" applyAlignment="1">
      <alignment horizontal="right"/>
    </xf>
    <xf numFmtId="3" fontId="107" fillId="41" borderId="0" xfId="569" applyNumberFormat="1" applyFont="1" applyFill="1" applyBorder="1" applyAlignment="1">
      <alignment horizontal="left"/>
    </xf>
    <xf numFmtId="3" fontId="107" fillId="40" borderId="0" xfId="569" applyNumberFormat="1" applyFont="1" applyFill="1" applyBorder="1" applyAlignment="1">
      <alignment horizontal="left"/>
    </xf>
    <xf numFmtId="3" fontId="36" fillId="40" borderId="0" xfId="569" applyNumberFormat="1" applyFont="1" applyFill="1" applyBorder="1" applyAlignment="1">
      <alignment horizontal="right"/>
    </xf>
    <xf numFmtId="3" fontId="84" fillId="40" borderId="0" xfId="569" applyNumberFormat="1" applyFont="1" applyFill="1" applyBorder="1" applyAlignment="1">
      <alignment horizontal="right"/>
    </xf>
    <xf numFmtId="3" fontId="84" fillId="41" borderId="0" xfId="569" applyNumberFormat="1" applyFont="1" applyFill="1" applyBorder="1" applyAlignment="1">
      <alignment horizontal="left"/>
    </xf>
    <xf numFmtId="3" fontId="84" fillId="40" borderId="0" xfId="569" applyNumberFormat="1" applyFont="1" applyFill="1" applyBorder="1" applyAlignment="1">
      <alignment horizontal="left"/>
    </xf>
    <xf numFmtId="3" fontId="95" fillId="41" borderId="0" xfId="569" applyNumberFormat="1" applyFont="1" applyFill="1" applyBorder="1" applyAlignment="1">
      <alignment horizontal="left"/>
    </xf>
    <xf numFmtId="3" fontId="95" fillId="40" borderId="0" xfId="569" applyNumberFormat="1" applyFont="1" applyFill="1" applyBorder="1" applyAlignment="1">
      <alignment horizontal="right"/>
    </xf>
    <xf numFmtId="0" fontId="6" fillId="40" borderId="0" xfId="569" applyFont="1" applyFill="1" applyBorder="1"/>
    <xf numFmtId="4" fontId="6" fillId="40" borderId="0" xfId="569" applyNumberFormat="1" applyFont="1" applyFill="1" applyBorder="1"/>
    <xf numFmtId="166" fontId="36" fillId="0" borderId="0" xfId="569" applyNumberFormat="1" applyFont="1" applyFill="1" applyBorder="1" applyAlignment="1">
      <alignment horizontal="right"/>
    </xf>
    <xf numFmtId="2" fontId="6" fillId="0" borderId="0" xfId="569" applyNumberFormat="1" applyFont="1" applyFill="1" applyBorder="1"/>
    <xf numFmtId="2" fontId="6" fillId="0" borderId="0" xfId="569" applyNumberFormat="1" applyFont="1" applyFill="1" applyBorder="1" applyAlignment="1"/>
    <xf numFmtId="4" fontId="37" fillId="0" borderId="0" xfId="569" applyNumberFormat="1" applyFont="1" applyFill="1" applyBorder="1" applyAlignment="1"/>
    <xf numFmtId="3" fontId="44" fillId="0" borderId="56" xfId="0" applyNumberFormat="1" applyFont="1" applyFill="1" applyBorder="1" applyAlignment="1"/>
    <xf numFmtId="3" fontId="55" fillId="7" borderId="39" xfId="0" applyNumberFormat="1" applyFont="1" applyFill="1" applyBorder="1" applyAlignment="1"/>
    <xf numFmtId="3" fontId="52" fillId="7" borderId="60" xfId="0" applyNumberFormat="1" applyFont="1" applyFill="1" applyBorder="1" applyAlignment="1"/>
    <xf numFmtId="0" fontId="55" fillId="15" borderId="31" xfId="0" applyFont="1" applyFill="1" applyBorder="1"/>
    <xf numFmtId="0" fontId="55" fillId="15" borderId="32" xfId="0" applyFont="1" applyFill="1" applyBorder="1"/>
    <xf numFmtId="3" fontId="50" fillId="15" borderId="195" xfId="409" applyNumberFormat="1" applyFont="1" applyFill="1" applyBorder="1" applyAlignment="1">
      <alignment horizontal="center"/>
    </xf>
    <xf numFmtId="3" fontId="50" fillId="15" borderId="56" xfId="0" applyNumberFormat="1" applyFont="1" applyFill="1" applyBorder="1"/>
    <xf numFmtId="3" fontId="50" fillId="15" borderId="54" xfId="0" applyNumberFormat="1" applyFont="1" applyFill="1" applyBorder="1"/>
    <xf numFmtId="0" fontId="0" fillId="0" borderId="85" xfId="0" applyFont="1" applyBorder="1"/>
    <xf numFmtId="0" fontId="0" fillId="0" borderId="78" xfId="0" applyFont="1" applyBorder="1"/>
    <xf numFmtId="3" fontId="44" fillId="0" borderId="83" xfId="0" applyNumberFormat="1" applyFont="1" applyBorder="1"/>
    <xf numFmtId="3" fontId="44" fillId="0" borderId="75" xfId="0" applyNumberFormat="1" applyFont="1" applyBorder="1"/>
    <xf numFmtId="3" fontId="44" fillId="0" borderId="77" xfId="0" applyNumberFormat="1" applyFont="1" applyBorder="1"/>
    <xf numFmtId="3" fontId="44" fillId="0" borderId="196" xfId="0" applyNumberFormat="1" applyFont="1" applyBorder="1"/>
    <xf numFmtId="3" fontId="55" fillId="7" borderId="79" xfId="0" applyNumberFormat="1" applyFont="1" applyFill="1" applyBorder="1" applyAlignment="1"/>
    <xf numFmtId="3" fontId="55" fillId="7" borderId="45" xfId="0" applyNumberFormat="1" applyFont="1" applyFill="1" applyBorder="1" applyAlignment="1"/>
    <xf numFmtId="3" fontId="55" fillId="7" borderId="13" xfId="0" applyNumberFormat="1" applyFont="1" applyFill="1" applyBorder="1" applyAlignment="1"/>
    <xf numFmtId="3" fontId="52" fillId="7" borderId="39" xfId="0" applyNumberFormat="1" applyFont="1" applyFill="1" applyBorder="1" applyAlignment="1"/>
    <xf numFmtId="3" fontId="55" fillId="7" borderId="60" xfId="0" applyNumberFormat="1" applyFont="1" applyFill="1" applyBorder="1" applyAlignment="1"/>
    <xf numFmtId="3" fontId="99" fillId="3" borderId="164" xfId="0" applyNumberFormat="1" applyFont="1" applyFill="1" applyBorder="1" applyAlignment="1">
      <alignment horizontal="right"/>
    </xf>
    <xf numFmtId="3" fontId="99" fillId="31" borderId="164" xfId="0" applyNumberFormat="1" applyFont="1" applyFill="1" applyBorder="1"/>
    <xf numFmtId="3" fontId="99" fillId="36" borderId="164" xfId="0" applyNumberFormat="1" applyFont="1" applyFill="1" applyBorder="1"/>
    <xf numFmtId="3" fontId="99" fillId="31" borderId="122" xfId="0" applyNumberFormat="1" applyFont="1" applyFill="1" applyBorder="1"/>
    <xf numFmtId="3" fontId="69" fillId="0" borderId="122" xfId="569" applyNumberFormat="1" applyFont="1" applyFill="1" applyBorder="1" applyAlignment="1">
      <alignment horizontal="left"/>
    </xf>
    <xf numFmtId="3" fontId="31" fillId="0" borderId="122" xfId="569" applyNumberFormat="1" applyFont="1" applyFill="1" applyBorder="1" applyAlignment="1">
      <alignment horizontal="center" vertical="center"/>
    </xf>
    <xf numFmtId="3" fontId="69" fillId="0" borderId="122" xfId="569" applyNumberFormat="1" applyFont="1" applyFill="1" applyBorder="1" applyAlignment="1">
      <alignment horizontal="right"/>
    </xf>
    <xf numFmtId="3" fontId="88" fillId="0" borderId="122" xfId="569" applyNumberFormat="1" applyFont="1" applyFill="1" applyBorder="1" applyAlignment="1">
      <alignment horizontal="left"/>
    </xf>
    <xf numFmtId="3" fontId="6" fillId="0" borderId="122" xfId="569" applyNumberFormat="1" applyFont="1" applyFill="1" applyBorder="1" applyAlignment="1">
      <alignment horizontal="right"/>
    </xf>
    <xf numFmtId="3" fontId="43" fillId="0" borderId="122" xfId="569" applyNumberFormat="1" applyFont="1" applyFill="1" applyBorder="1" applyAlignment="1">
      <alignment horizontal="center" vertical="center"/>
    </xf>
    <xf numFmtId="3" fontId="89" fillId="0" borderId="122" xfId="569" applyNumberFormat="1" applyFont="1" applyFill="1" applyBorder="1" applyAlignment="1">
      <alignment horizontal="right"/>
    </xf>
    <xf numFmtId="0" fontId="104" fillId="0" borderId="122" xfId="569" applyFont="1" applyBorder="1"/>
    <xf numFmtId="3" fontId="89" fillId="0" borderId="122" xfId="569" applyNumberFormat="1" applyFont="1" applyFill="1" applyBorder="1" applyAlignment="1">
      <alignment horizontal="left"/>
    </xf>
    <xf numFmtId="3" fontId="84" fillId="0" borderId="122" xfId="569" applyNumberFormat="1" applyFont="1" applyFill="1" applyBorder="1" applyAlignment="1">
      <alignment horizontal="left"/>
    </xf>
    <xf numFmtId="3" fontId="111" fillId="0" borderId="122" xfId="569" applyNumberFormat="1" applyFont="1" applyFill="1" applyBorder="1" applyAlignment="1">
      <alignment horizontal="left"/>
    </xf>
    <xf numFmtId="3" fontId="105" fillId="0" borderId="122" xfId="569" applyNumberFormat="1" applyFont="1" applyFill="1" applyBorder="1" applyAlignment="1">
      <alignment horizontal="left"/>
    </xf>
    <xf numFmtId="3" fontId="86" fillId="0" borderId="0" xfId="569" applyNumberFormat="1" applyFont="1" applyFill="1" applyBorder="1"/>
    <xf numFmtId="0" fontId="37" fillId="0" borderId="122" xfId="569" applyFont="1" applyFill="1" applyBorder="1" applyAlignment="1">
      <alignment vertical="top"/>
    </xf>
    <xf numFmtId="49" fontId="98" fillId="0" borderId="197" xfId="0" applyNumberFormat="1" applyFont="1" applyBorder="1" applyAlignment="1">
      <alignment horizontal="center"/>
    </xf>
    <xf numFmtId="49" fontId="98" fillId="0" borderId="122" xfId="0" applyNumberFormat="1" applyFont="1" applyBorder="1" applyAlignment="1">
      <alignment horizontal="center"/>
    </xf>
    <xf numFmtId="0" fontId="98" fillId="0" borderId="98" xfId="0" applyFont="1" applyBorder="1"/>
    <xf numFmtId="0" fontId="98" fillId="0" borderId="102" xfId="0" applyFont="1" applyBorder="1"/>
    <xf numFmtId="3" fontId="98" fillId="0" borderId="133" xfId="0" applyNumberFormat="1" applyFont="1" applyBorder="1"/>
    <xf numFmtId="3" fontId="98" fillId="39" borderId="122" xfId="0" applyNumberFormat="1" applyFont="1" applyFill="1" applyBorder="1"/>
    <xf numFmtId="0" fontId="44" fillId="0" borderId="91" xfId="0" applyFont="1" applyFill="1" applyBorder="1" applyAlignment="1">
      <alignment horizontal="center"/>
    </xf>
    <xf numFmtId="0" fontId="44" fillId="0" borderId="122" xfId="0" applyFont="1" applyBorder="1" applyAlignment="1">
      <alignment horizontal="center"/>
    </xf>
    <xf numFmtId="0" fontId="114" fillId="34" borderId="122" xfId="0" applyFont="1" applyFill="1" applyBorder="1"/>
    <xf numFmtId="0" fontId="56" fillId="32" borderId="122" xfId="0" applyFont="1" applyFill="1" applyBorder="1"/>
    <xf numFmtId="167" fontId="0" fillId="9" borderId="198" xfId="0" applyNumberFormat="1" applyFont="1" applyFill="1" applyBorder="1" applyAlignment="1">
      <alignment horizontal="center"/>
    </xf>
    <xf numFmtId="1" fontId="0" fillId="9" borderId="129" xfId="0" applyNumberFormat="1" applyFont="1" applyFill="1" applyBorder="1" applyAlignment="1">
      <alignment horizontal="center" vertical="center"/>
    </xf>
    <xf numFmtId="0" fontId="44" fillId="0" borderId="91" xfId="0" applyFont="1" applyBorder="1" applyAlignment="1">
      <alignment horizontal="center"/>
    </xf>
    <xf numFmtId="0" fontId="57" fillId="7" borderId="87" xfId="0" applyFont="1" applyFill="1" applyBorder="1" applyAlignment="1"/>
    <xf numFmtId="0" fontId="49" fillId="7" borderId="87" xfId="0" applyFont="1" applyFill="1" applyBorder="1" applyAlignment="1"/>
    <xf numFmtId="0" fontId="50" fillId="7" borderId="199" xfId="0" applyFont="1" applyFill="1" applyBorder="1"/>
    <xf numFmtId="0" fontId="0" fillId="0" borderId="91" xfId="0" applyBorder="1" applyAlignment="1">
      <alignment horizontal="center"/>
    </xf>
    <xf numFmtId="0" fontId="0" fillId="0" borderId="144" xfId="0" applyBorder="1" applyAlignment="1">
      <alignment horizontal="center"/>
    </xf>
    <xf numFmtId="3" fontId="52" fillId="34" borderId="122" xfId="0" applyNumberFormat="1" applyFont="1" applyFill="1" applyBorder="1"/>
    <xf numFmtId="3" fontId="44" fillId="32" borderId="122" xfId="0" applyNumberFormat="1" applyFont="1" applyFill="1" applyBorder="1"/>
    <xf numFmtId="3" fontId="44" fillId="0" borderId="166" xfId="0" applyNumberFormat="1" applyFont="1" applyBorder="1"/>
    <xf numFmtId="3" fontId="44" fillId="0" borderId="172" xfId="0" applyNumberFormat="1" applyFont="1" applyBorder="1"/>
    <xf numFmtId="3" fontId="99" fillId="33" borderId="200" xfId="0" applyNumberFormat="1" applyFont="1" applyFill="1" applyBorder="1" applyAlignment="1">
      <alignment horizontal="right"/>
    </xf>
    <xf numFmtId="3" fontId="99" fillId="33" borderId="200" xfId="0" applyNumberFormat="1" applyFont="1" applyFill="1" applyBorder="1"/>
    <xf numFmtId="3" fontId="99" fillId="33" borderId="201" xfId="0" applyNumberFormat="1" applyFont="1" applyFill="1" applyBorder="1"/>
    <xf numFmtId="3" fontId="99" fillId="33" borderId="84" xfId="0" applyNumberFormat="1" applyFont="1" applyFill="1" applyBorder="1"/>
    <xf numFmtId="3" fontId="99" fillId="33" borderId="202" xfId="0" applyNumberFormat="1" applyFont="1" applyFill="1" applyBorder="1"/>
    <xf numFmtId="3" fontId="99" fillId="33" borderId="203" xfId="0" applyNumberFormat="1" applyFont="1" applyFill="1" applyBorder="1"/>
    <xf numFmtId="3" fontId="44" fillId="0" borderId="170" xfId="0" applyNumberFormat="1" applyFont="1" applyBorder="1"/>
    <xf numFmtId="3" fontId="44" fillId="39" borderId="139" xfId="0" applyNumberFormat="1" applyFont="1" applyFill="1" applyBorder="1"/>
    <xf numFmtId="3" fontId="44" fillId="0" borderId="171" xfId="0" applyNumberFormat="1" applyFont="1" applyBorder="1"/>
    <xf numFmtId="49" fontId="44" fillId="0" borderId="116" xfId="0" applyNumberFormat="1" applyFont="1" applyFill="1" applyBorder="1" applyAlignment="1">
      <alignment horizontal="center"/>
    </xf>
    <xf numFmtId="0" fontId="50" fillId="0" borderId="110" xfId="0" applyFont="1" applyFill="1" applyBorder="1"/>
    <xf numFmtId="167" fontId="50" fillId="0" borderId="111" xfId="0" applyNumberFormat="1" applyFont="1" applyFill="1" applyBorder="1" applyAlignment="1"/>
    <xf numFmtId="3" fontId="44" fillId="0" borderId="106" xfId="0" applyNumberFormat="1" applyFont="1" applyFill="1" applyBorder="1" applyAlignment="1"/>
    <xf numFmtId="3" fontId="44" fillId="0" borderId="110" xfId="0" applyNumberFormat="1" applyFont="1" applyFill="1" applyBorder="1" applyAlignment="1"/>
    <xf numFmtId="3" fontId="44" fillId="0" borderId="112" xfId="0" applyNumberFormat="1" applyFont="1" applyFill="1" applyBorder="1" applyAlignment="1"/>
    <xf numFmtId="3" fontId="44" fillId="0" borderId="111" xfId="0" applyNumberFormat="1" applyFont="1" applyFill="1" applyBorder="1" applyAlignment="1"/>
    <xf numFmtId="3" fontId="44" fillId="0" borderId="122" xfId="409" applyNumberFormat="1" applyFont="1" applyFill="1" applyBorder="1" applyAlignment="1">
      <alignment horizontal="right"/>
    </xf>
    <xf numFmtId="3" fontId="44" fillId="0" borderId="122" xfId="409" applyNumberFormat="1" applyFont="1" applyFill="1" applyBorder="1"/>
    <xf numFmtId="3" fontId="44" fillId="0" borderId="122" xfId="409" applyNumberFormat="1" applyFont="1" applyFill="1" applyBorder="1" applyAlignment="1">
      <alignment horizontal="right" vertical="center"/>
    </xf>
    <xf numFmtId="3" fontId="44" fillId="0" borderId="122" xfId="409" applyNumberFormat="1" applyFont="1" applyBorder="1"/>
    <xf numFmtId="0" fontId="116" fillId="0" borderId="122" xfId="569" applyFont="1" applyBorder="1"/>
    <xf numFmtId="3" fontId="118" fillId="0" borderId="122" xfId="569" applyNumberFormat="1" applyFont="1" applyFill="1" applyBorder="1" applyAlignment="1">
      <alignment horizontal="left"/>
    </xf>
    <xf numFmtId="171" fontId="44" fillId="0" borderId="0" xfId="409" applyNumberFormat="1" applyFont="1" applyFill="1" applyBorder="1" applyAlignment="1">
      <alignment horizontal="right"/>
    </xf>
    <xf numFmtId="3" fontId="120" fillId="0" borderId="122" xfId="569" applyNumberFormat="1" applyFont="1" applyBorder="1" applyAlignment="1">
      <alignment horizontal="left"/>
    </xf>
    <xf numFmtId="3" fontId="112" fillId="0" borderId="122" xfId="569" applyNumberFormat="1" applyFont="1" applyBorder="1" applyAlignment="1">
      <alignment horizontal="right"/>
    </xf>
    <xf numFmtId="3" fontId="112" fillId="0" borderId="122" xfId="569" applyNumberFormat="1" applyFont="1" applyBorder="1" applyAlignment="1">
      <alignment horizontal="left"/>
    </xf>
    <xf numFmtId="0" fontId="86" fillId="0" borderId="122" xfId="569" applyFont="1" applyBorder="1" applyAlignment="1">
      <alignment horizontal="left"/>
    </xf>
    <xf numFmtId="0" fontId="84" fillId="0" borderId="122" xfId="569" applyFont="1" applyFill="1" applyBorder="1" applyAlignment="1">
      <alignment vertical="top"/>
    </xf>
    <xf numFmtId="3" fontId="44" fillId="0" borderId="122" xfId="409" applyNumberFormat="1" applyFont="1" applyFill="1" applyBorder="1" applyAlignment="1">
      <alignment horizontal="right" vertical="top"/>
    </xf>
    <xf numFmtId="0" fontId="84" fillId="0" borderId="122" xfId="569" applyFont="1" applyFill="1" applyBorder="1" applyAlignment="1">
      <alignment horizontal="left" vertical="top"/>
    </xf>
    <xf numFmtId="3" fontId="71" fillId="0" borderId="122" xfId="569" applyNumberFormat="1" applyFont="1" applyFill="1" applyBorder="1"/>
    <xf numFmtId="3" fontId="74" fillId="0" borderId="122" xfId="569" applyNumberFormat="1" applyFont="1" applyFill="1" applyBorder="1"/>
    <xf numFmtId="3" fontId="36" fillId="41" borderId="122" xfId="569" applyNumberFormat="1" applyFont="1" applyFill="1" applyBorder="1"/>
    <xf numFmtId="3" fontId="37" fillId="0" borderId="122" xfId="569" applyNumberFormat="1" applyFont="1" applyFill="1" applyBorder="1"/>
    <xf numFmtId="3" fontId="74" fillId="0" borderId="122" xfId="569" applyNumberFormat="1" applyFont="1" applyFill="1" applyBorder="1" applyAlignment="1">
      <alignment horizontal="right"/>
    </xf>
    <xf numFmtId="3" fontId="6" fillId="0" borderId="122" xfId="569" applyNumberFormat="1" applyFont="1" applyFill="1" applyBorder="1"/>
    <xf numFmtId="0" fontId="37" fillId="0" borderId="122" xfId="569" applyFont="1" applyBorder="1"/>
    <xf numFmtId="0" fontId="37" fillId="0" borderId="122" xfId="569" applyFont="1" applyFill="1" applyBorder="1"/>
    <xf numFmtId="0" fontId="89" fillId="0" borderId="122" xfId="569" applyFont="1" applyFill="1" applyBorder="1"/>
    <xf numFmtId="0" fontId="38" fillId="0" borderId="122" xfId="569" applyFont="1" applyFill="1" applyBorder="1"/>
    <xf numFmtId="3" fontId="122" fillId="0" borderId="122" xfId="569" applyNumberFormat="1" applyFont="1" applyFill="1" applyBorder="1"/>
    <xf numFmtId="3" fontId="107" fillId="0" borderId="122" xfId="569" applyNumberFormat="1" applyFont="1" applyFill="1" applyBorder="1" applyAlignment="1">
      <alignment horizontal="left"/>
    </xf>
    <xf numFmtId="3" fontId="86" fillId="0" borderId="122" xfId="571" applyNumberFormat="1" applyFont="1" applyFill="1" applyBorder="1" applyAlignment="1">
      <alignment horizontal="right"/>
    </xf>
    <xf numFmtId="3" fontId="113" fillId="0" borderId="122" xfId="569" applyNumberFormat="1" applyFont="1" applyFill="1" applyBorder="1"/>
    <xf numFmtId="3" fontId="112" fillId="0" borderId="122" xfId="569" applyNumberFormat="1" applyFont="1" applyFill="1" applyBorder="1" applyAlignment="1">
      <alignment horizontal="left"/>
    </xf>
    <xf numFmtId="3" fontId="108" fillId="0" borderId="122" xfId="569" applyNumberFormat="1" applyFont="1" applyFill="1" applyBorder="1" applyAlignment="1">
      <alignment horizontal="right"/>
    </xf>
    <xf numFmtId="3" fontId="95" fillId="40" borderId="122" xfId="569" applyNumberFormat="1" applyFont="1" applyFill="1" applyBorder="1" applyAlignment="1">
      <alignment horizontal="left"/>
    </xf>
    <xf numFmtId="3" fontId="67" fillId="0" borderId="122" xfId="569" applyNumberFormat="1" applyFont="1" applyFill="1" applyBorder="1" applyAlignment="1">
      <alignment horizontal="left"/>
    </xf>
    <xf numFmtId="3" fontId="67" fillId="41" borderId="122" xfId="569" applyNumberFormat="1" applyFont="1" applyFill="1" applyBorder="1" applyAlignment="1">
      <alignment horizontal="left"/>
    </xf>
    <xf numFmtId="0" fontId="36" fillId="0" borderId="122" xfId="569" applyFont="1" applyFill="1" applyBorder="1" applyAlignment="1">
      <alignment horizontal="left"/>
    </xf>
    <xf numFmtId="0" fontId="105" fillId="0" borderId="122" xfId="569" applyFont="1" applyFill="1" applyBorder="1" applyAlignment="1">
      <alignment horizontal="right"/>
    </xf>
    <xf numFmtId="3" fontId="87" fillId="0" borderId="122" xfId="569" applyNumberFormat="1" applyFont="1" applyFill="1" applyBorder="1" applyAlignment="1">
      <alignment horizontal="left"/>
    </xf>
    <xf numFmtId="3" fontId="89" fillId="0" borderId="122" xfId="569" applyNumberFormat="1" applyFont="1" applyFill="1" applyBorder="1"/>
    <xf numFmtId="3" fontId="84" fillId="0" borderId="122" xfId="569" applyNumberFormat="1" applyFont="1" applyFill="1" applyBorder="1" applyAlignment="1">
      <alignment horizontal="center" vertical="center"/>
    </xf>
    <xf numFmtId="3" fontId="104" fillId="0" borderId="122" xfId="569" applyNumberFormat="1" applyFont="1" applyFill="1" applyBorder="1"/>
    <xf numFmtId="3" fontId="104" fillId="0" borderId="122" xfId="569" applyNumberFormat="1" applyFont="1" applyFill="1" applyBorder="1" applyAlignment="1">
      <alignment horizontal="left"/>
    </xf>
    <xf numFmtId="3" fontId="112" fillId="0" borderId="122" xfId="571" applyNumberFormat="1" applyFont="1" applyFill="1" applyBorder="1" applyAlignment="1">
      <alignment horizontal="right"/>
    </xf>
    <xf numFmtId="3" fontId="110" fillId="0" borderId="122" xfId="569" applyNumberFormat="1" applyFont="1" applyFill="1" applyBorder="1" applyAlignment="1">
      <alignment horizontal="left"/>
    </xf>
    <xf numFmtId="3" fontId="102" fillId="0" borderId="122" xfId="569" applyNumberFormat="1" applyFont="1" applyFill="1" applyBorder="1"/>
    <xf numFmtId="3" fontId="116" fillId="0" borderId="122" xfId="569" applyNumberFormat="1" applyFont="1" applyFill="1" applyBorder="1" applyAlignment="1">
      <alignment horizontal="right"/>
    </xf>
    <xf numFmtId="4" fontId="36" fillId="0" borderId="122" xfId="569" applyNumberFormat="1" applyFont="1" applyFill="1" applyBorder="1"/>
    <xf numFmtId="3" fontId="90" fillId="0" borderId="122" xfId="569" applyNumberFormat="1" applyFont="1" applyFill="1" applyBorder="1"/>
    <xf numFmtId="3" fontId="84" fillId="0" borderId="122" xfId="569" applyNumberFormat="1" applyFont="1" applyFill="1" applyBorder="1" applyAlignment="1">
      <alignment horizontal="right" vertical="center"/>
    </xf>
    <xf numFmtId="3" fontId="121" fillId="0" borderId="122" xfId="569" applyNumberFormat="1" applyFont="1" applyFill="1" applyBorder="1" applyAlignment="1">
      <alignment horizontal="left"/>
    </xf>
    <xf numFmtId="3" fontId="37" fillId="38" borderId="122" xfId="569" applyNumberFormat="1" applyFont="1" applyFill="1" applyBorder="1"/>
    <xf numFmtId="3" fontId="103" fillId="38" borderId="122" xfId="569" applyNumberFormat="1" applyFont="1" applyFill="1" applyBorder="1"/>
    <xf numFmtId="3" fontId="85" fillId="0" borderId="0" xfId="569" applyNumberFormat="1" applyFont="1" applyBorder="1"/>
    <xf numFmtId="171" fontId="44" fillId="45" borderId="0" xfId="409" applyNumberFormat="1" applyFont="1" applyFill="1" applyBorder="1"/>
    <xf numFmtId="171" fontId="44" fillId="45" borderId="0" xfId="409" applyNumberFormat="1" applyFont="1" applyFill="1" applyBorder="1" applyAlignment="1">
      <alignment horizontal="right"/>
    </xf>
    <xf numFmtId="171" fontId="44" fillId="45" borderId="0" xfId="409" applyNumberFormat="1" applyFont="1" applyFill="1" applyBorder="1" applyAlignment="1">
      <alignment horizontal="left"/>
    </xf>
    <xf numFmtId="171" fontId="44" fillId="46" borderId="0" xfId="409" applyNumberFormat="1" applyFont="1" applyFill="1" applyBorder="1" applyAlignment="1"/>
    <xf numFmtId="171" fontId="44" fillId="47" borderId="122" xfId="409" applyNumberFormat="1" applyFont="1" applyFill="1" applyBorder="1" applyAlignment="1">
      <alignment horizontal="right"/>
    </xf>
    <xf numFmtId="171" fontId="44" fillId="47" borderId="0" xfId="409" applyNumberFormat="1" applyFont="1" applyFill="1" applyBorder="1" applyAlignment="1">
      <alignment horizontal="left"/>
    </xf>
    <xf numFmtId="171" fontId="44" fillId="47" borderId="0" xfId="409" applyNumberFormat="1" applyFont="1" applyFill="1" applyBorder="1" applyAlignment="1">
      <alignment horizontal="right"/>
    </xf>
    <xf numFmtId="171" fontId="44" fillId="45" borderId="122" xfId="409" applyNumberFormat="1" applyFont="1" applyFill="1" applyBorder="1"/>
    <xf numFmtId="171" fontId="44" fillId="53" borderId="0" xfId="409" applyNumberFormat="1" applyFont="1" applyFill="1" applyBorder="1"/>
    <xf numFmtId="171" fontId="44" fillId="54" borderId="0" xfId="409" applyNumberFormat="1" applyFont="1" applyFill="1" applyBorder="1"/>
    <xf numFmtId="171" fontId="44" fillId="55" borderId="0" xfId="409" applyNumberFormat="1" applyFont="1" applyFill="1" applyBorder="1"/>
    <xf numFmtId="171" fontId="44" fillId="55" borderId="0" xfId="409" applyNumberFormat="1" applyFont="1" applyFill="1" applyBorder="1" applyAlignment="1">
      <alignment horizontal="left"/>
    </xf>
    <xf numFmtId="171" fontId="44" fillId="55" borderId="0" xfId="409" applyNumberFormat="1" applyFont="1" applyFill="1" applyBorder="1" applyAlignment="1">
      <alignment horizontal="right"/>
    </xf>
    <xf numFmtId="171" fontId="50" fillId="54" borderId="0" xfId="409" applyNumberFormat="1" applyFont="1" applyFill="1" applyBorder="1"/>
    <xf numFmtId="171" fontId="44" fillId="50" borderId="122" xfId="409" applyNumberFormat="1" applyFont="1" applyFill="1" applyBorder="1"/>
    <xf numFmtId="171" fontId="44" fillId="48" borderId="122" xfId="409" applyNumberFormat="1" applyFont="1" applyFill="1" applyBorder="1"/>
    <xf numFmtId="171" fontId="44" fillId="45" borderId="122" xfId="409" applyNumberFormat="1" applyFont="1" applyFill="1" applyBorder="1" applyAlignment="1">
      <alignment horizontal="center" vertical="center"/>
    </xf>
    <xf numFmtId="171" fontId="50" fillId="50" borderId="122" xfId="409" applyNumberFormat="1" applyFont="1" applyFill="1" applyBorder="1"/>
    <xf numFmtId="171" fontId="50" fillId="48" borderId="122" xfId="409" applyNumberFormat="1" applyFont="1" applyFill="1" applyBorder="1"/>
    <xf numFmtId="171" fontId="44" fillId="47" borderId="122" xfId="409" applyNumberFormat="1" applyFont="1" applyFill="1" applyBorder="1"/>
    <xf numFmtId="171" fontId="44" fillId="45" borderId="122" xfId="409" applyNumberFormat="1" applyFont="1" applyFill="1" applyBorder="1" applyAlignment="1">
      <alignment horizontal="right"/>
    </xf>
    <xf numFmtId="171" fontId="125" fillId="45" borderId="122" xfId="409" applyNumberFormat="1" applyFont="1" applyFill="1" applyBorder="1"/>
    <xf numFmtId="171" fontId="126" fillId="45" borderId="122" xfId="409" applyNumberFormat="1" applyFont="1" applyFill="1" applyBorder="1"/>
    <xf numFmtId="171" fontId="50" fillId="46" borderId="122" xfId="409" applyNumberFormat="1" applyFont="1" applyFill="1" applyBorder="1" applyAlignment="1">
      <alignment horizontal="right"/>
    </xf>
    <xf numFmtId="0" fontId="0" fillId="0" borderId="122" xfId="0" applyBorder="1"/>
    <xf numFmtId="0" fontId="44" fillId="0" borderId="122" xfId="0" applyFont="1" applyBorder="1"/>
    <xf numFmtId="171" fontId="125" fillId="45" borderId="122" xfId="409" applyNumberFormat="1" applyFont="1" applyFill="1" applyBorder="1" applyAlignment="1">
      <alignment horizontal="left"/>
    </xf>
    <xf numFmtId="171" fontId="44" fillId="45" borderId="0" xfId="409" applyNumberFormat="1" applyFont="1" applyFill="1" applyBorder="1" applyAlignment="1">
      <alignment horizontal="center"/>
    </xf>
    <xf numFmtId="171" fontId="44" fillId="0" borderId="0" xfId="409" applyNumberFormat="1" applyFont="1" applyFill="1" applyBorder="1" applyAlignment="1">
      <alignment horizontal="center"/>
    </xf>
    <xf numFmtId="171" fontId="44" fillId="0" borderId="0" xfId="409" applyNumberFormat="1" applyFont="1" applyFill="1" applyAlignment="1">
      <alignment horizontal="center"/>
    </xf>
    <xf numFmtId="171" fontId="44" fillId="0" borderId="0" xfId="409" applyNumberFormat="1" applyFont="1" applyFill="1" applyBorder="1" applyAlignment="1">
      <alignment horizontal="left"/>
    </xf>
    <xf numFmtId="171" fontId="44" fillId="0" borderId="167" xfId="409" applyNumberFormat="1" applyFont="1" applyFill="1" applyBorder="1" applyAlignment="1">
      <alignment horizontal="right"/>
    </xf>
    <xf numFmtId="171" fontId="44" fillId="0" borderId="0" xfId="409" applyNumberFormat="1" applyFont="1" applyFill="1" applyBorder="1" applyAlignment="1"/>
    <xf numFmtId="171" fontId="44" fillId="0" borderId="0" xfId="409" applyNumberFormat="1" applyFont="1" applyFill="1" applyBorder="1"/>
    <xf numFmtId="171" fontId="44" fillId="45" borderId="122" xfId="409" applyNumberFormat="1" applyFont="1" applyFill="1" applyBorder="1" applyAlignment="1">
      <alignment horizontal="left"/>
    </xf>
    <xf numFmtId="171" fontId="128" fillId="45" borderId="122" xfId="409" applyNumberFormat="1" applyFont="1" applyFill="1" applyBorder="1" applyAlignment="1">
      <alignment horizontal="left"/>
    </xf>
    <xf numFmtId="171" fontId="44" fillId="0" borderId="122" xfId="409" applyNumberFormat="1" applyFont="1" applyFill="1" applyBorder="1"/>
    <xf numFmtId="171" fontId="44" fillId="45" borderId="122" xfId="409" applyNumberFormat="1" applyFont="1" applyFill="1" applyBorder="1" applyAlignment="1">
      <alignment horizontal="center" wrapText="1"/>
    </xf>
    <xf numFmtId="171" fontId="44" fillId="45" borderId="122" xfId="409" applyNumberFormat="1" applyFont="1" applyFill="1" applyBorder="1" applyAlignment="1">
      <alignment horizontal="right" wrapText="1"/>
    </xf>
    <xf numFmtId="0" fontId="129" fillId="0" borderId="122" xfId="569" applyFont="1" applyFill="1" applyBorder="1" applyAlignment="1">
      <alignment horizontal="left"/>
    </xf>
    <xf numFmtId="3" fontId="129" fillId="0" borderId="122" xfId="569" applyNumberFormat="1" applyFont="1" applyFill="1" applyBorder="1" applyAlignment="1">
      <alignment horizontal="left" vertical="center"/>
    </xf>
    <xf numFmtId="3" fontId="130" fillId="0" borderId="122" xfId="569" applyNumberFormat="1" applyFont="1" applyFill="1" applyBorder="1" applyAlignment="1">
      <alignment horizontal="left"/>
    </xf>
    <xf numFmtId="3" fontId="44" fillId="53" borderId="122" xfId="409" applyNumberFormat="1" applyFont="1" applyFill="1" applyBorder="1"/>
    <xf numFmtId="0" fontId="130" fillId="0" borderId="122" xfId="569" applyFont="1" applyBorder="1"/>
    <xf numFmtId="3" fontId="130" fillId="0" borderId="122" xfId="569" applyNumberFormat="1" applyFont="1" applyBorder="1"/>
    <xf numFmtId="3" fontId="130" fillId="0" borderId="122" xfId="569" applyNumberFormat="1" applyFont="1" applyFill="1" applyBorder="1"/>
    <xf numFmtId="3" fontId="130" fillId="0" borderId="0" xfId="569" applyNumberFormat="1" applyFont="1" applyFill="1" applyBorder="1" applyAlignment="1">
      <alignment horizontal="left"/>
    </xf>
    <xf numFmtId="0" fontId="131" fillId="0" borderId="0" xfId="569" applyFont="1" applyFill="1" applyBorder="1"/>
    <xf numFmtId="0" fontId="130" fillId="0" borderId="0" xfId="569" applyFont="1" applyFill="1" applyBorder="1" applyAlignment="1">
      <alignment horizontal="left"/>
    </xf>
    <xf numFmtId="0" fontId="131" fillId="0" borderId="0" xfId="569" applyFont="1" applyBorder="1"/>
    <xf numFmtId="0" fontId="132" fillId="0" borderId="0" xfId="569" applyFont="1" applyBorder="1"/>
    <xf numFmtId="1" fontId="36" fillId="57" borderId="122" xfId="569" applyNumberFormat="1" applyFont="1" applyFill="1" applyBorder="1" applyAlignment="1">
      <alignment horizontal="center" vertical="center" wrapText="1"/>
    </xf>
    <xf numFmtId="0" fontId="36" fillId="57" borderId="122" xfId="569" applyFont="1" applyFill="1" applyBorder="1"/>
    <xf numFmtId="0" fontId="36" fillId="57" borderId="122" xfId="569" applyFont="1" applyFill="1" applyBorder="1" applyAlignment="1">
      <alignment vertical="top"/>
    </xf>
    <xf numFmtId="0" fontId="36" fillId="57" borderId="122" xfId="569" applyFont="1" applyFill="1" applyBorder="1" applyAlignment="1">
      <alignment horizontal="center" vertical="center"/>
    </xf>
    <xf numFmtId="1" fontId="36" fillId="57" borderId="122" xfId="569" applyNumberFormat="1" applyFont="1" applyFill="1" applyBorder="1" applyAlignment="1">
      <alignment horizontal="center" vertical="center"/>
    </xf>
    <xf numFmtId="1" fontId="44" fillId="57" borderId="122" xfId="409" applyNumberFormat="1" applyFont="1" applyFill="1" applyBorder="1" applyAlignment="1">
      <alignment horizontal="center" vertical="center" wrapText="1"/>
    </xf>
    <xf numFmtId="0" fontId="36" fillId="53" borderId="0" xfId="569" applyFont="1" applyFill="1" applyBorder="1" applyAlignment="1">
      <alignment horizontal="justify" vertical="center"/>
    </xf>
    <xf numFmtId="0" fontId="36" fillId="53" borderId="0" xfId="569" applyFont="1" applyFill="1" applyBorder="1" applyAlignment="1">
      <alignment horizontal="center" vertical="center"/>
    </xf>
    <xf numFmtId="2" fontId="36" fillId="53" borderId="0" xfId="569" applyNumberFormat="1" applyFont="1" applyFill="1" applyBorder="1" applyAlignment="1">
      <alignment horizontal="justify" vertical="center"/>
    </xf>
    <xf numFmtId="1" fontId="36" fillId="53" borderId="0" xfId="569" applyNumberFormat="1" applyFont="1" applyFill="1" applyBorder="1" applyAlignment="1">
      <alignment horizontal="justify" vertical="top"/>
    </xf>
    <xf numFmtId="1" fontId="36" fillId="53" borderId="0" xfId="569" applyNumberFormat="1" applyFont="1" applyFill="1" applyBorder="1" applyAlignment="1">
      <alignment horizontal="center" vertical="center"/>
    </xf>
    <xf numFmtId="0" fontId="36" fillId="53" borderId="0" xfId="569" applyFont="1" applyFill="1" applyBorder="1"/>
    <xf numFmtId="0" fontId="36" fillId="57" borderId="122" xfId="569" applyFont="1" applyFill="1" applyBorder="1" applyAlignment="1">
      <alignment horizontal="left"/>
    </xf>
    <xf numFmtId="0" fontId="0" fillId="0" borderId="0" xfId="0"/>
    <xf numFmtId="3" fontId="105" fillId="0" borderId="122" xfId="569" applyNumberFormat="1" applyFont="1" applyFill="1" applyBorder="1" applyAlignment="1">
      <alignment horizontal="center"/>
    </xf>
    <xf numFmtId="171" fontId="126" fillId="45" borderId="122" xfId="409" applyNumberFormat="1" applyFont="1" applyFill="1" applyBorder="1" applyAlignment="1">
      <alignment horizontal="center"/>
    </xf>
    <xf numFmtId="171" fontId="125" fillId="45" borderId="122" xfId="409" applyNumberFormat="1" applyFont="1" applyFill="1" applyBorder="1" applyAlignment="1">
      <alignment horizontal="right" wrapText="1"/>
    </xf>
    <xf numFmtId="3" fontId="99" fillId="35" borderId="122" xfId="0" applyNumberFormat="1" applyFont="1" applyFill="1" applyBorder="1" applyAlignment="1" applyProtection="1">
      <alignment horizontal="right"/>
      <protection locked="0"/>
    </xf>
    <xf numFmtId="3" fontId="99" fillId="3" borderId="122" xfId="0" applyNumberFormat="1" applyFont="1" applyFill="1" applyBorder="1" applyAlignment="1">
      <alignment horizontal="right"/>
    </xf>
    <xf numFmtId="3" fontId="99" fillId="35" borderId="164" xfId="0" applyNumberFormat="1" applyFont="1" applyFill="1" applyBorder="1" applyAlignment="1">
      <alignment horizontal="right"/>
    </xf>
    <xf numFmtId="49" fontId="29" fillId="0" borderId="89" xfId="0" applyNumberFormat="1" applyFont="1" applyBorder="1" applyAlignment="1">
      <alignment horizontal="center"/>
    </xf>
    <xf numFmtId="0" fontId="98" fillId="0" borderId="150" xfId="0" applyFont="1" applyBorder="1"/>
    <xf numFmtId="0" fontId="98" fillId="0" borderId="194" xfId="0" applyFont="1" applyBorder="1"/>
    <xf numFmtId="0" fontId="0" fillId="0" borderId="0" xfId="0"/>
    <xf numFmtId="0" fontId="44" fillId="0" borderId="0" xfId="0" applyFont="1"/>
    <xf numFmtId="3" fontId="29" fillId="0" borderId="122" xfId="0" applyNumberFormat="1" applyFont="1" applyBorder="1" applyAlignment="1">
      <alignment horizontal="right" vertical="center"/>
    </xf>
    <xf numFmtId="3" fontId="44" fillId="0" borderId="14" xfId="0" applyNumberFormat="1" applyFont="1" applyBorder="1"/>
    <xf numFmtId="3" fontId="44" fillId="52" borderId="122" xfId="0" applyNumberFormat="1" applyFont="1" applyFill="1" applyBorder="1" applyAlignment="1">
      <alignment horizontal="right"/>
    </xf>
    <xf numFmtId="3" fontId="44" fillId="0" borderId="122" xfId="0" applyNumberFormat="1" applyFont="1" applyFill="1" applyBorder="1" applyAlignment="1">
      <alignment horizontal="right"/>
    </xf>
    <xf numFmtId="3" fontId="44" fillId="45" borderId="122" xfId="0" applyNumberFormat="1" applyFont="1" applyFill="1" applyBorder="1" applyAlignment="1">
      <alignment horizontal="right"/>
    </xf>
    <xf numFmtId="49" fontId="38" fillId="0" borderId="174" xfId="0" applyNumberFormat="1" applyFont="1" applyFill="1" applyBorder="1" applyAlignment="1">
      <alignment horizontal="right"/>
    </xf>
    <xf numFmtId="0" fontId="36" fillId="0" borderId="174" xfId="0" applyFont="1" applyFill="1" applyBorder="1" applyAlignment="1">
      <alignment horizontal="center"/>
    </xf>
    <xf numFmtId="0" fontId="36" fillId="0" borderId="206" xfId="0" applyFont="1" applyFill="1" applyBorder="1"/>
    <xf numFmtId="3" fontId="36" fillId="0" borderId="180" xfId="0" applyNumberFormat="1" applyFont="1" applyFill="1" applyBorder="1" applyAlignment="1">
      <alignment horizontal="right"/>
    </xf>
    <xf numFmtId="3" fontId="36" fillId="0" borderId="219" xfId="0" applyNumberFormat="1" applyFont="1" applyFill="1" applyBorder="1" applyAlignment="1">
      <alignment horizontal="right"/>
    </xf>
    <xf numFmtId="3" fontId="36" fillId="0" borderId="218" xfId="0" applyNumberFormat="1" applyFont="1" applyFill="1" applyBorder="1" applyAlignment="1">
      <alignment horizontal="right"/>
    </xf>
    <xf numFmtId="3" fontId="36" fillId="0" borderId="123" xfId="0" applyNumberFormat="1" applyFont="1" applyFill="1" applyBorder="1" applyAlignment="1">
      <alignment horizontal="right"/>
    </xf>
    <xf numFmtId="3" fontId="36" fillId="0" borderId="216" xfId="0" applyNumberFormat="1" applyFont="1" applyFill="1" applyBorder="1" applyAlignment="1">
      <alignment horizontal="right"/>
    </xf>
    <xf numFmtId="0" fontId="44" fillId="45" borderId="122" xfId="0" applyFont="1" applyFill="1" applyBorder="1"/>
    <xf numFmtId="0" fontId="50" fillId="15" borderId="52" xfId="0" applyFont="1" applyFill="1" applyBorder="1"/>
    <xf numFmtId="0" fontId="44" fillId="15" borderId="19" xfId="0" applyFont="1" applyFill="1" applyBorder="1"/>
    <xf numFmtId="0" fontId="44" fillId="15" borderId="43" xfId="0" applyFont="1" applyFill="1" applyBorder="1"/>
    <xf numFmtId="0" fontId="0" fillId="0" borderId="100" xfId="0" applyBorder="1"/>
    <xf numFmtId="49" fontId="54" fillId="15" borderId="204" xfId="0" applyNumberFormat="1" applyFont="1" applyFill="1" applyBorder="1" applyAlignment="1">
      <alignment horizontal="right"/>
    </xf>
    <xf numFmtId="0" fontId="44" fillId="0" borderId="97" xfId="0" applyFont="1" applyBorder="1" applyAlignment="1">
      <alignment horizontal="center"/>
    </xf>
    <xf numFmtId="0" fontId="44" fillId="0" borderId="80" xfId="0" applyFont="1" applyBorder="1" applyAlignment="1">
      <alignment horizontal="center"/>
    </xf>
    <xf numFmtId="0" fontId="44" fillId="0" borderId="180" xfId="0" applyFont="1" applyBorder="1" applyAlignment="1">
      <alignment horizontal="center"/>
    </xf>
    <xf numFmtId="0" fontId="44" fillId="0" borderId="84" xfId="0" applyFont="1" applyBorder="1" applyAlignment="1">
      <alignment horizontal="center"/>
    </xf>
    <xf numFmtId="167" fontId="49" fillId="7" borderId="26" xfId="0" applyNumberFormat="1" applyFont="1" applyFill="1" applyBorder="1" applyAlignment="1"/>
    <xf numFmtId="167" fontId="52" fillId="7" borderId="105" xfId="0" applyNumberFormat="1" applyFont="1" applyFill="1" applyBorder="1"/>
    <xf numFmtId="167" fontId="94" fillId="27" borderId="78" xfId="0" applyNumberFormat="1" applyFont="1" applyFill="1" applyBorder="1"/>
    <xf numFmtId="167" fontId="52" fillId="29" borderId="118" xfId="0" applyNumberFormat="1" applyFont="1" applyFill="1" applyBorder="1"/>
    <xf numFmtId="167" fontId="50" fillId="15" borderId="15" xfId="0" applyNumberFormat="1" applyFont="1" applyFill="1" applyBorder="1" applyAlignment="1">
      <alignment horizontal="right"/>
    </xf>
    <xf numFmtId="167" fontId="44" fillId="0" borderId="78" xfId="0" applyNumberFormat="1" applyFont="1" applyFill="1" applyBorder="1" applyAlignment="1">
      <alignment horizontal="right"/>
    </xf>
    <xf numFmtId="167" fontId="44" fillId="10" borderId="0" xfId="0" applyNumberFormat="1" applyFont="1" applyFill="1" applyBorder="1" applyAlignment="1">
      <alignment horizontal="right"/>
    </xf>
    <xf numFmtId="167" fontId="36" fillId="0" borderId="123" xfId="0" applyNumberFormat="1" applyFont="1" applyFill="1" applyBorder="1" applyAlignment="1">
      <alignment horizontal="right"/>
    </xf>
    <xf numFmtId="0" fontId="55" fillId="7" borderId="86" xfId="0" applyFont="1" applyFill="1" applyBorder="1" applyAlignment="1">
      <alignment horizontal="left" vertical="center"/>
    </xf>
    <xf numFmtId="0" fontId="49" fillId="7" borderId="220" xfId="0" applyFont="1" applyFill="1" applyBorder="1" applyAlignment="1">
      <alignment vertical="center"/>
    </xf>
    <xf numFmtId="0" fontId="57" fillId="7" borderId="221" xfId="0" applyFont="1" applyFill="1" applyBorder="1" applyAlignment="1"/>
    <xf numFmtId="0" fontId="50" fillId="7" borderId="128" xfId="0" applyFont="1" applyFill="1" applyBorder="1"/>
    <xf numFmtId="0" fontId="92" fillId="27" borderId="160" xfId="0" applyFont="1" applyFill="1" applyBorder="1"/>
    <xf numFmtId="0" fontId="50" fillId="7" borderId="222" xfId="0" applyFont="1" applyFill="1" applyBorder="1"/>
    <xf numFmtId="0" fontId="50" fillId="29" borderId="223" xfId="0" applyFont="1" applyFill="1" applyBorder="1"/>
    <xf numFmtId="0" fontId="51" fillId="10" borderId="91" xfId="0" applyFont="1" applyFill="1" applyBorder="1" applyAlignment="1">
      <alignment horizontal="center"/>
    </xf>
    <xf numFmtId="0" fontId="44" fillId="10" borderId="127" xfId="0" applyFont="1" applyFill="1" applyBorder="1" applyAlignment="1"/>
    <xf numFmtId="0" fontId="51" fillId="0" borderId="91" xfId="0" applyFont="1" applyFill="1" applyBorder="1" applyAlignment="1">
      <alignment horizontal="center"/>
    </xf>
    <xf numFmtId="0" fontId="0" fillId="7" borderId="127" xfId="0" applyFont="1" applyFill="1" applyBorder="1"/>
    <xf numFmtId="0" fontId="52" fillId="15" borderId="126" xfId="0" applyFont="1" applyFill="1" applyBorder="1"/>
    <xf numFmtId="0" fontId="44" fillId="8" borderId="127" xfId="0" applyFont="1" applyFill="1" applyBorder="1"/>
    <xf numFmtId="0" fontId="44" fillId="8" borderId="126" xfId="0" applyFont="1" applyFill="1" applyBorder="1"/>
    <xf numFmtId="0" fontId="50" fillId="29" borderId="127" xfId="0" applyFont="1" applyFill="1" applyBorder="1"/>
    <xf numFmtId="0" fontId="52" fillId="15" borderId="129" xfId="0" applyFont="1" applyFill="1" applyBorder="1"/>
    <xf numFmtId="0" fontId="44" fillId="8" borderId="160" xfId="0" applyFont="1" applyFill="1" applyBorder="1"/>
    <xf numFmtId="0" fontId="53" fillId="10" borderId="91" xfId="0" applyFont="1" applyFill="1" applyBorder="1" applyAlignment="1">
      <alignment horizontal="center"/>
    </xf>
    <xf numFmtId="0" fontId="53" fillId="10" borderId="127" xfId="0" applyFont="1" applyFill="1" applyBorder="1"/>
    <xf numFmtId="0" fontId="0" fillId="0" borderId="91" xfId="0" applyFont="1" applyBorder="1" applyAlignment="1">
      <alignment horizontal="center"/>
    </xf>
    <xf numFmtId="0" fontId="0" fillId="27" borderId="127" xfId="0" applyFont="1" applyFill="1" applyBorder="1"/>
    <xf numFmtId="0" fontId="44" fillId="15" borderId="126" xfId="0" applyFont="1" applyFill="1" applyBorder="1"/>
    <xf numFmtId="0" fontId="44" fillId="0" borderId="129" xfId="0" applyFont="1" applyFill="1" applyBorder="1"/>
    <xf numFmtId="0" fontId="44" fillId="0" borderId="160" xfId="0" applyFont="1" applyFill="1" applyBorder="1"/>
    <xf numFmtId="0" fontId="36" fillId="0" borderId="192" xfId="0" applyFont="1" applyFill="1" applyBorder="1" applyAlignment="1">
      <alignment horizontal="center"/>
    </xf>
    <xf numFmtId="0" fontId="36" fillId="0" borderId="193" xfId="0" applyFont="1" applyFill="1" applyBorder="1"/>
    <xf numFmtId="0" fontId="44" fillId="15" borderId="129" xfId="0" applyFont="1" applyFill="1" applyBorder="1"/>
    <xf numFmtId="0" fontId="56" fillId="0" borderId="201" xfId="0" applyFont="1" applyBorder="1"/>
    <xf numFmtId="0" fontId="44" fillId="0" borderId="166" xfId="0" applyFont="1" applyBorder="1"/>
    <xf numFmtId="0" fontId="44" fillId="0" borderId="170" xfId="0" applyFont="1" applyBorder="1"/>
    <xf numFmtId="0" fontId="44" fillId="0" borderId="205" xfId="0" applyFont="1" applyBorder="1"/>
    <xf numFmtId="167" fontId="44" fillId="52" borderId="78" xfId="0" applyNumberFormat="1" applyFont="1" applyFill="1" applyBorder="1" applyAlignment="1">
      <alignment horizontal="right"/>
    </xf>
    <xf numFmtId="167" fontId="0" fillId="9" borderId="91" xfId="0" applyNumberFormat="1" applyFont="1" applyFill="1" applyBorder="1" applyAlignment="1">
      <alignment horizontal="center"/>
    </xf>
    <xf numFmtId="1" fontId="0" fillId="9" borderId="89" xfId="0" applyNumberFormat="1" applyFont="1" applyFill="1" applyBorder="1" applyAlignment="1">
      <alignment horizontal="center" vertical="center"/>
    </xf>
    <xf numFmtId="3" fontId="44" fillId="26" borderId="99" xfId="0" applyNumberFormat="1" applyFont="1" applyFill="1" applyBorder="1" applyAlignment="1">
      <alignment horizontal="right"/>
    </xf>
    <xf numFmtId="3" fontId="44" fillId="52" borderId="113" xfId="0" applyNumberFormat="1" applyFont="1" applyFill="1" applyBorder="1" applyAlignment="1">
      <alignment horizontal="right"/>
    </xf>
    <xf numFmtId="3" fontId="44" fillId="52" borderId="169" xfId="0" applyNumberFormat="1" applyFont="1" applyFill="1" applyBorder="1" applyAlignment="1">
      <alignment horizontal="right"/>
    </xf>
    <xf numFmtId="3" fontId="44" fillId="45" borderId="113" xfId="0" applyNumberFormat="1" applyFont="1" applyFill="1" applyBorder="1" applyAlignment="1">
      <alignment horizontal="right"/>
    </xf>
    <xf numFmtId="3" fontId="44" fillId="45" borderId="169" xfId="0" applyNumberFormat="1" applyFont="1" applyFill="1" applyBorder="1" applyAlignment="1">
      <alignment horizontal="right"/>
    </xf>
    <xf numFmtId="3" fontId="44" fillId="0" borderId="169" xfId="0" applyNumberFormat="1" applyFont="1" applyFill="1" applyBorder="1" applyAlignment="1">
      <alignment horizontal="right"/>
    </xf>
    <xf numFmtId="0" fontId="44" fillId="45" borderId="169" xfId="0" applyFont="1" applyFill="1" applyBorder="1"/>
    <xf numFmtId="0" fontId="44" fillId="52" borderId="122" xfId="0" applyFont="1" applyFill="1" applyBorder="1"/>
    <xf numFmtId="0" fontId="44" fillId="52" borderId="169" xfId="0" applyFont="1" applyFill="1" applyBorder="1"/>
    <xf numFmtId="3" fontId="44" fillId="0" borderId="191" xfId="0" applyNumberFormat="1" applyFont="1" applyBorder="1"/>
    <xf numFmtId="3" fontId="44" fillId="52" borderId="122" xfId="0" applyNumberFormat="1" applyFont="1" applyFill="1" applyBorder="1"/>
    <xf numFmtId="3" fontId="44" fillId="45" borderId="122" xfId="0" applyNumberFormat="1" applyFont="1" applyFill="1" applyBorder="1"/>
    <xf numFmtId="3" fontId="44" fillId="0" borderId="140" xfId="0" applyNumberFormat="1" applyFont="1" applyBorder="1"/>
    <xf numFmtId="3" fontId="44" fillId="58" borderId="80" xfId="0" applyNumberFormat="1" applyFont="1" applyFill="1" applyBorder="1" applyAlignment="1">
      <alignment horizontal="right"/>
    </xf>
    <xf numFmtId="3" fontId="44" fillId="45" borderId="83" xfId="0" applyNumberFormat="1" applyFont="1" applyFill="1" applyBorder="1" applyAlignment="1">
      <alignment horizontal="right"/>
    </xf>
    <xf numFmtId="3" fontId="52" fillId="10" borderId="68" xfId="0" applyNumberFormat="1" applyFont="1" applyFill="1" applyBorder="1" applyAlignment="1"/>
    <xf numFmtId="3" fontId="44" fillId="15" borderId="15" xfId="0" applyNumberFormat="1" applyFont="1" applyFill="1" applyBorder="1" applyAlignment="1">
      <alignment horizontal="right"/>
    </xf>
    <xf numFmtId="3" fontId="44" fillId="58" borderId="0" xfId="0" applyNumberFormat="1" applyFont="1" applyFill="1" applyBorder="1" applyAlignment="1">
      <alignment horizontal="right"/>
    </xf>
    <xf numFmtId="3" fontId="44" fillId="45" borderId="78" xfId="0" applyNumberFormat="1" applyFont="1" applyFill="1" applyBorder="1" applyAlignment="1">
      <alignment horizontal="right"/>
    </xf>
    <xf numFmtId="1" fontId="52" fillId="10" borderId="0" xfId="0" applyNumberFormat="1" applyFont="1" applyFill="1" applyBorder="1"/>
    <xf numFmtId="1" fontId="50" fillId="7" borderId="0" xfId="0" applyNumberFormat="1" applyFont="1" applyFill="1" applyBorder="1"/>
    <xf numFmtId="1" fontId="50" fillId="15" borderId="15" xfId="0" applyNumberFormat="1" applyFont="1" applyFill="1" applyBorder="1"/>
    <xf numFmtId="1" fontId="44" fillId="0" borderId="15" xfId="0" applyNumberFormat="1" applyFont="1" applyBorder="1"/>
    <xf numFmtId="1" fontId="44" fillId="0" borderId="34" xfId="0" applyNumberFormat="1" applyFont="1" applyBorder="1"/>
    <xf numFmtId="3" fontId="44" fillId="15" borderId="81" xfId="0" applyNumberFormat="1" applyFont="1" applyFill="1" applyBorder="1" applyAlignment="1">
      <alignment horizontal="right"/>
    </xf>
    <xf numFmtId="1" fontId="52" fillId="10" borderId="80" xfId="0" applyNumberFormat="1" applyFont="1" applyFill="1" applyBorder="1"/>
    <xf numFmtId="1" fontId="50" fillId="7" borderId="80" xfId="0" applyNumberFormat="1" applyFont="1" applyFill="1" applyBorder="1"/>
    <xf numFmtId="1" fontId="44" fillId="15" borderId="81" xfId="0" applyNumberFormat="1" applyFont="1" applyFill="1" applyBorder="1"/>
    <xf numFmtId="1" fontId="44" fillId="0" borderId="81" xfId="0" applyNumberFormat="1" applyFont="1" applyBorder="1"/>
    <xf numFmtId="1" fontId="44" fillId="0" borderId="140" xfId="0" applyNumberFormat="1" applyFont="1" applyBorder="1"/>
    <xf numFmtId="0" fontId="52" fillId="10" borderId="0" xfId="0" applyFont="1" applyFill="1" applyBorder="1"/>
    <xf numFmtId="3" fontId="44" fillId="0" borderId="15" xfId="0" applyNumberFormat="1" applyFont="1" applyBorder="1"/>
    <xf numFmtId="0" fontId="52" fillId="10" borderId="80" xfId="0" applyFont="1" applyFill="1" applyBorder="1"/>
    <xf numFmtId="0" fontId="50" fillId="7" borderId="80" xfId="0" applyFont="1" applyFill="1" applyBorder="1"/>
    <xf numFmtId="0" fontId="44" fillId="15" borderId="81" xfId="0" applyFont="1" applyFill="1" applyBorder="1"/>
    <xf numFmtId="0" fontId="44" fillId="0" borderId="140" xfId="0" applyFont="1" applyBorder="1"/>
    <xf numFmtId="3" fontId="50" fillId="10" borderId="0" xfId="0" applyNumberFormat="1" applyFont="1" applyFill="1" applyBorder="1" applyAlignment="1"/>
    <xf numFmtId="0" fontId="44" fillId="0" borderId="85" xfId="0" applyFont="1" applyFill="1" applyBorder="1" applyAlignment="1">
      <alignment horizontal="center"/>
    </xf>
    <xf numFmtId="0" fontId="44" fillId="0" borderId="78" xfId="0" applyFont="1" applyFill="1" applyBorder="1"/>
    <xf numFmtId="0" fontId="44" fillId="0" borderId="101" xfId="0" applyFont="1" applyFill="1" applyBorder="1"/>
    <xf numFmtId="49" fontId="56" fillId="0" borderId="124" xfId="0" applyNumberFormat="1" applyFont="1" applyFill="1" applyBorder="1" applyAlignment="1">
      <alignment horizontal="right"/>
    </xf>
    <xf numFmtId="49" fontId="54" fillId="15" borderId="124" xfId="0" applyNumberFormat="1" applyFont="1" applyFill="1" applyBorder="1" applyAlignment="1">
      <alignment horizontal="right"/>
    </xf>
    <xf numFmtId="167" fontId="44" fillId="0" borderId="123" xfId="0" applyNumberFormat="1" applyFont="1" applyFill="1" applyBorder="1" applyAlignment="1">
      <alignment horizontal="right"/>
    </xf>
    <xf numFmtId="3" fontId="44" fillId="0" borderId="180" xfId="0" applyNumberFormat="1" applyFont="1" applyFill="1" applyBorder="1" applyAlignment="1">
      <alignment horizontal="right"/>
    </xf>
    <xf numFmtId="3" fontId="44" fillId="0" borderId="123" xfId="0" applyNumberFormat="1" applyFont="1" applyFill="1" applyBorder="1" applyAlignment="1">
      <alignment horizontal="right"/>
    </xf>
    <xf numFmtId="3" fontId="44" fillId="0" borderId="34" xfId="0" applyNumberFormat="1" applyFont="1" applyBorder="1"/>
    <xf numFmtId="0" fontId="0" fillId="0" borderId="0" xfId="0"/>
    <xf numFmtId="0" fontId="0" fillId="0" borderId="0" xfId="0"/>
    <xf numFmtId="3" fontId="44" fillId="59" borderId="22" xfId="0" applyNumberFormat="1" applyFont="1" applyFill="1" applyBorder="1" applyAlignment="1">
      <alignment horizontal="right"/>
    </xf>
    <xf numFmtId="3" fontId="44" fillId="59" borderId="37" xfId="0" applyNumberFormat="1" applyFont="1" applyFill="1" applyBorder="1" applyAlignment="1">
      <alignment horizontal="right"/>
    </xf>
    <xf numFmtId="3" fontId="44" fillId="59" borderId="0" xfId="0" applyNumberFormat="1" applyFont="1" applyFill="1" applyBorder="1" applyAlignment="1">
      <alignment horizontal="right"/>
    </xf>
    <xf numFmtId="3" fontId="44" fillId="45" borderId="216" xfId="0" applyNumberFormat="1" applyFont="1" applyFill="1" applyBorder="1" applyAlignment="1">
      <alignment horizontal="right"/>
    </xf>
    <xf numFmtId="3" fontId="44" fillId="45" borderId="218" xfId="0" applyNumberFormat="1" applyFont="1" applyFill="1" applyBorder="1" applyAlignment="1">
      <alignment horizontal="right"/>
    </xf>
    <xf numFmtId="3" fontId="44" fillId="45" borderId="123" xfId="0" applyNumberFormat="1" applyFont="1" applyFill="1" applyBorder="1" applyAlignment="1">
      <alignment horizontal="right"/>
    </xf>
    <xf numFmtId="167" fontId="44" fillId="0" borderId="216" xfId="0" applyNumberFormat="1" applyFont="1" applyFill="1" applyBorder="1" applyAlignment="1">
      <alignment horizontal="right"/>
    </xf>
    <xf numFmtId="3" fontId="44" fillId="0" borderId="216" xfId="0" applyNumberFormat="1" applyFont="1" applyFill="1" applyBorder="1" applyAlignment="1">
      <alignment horizontal="right"/>
    </xf>
    <xf numFmtId="3" fontId="44" fillId="0" borderId="218" xfId="0" applyNumberFormat="1" applyFont="1" applyFill="1" applyBorder="1" applyAlignment="1">
      <alignment horizontal="right"/>
    </xf>
    <xf numFmtId="3" fontId="44" fillId="56" borderId="216" xfId="0" applyNumberFormat="1" applyFont="1" applyFill="1" applyBorder="1" applyAlignment="1">
      <alignment horizontal="right"/>
    </xf>
    <xf numFmtId="3" fontId="44" fillId="56" borderId="218" xfId="0" applyNumberFormat="1" applyFont="1" applyFill="1" applyBorder="1" applyAlignment="1">
      <alignment horizontal="right"/>
    </xf>
    <xf numFmtId="3" fontId="44" fillId="56" borderId="123" xfId="0" applyNumberFormat="1" applyFont="1" applyFill="1" applyBorder="1" applyAlignment="1">
      <alignment horizontal="right"/>
    </xf>
    <xf numFmtId="0" fontId="44" fillId="8" borderId="75" xfId="0" applyFont="1" applyFill="1" applyBorder="1"/>
    <xf numFmtId="167" fontId="44" fillId="0" borderId="76" xfId="0" applyNumberFormat="1" applyFont="1" applyFill="1" applyBorder="1" applyAlignment="1">
      <alignment horizontal="right"/>
    </xf>
    <xf numFmtId="49" fontId="44" fillId="0" borderId="85" xfId="0" applyNumberFormat="1" applyFont="1" applyFill="1" applyBorder="1" applyAlignment="1">
      <alignment horizontal="left"/>
    </xf>
    <xf numFmtId="49" fontId="44" fillId="0" borderId="150" xfId="0" applyNumberFormat="1" applyFont="1" applyFill="1" applyBorder="1" applyAlignment="1"/>
    <xf numFmtId="3" fontId="50" fillId="7" borderId="79" xfId="0" applyNumberFormat="1" applyFont="1" applyFill="1" applyBorder="1" applyAlignment="1"/>
    <xf numFmtId="3" fontId="44" fillId="0" borderId="22" xfId="0" applyNumberFormat="1" applyFont="1" applyBorder="1"/>
    <xf numFmtId="0" fontId="0" fillId="0" borderId="224" xfId="0" applyFont="1" applyBorder="1"/>
    <xf numFmtId="0" fontId="0" fillId="0" borderId="186" xfId="0" applyFont="1" applyBorder="1"/>
    <xf numFmtId="3" fontId="44" fillId="0" borderId="106" xfId="0" applyNumberFormat="1" applyFont="1" applyBorder="1"/>
    <xf numFmtId="3" fontId="44" fillId="0" borderId="110" xfId="0" applyNumberFormat="1" applyFont="1" applyBorder="1"/>
    <xf numFmtId="3" fontId="44" fillId="0" borderId="112" xfId="0" applyNumberFormat="1" applyFont="1" applyBorder="1"/>
    <xf numFmtId="171" fontId="50" fillId="7" borderId="31" xfId="409" applyNumberFormat="1" applyFont="1" applyFill="1" applyBorder="1" applyAlignment="1">
      <alignment horizontal="center"/>
    </xf>
    <xf numFmtId="0" fontId="44" fillId="0" borderId="136" xfId="0" applyFont="1" applyBorder="1"/>
    <xf numFmtId="3" fontId="44" fillId="0" borderId="136" xfId="0" applyNumberFormat="1" applyFont="1" applyBorder="1"/>
    <xf numFmtId="3" fontId="0" fillId="0" borderId="22" xfId="0" applyNumberFormat="1" applyFont="1" applyFill="1" applyBorder="1"/>
    <xf numFmtId="3" fontId="0" fillId="0" borderId="14" xfId="0" applyNumberFormat="1" applyFont="1" applyBorder="1"/>
    <xf numFmtId="3" fontId="44" fillId="0" borderId="111" xfId="0" applyNumberFormat="1" applyFont="1" applyBorder="1"/>
    <xf numFmtId="3" fontId="50" fillId="15" borderId="215" xfId="0" applyNumberFormat="1" applyFont="1" applyFill="1" applyBorder="1"/>
    <xf numFmtId="3" fontId="50" fillId="15" borderId="37" xfId="0" applyNumberFormat="1" applyFont="1" applyFill="1" applyBorder="1"/>
    <xf numFmtId="3" fontId="0" fillId="0" borderId="97" xfId="0" applyNumberFormat="1" applyFont="1" applyFill="1" applyBorder="1"/>
    <xf numFmtId="3" fontId="0" fillId="0" borderId="81" xfId="0" applyNumberFormat="1" applyFont="1" applyBorder="1"/>
    <xf numFmtId="3" fontId="50" fillId="15" borderId="136" xfId="0" applyNumberFormat="1" applyFont="1" applyFill="1" applyBorder="1"/>
    <xf numFmtId="3" fontId="44" fillId="0" borderId="84" xfId="0" applyNumberFormat="1" applyFont="1" applyBorder="1"/>
    <xf numFmtId="0" fontId="0" fillId="10" borderId="23" xfId="0" applyFont="1" applyFill="1" applyBorder="1" applyAlignment="1">
      <alignment horizontal="center"/>
    </xf>
    <xf numFmtId="0" fontId="0" fillId="10" borderId="152" xfId="0" applyFont="1" applyFill="1" applyBorder="1" applyAlignment="1">
      <alignment horizontal="center"/>
    </xf>
    <xf numFmtId="0" fontId="0" fillId="10" borderId="154" xfId="0" applyFont="1" applyFill="1" applyBorder="1" applyAlignment="1">
      <alignment horizontal="center"/>
    </xf>
    <xf numFmtId="3" fontId="86" fillId="0" borderId="122" xfId="569" applyNumberFormat="1" applyFont="1" applyFill="1" applyBorder="1"/>
    <xf numFmtId="171" fontId="44" fillId="0" borderId="122" xfId="409" applyNumberFormat="1" applyFont="1" applyFill="1" applyBorder="1" applyAlignment="1">
      <alignment horizontal="center"/>
    </xf>
    <xf numFmtId="3" fontId="44" fillId="0" borderId="122" xfId="409" applyNumberFormat="1" applyFont="1" applyBorder="1" applyAlignment="1">
      <alignment horizontal="right"/>
    </xf>
    <xf numFmtId="3" fontId="86" fillId="45" borderId="122" xfId="569" applyNumberFormat="1" applyFont="1" applyFill="1" applyBorder="1"/>
    <xf numFmtId="171" fontId="126" fillId="0" borderId="122" xfId="409" applyNumberFormat="1" applyFont="1" applyFill="1" applyBorder="1"/>
    <xf numFmtId="171" fontId="125" fillId="0" borderId="122" xfId="409" applyNumberFormat="1" applyFont="1" applyFill="1" applyBorder="1"/>
    <xf numFmtId="171" fontId="44" fillId="0" borderId="122" xfId="409" applyNumberFormat="1" applyFont="1" applyFill="1" applyBorder="1" applyAlignment="1">
      <alignment horizontal="right"/>
    </xf>
    <xf numFmtId="3" fontId="105" fillId="0" borderId="122" xfId="569" applyNumberFormat="1" applyFont="1" applyFill="1" applyBorder="1" applyAlignment="1">
      <alignment horizontal="right"/>
    </xf>
    <xf numFmtId="171" fontId="125" fillId="0" borderId="122" xfId="409" applyNumberFormat="1" applyFont="1" applyFill="1" applyBorder="1" applyAlignment="1">
      <alignment horizontal="left"/>
    </xf>
    <xf numFmtId="1" fontId="36" fillId="0" borderId="122" xfId="569" applyNumberFormat="1" applyFont="1" applyFill="1" applyBorder="1" applyAlignment="1">
      <alignment horizontal="center" vertical="center" wrapText="1"/>
    </xf>
    <xf numFmtId="171" fontId="128" fillId="0" borderId="122" xfId="409" applyNumberFormat="1" applyFont="1" applyFill="1" applyBorder="1" applyAlignment="1">
      <alignment horizontal="left"/>
    </xf>
    <xf numFmtId="171" fontId="44" fillId="0" borderId="122" xfId="409" applyNumberFormat="1" applyFont="1" applyFill="1" applyBorder="1" applyAlignment="1">
      <alignment horizontal="left"/>
    </xf>
    <xf numFmtId="171" fontId="44" fillId="0" borderId="122" xfId="409" applyNumberFormat="1" applyFont="1" applyFill="1" applyBorder="1" applyAlignment="1">
      <alignment horizontal="center" wrapText="1"/>
    </xf>
    <xf numFmtId="171" fontId="44" fillId="0" borderId="122" xfId="409" applyNumberFormat="1" applyFont="1" applyFill="1" applyBorder="1" applyAlignment="1">
      <alignment horizontal="right" wrapText="1"/>
    </xf>
    <xf numFmtId="171" fontId="126" fillId="0" borderId="122" xfId="409" applyNumberFormat="1" applyFont="1" applyFill="1" applyBorder="1" applyAlignment="1">
      <alignment horizontal="center"/>
    </xf>
    <xf numFmtId="171" fontId="125" fillId="0" borderId="122" xfId="409" applyNumberFormat="1" applyFont="1" applyFill="1" applyBorder="1" applyAlignment="1">
      <alignment horizontal="right" wrapText="1"/>
    </xf>
    <xf numFmtId="1" fontId="44" fillId="0" borderId="122" xfId="409" applyNumberFormat="1" applyFont="1" applyFill="1" applyBorder="1" applyAlignment="1">
      <alignment horizontal="center" vertical="center" wrapText="1"/>
    </xf>
    <xf numFmtId="164" fontId="44" fillId="0" borderId="122" xfId="409" applyFont="1" applyFill="1" applyBorder="1"/>
    <xf numFmtId="172" fontId="44" fillId="60" borderId="122" xfId="409" applyNumberFormat="1" applyFont="1" applyFill="1" applyBorder="1"/>
    <xf numFmtId="164" fontId="44" fillId="0" borderId="122" xfId="409" applyFont="1" applyFill="1" applyBorder="1" applyAlignment="1">
      <alignment horizontal="left"/>
    </xf>
    <xf numFmtId="171" fontId="44" fillId="53" borderId="122" xfId="409" applyNumberFormat="1" applyFont="1" applyFill="1" applyBorder="1"/>
    <xf numFmtId="171" fontId="44" fillId="0" borderId="122" xfId="409" applyNumberFormat="1" applyFont="1" applyFill="1" applyBorder="1" applyAlignment="1">
      <alignment horizontal="center" vertical="center"/>
    </xf>
    <xf numFmtId="3" fontId="37" fillId="45" borderId="122" xfId="569" applyNumberFormat="1" applyFont="1" applyFill="1" applyBorder="1" applyAlignment="1">
      <alignment horizontal="right"/>
    </xf>
    <xf numFmtId="171" fontId="133" fillId="0" borderId="122" xfId="409" applyNumberFormat="1" applyFont="1" applyFill="1" applyBorder="1"/>
    <xf numFmtId="164" fontId="135" fillId="0" borderId="122" xfId="409" applyFont="1" applyFill="1" applyBorder="1" applyAlignment="1">
      <alignment horizontal="left"/>
    </xf>
    <xf numFmtId="164" fontId="44" fillId="0" borderId="122" xfId="409" applyFont="1" applyFill="1" applyBorder="1" applyAlignment="1">
      <alignment horizontal="right"/>
    </xf>
    <xf numFmtId="171" fontId="44" fillId="0" borderId="147" xfId="409" applyNumberFormat="1" applyFont="1" applyFill="1" applyBorder="1"/>
    <xf numFmtId="0" fontId="43" fillId="7" borderId="122" xfId="569" applyFont="1" applyFill="1" applyBorder="1"/>
    <xf numFmtId="0" fontId="43" fillId="7" borderId="122" xfId="569" applyFont="1" applyFill="1" applyBorder="1" applyAlignment="1">
      <alignment vertical="top"/>
    </xf>
    <xf numFmtId="0" fontId="43" fillId="7" borderId="122" xfId="569" applyFont="1" applyFill="1" applyBorder="1" applyAlignment="1">
      <alignment horizontal="center"/>
    </xf>
    <xf numFmtId="0" fontId="43" fillId="7" borderId="122" xfId="569" applyFont="1" applyFill="1" applyBorder="1" applyAlignment="1">
      <alignment horizontal="center" vertical="center"/>
    </xf>
    <xf numFmtId="1" fontId="43" fillId="7" borderId="122" xfId="569" applyNumberFormat="1" applyFont="1" applyFill="1" applyBorder="1" applyAlignment="1">
      <alignment horizontal="center" vertical="center"/>
    </xf>
    <xf numFmtId="1" fontId="37" fillId="7" borderId="122" xfId="569" applyNumberFormat="1" applyFont="1" applyFill="1" applyBorder="1" applyAlignment="1">
      <alignment horizontal="center" vertical="center" wrapText="1"/>
    </xf>
    <xf numFmtId="1" fontId="55" fillId="49" borderId="122" xfId="409" applyNumberFormat="1" applyFont="1" applyFill="1" applyBorder="1" applyAlignment="1">
      <alignment horizontal="center" vertical="center" wrapText="1"/>
    </xf>
    <xf numFmtId="171" fontId="54" fillId="45" borderId="122" xfId="409" applyNumberFormat="1" applyFont="1" applyFill="1" applyBorder="1"/>
    <xf numFmtId="171" fontId="44" fillId="0" borderId="122" xfId="409" applyNumberFormat="1" applyFont="1" applyBorder="1" applyAlignment="1">
      <alignment horizontal="right"/>
    </xf>
    <xf numFmtId="49" fontId="31" fillId="4" borderId="122" xfId="569" applyNumberFormat="1" applyFont="1" applyFill="1" applyBorder="1" applyAlignment="1">
      <alignment horizontal="right"/>
    </xf>
    <xf numFmtId="0" fontId="36" fillId="4" borderId="122" xfId="569" applyFont="1" applyFill="1" applyBorder="1"/>
    <xf numFmtId="0" fontId="31" fillId="4" borderId="122" xfId="569" applyFont="1" applyFill="1" applyBorder="1"/>
    <xf numFmtId="3" fontId="35" fillId="4" borderId="122" xfId="569" applyNumberFormat="1" applyFont="1" applyFill="1" applyBorder="1"/>
    <xf numFmtId="3" fontId="37" fillId="4" borderId="122" xfId="569" applyNumberFormat="1" applyFont="1" applyFill="1" applyBorder="1" applyAlignment="1">
      <alignment horizontal="right"/>
    </xf>
    <xf numFmtId="0" fontId="36" fillId="0" borderId="122" xfId="569" applyFont="1" applyFill="1" applyBorder="1" applyAlignment="1">
      <alignment vertical="top"/>
    </xf>
    <xf numFmtId="0" fontId="87" fillId="0" borderId="122" xfId="569" applyFont="1" applyBorder="1"/>
    <xf numFmtId="0" fontId="87" fillId="0" borderId="122" xfId="569" applyFont="1" applyFill="1" applyBorder="1" applyAlignment="1">
      <alignment vertical="top"/>
    </xf>
    <xf numFmtId="0" fontId="87" fillId="0" borderId="122" xfId="569" applyFont="1" applyFill="1" applyBorder="1" applyAlignment="1">
      <alignment horizontal="left"/>
    </xf>
    <xf numFmtId="0" fontId="69" fillId="0" borderId="122" xfId="569" applyFont="1" applyBorder="1"/>
    <xf numFmtId="0" fontId="69" fillId="0" borderId="122" xfId="569" applyFont="1" applyFill="1" applyBorder="1" applyAlignment="1">
      <alignment horizontal="left"/>
    </xf>
    <xf numFmtId="171" fontId="44" fillId="42" borderId="122" xfId="409" applyNumberFormat="1" applyFont="1" applyFill="1" applyBorder="1" applyAlignment="1">
      <alignment horizontal="right"/>
    </xf>
    <xf numFmtId="0" fontId="70" fillId="0" borderId="122" xfId="569" applyFont="1" applyBorder="1"/>
    <xf numFmtId="0" fontId="70" fillId="0" borderId="122" xfId="569" applyFont="1" applyFill="1" applyBorder="1" applyAlignment="1">
      <alignment vertical="top"/>
    </xf>
    <xf numFmtId="0" fontId="37" fillId="8" borderId="122" xfId="569" applyFont="1" applyFill="1" applyBorder="1" applyAlignment="1">
      <alignment horizontal="right"/>
    </xf>
    <xf numFmtId="0" fontId="37" fillId="8" borderId="122" xfId="569" applyFont="1" applyFill="1" applyBorder="1"/>
    <xf numFmtId="3" fontId="37" fillId="8" borderId="122" xfId="569" applyNumberFormat="1" applyFont="1" applyFill="1" applyBorder="1"/>
    <xf numFmtId="0" fontId="71" fillId="0" borderId="122" xfId="569" applyFont="1" applyFill="1" applyBorder="1"/>
    <xf numFmtId="171" fontId="117" fillId="0" borderId="122" xfId="409" applyNumberFormat="1" applyFont="1" applyFill="1" applyBorder="1" applyAlignment="1">
      <alignment horizontal="right"/>
    </xf>
    <xf numFmtId="0" fontId="69" fillId="0" borderId="122" xfId="569" applyFont="1" applyFill="1" applyBorder="1"/>
    <xf numFmtId="0" fontId="72" fillId="0" borderId="122" xfId="569" applyFont="1" applyFill="1" applyBorder="1"/>
    <xf numFmtId="0" fontId="74" fillId="0" borderId="122" xfId="569" applyFont="1" applyFill="1" applyBorder="1"/>
    <xf numFmtId="165" fontId="36" fillId="0" borderId="122" xfId="410" applyFont="1" applyFill="1" applyBorder="1" applyAlignment="1" applyProtection="1">
      <alignment horizontal="left"/>
    </xf>
    <xf numFmtId="0" fontId="36" fillId="0" borderId="122" xfId="569" applyFont="1" applyBorder="1" applyAlignment="1">
      <alignment horizontal="right"/>
    </xf>
    <xf numFmtId="0" fontId="43" fillId="0" borderId="122" xfId="569" applyFont="1" applyFill="1" applyBorder="1"/>
    <xf numFmtId="0" fontId="43" fillId="0" borderId="122" xfId="569" applyFont="1" applyFill="1" applyBorder="1" applyAlignment="1">
      <alignment horizontal="center"/>
    </xf>
    <xf numFmtId="171" fontId="44" fillId="0" borderId="122" xfId="409" applyNumberFormat="1" applyFont="1" applyFill="1" applyBorder="1" applyAlignment="1">
      <alignment horizontal="right" vertical="center"/>
    </xf>
    <xf numFmtId="3" fontId="69" fillId="0" borderId="122" xfId="569" applyNumberFormat="1" applyFont="1" applyBorder="1" applyAlignment="1">
      <alignment horizontal="right"/>
    </xf>
    <xf numFmtId="3" fontId="0" fillId="0" borderId="122" xfId="0" applyNumberFormat="1" applyBorder="1"/>
    <xf numFmtId="0" fontId="74" fillId="0" borderId="122" xfId="569" applyFont="1" applyFill="1" applyBorder="1" applyAlignment="1">
      <alignment horizontal="right"/>
    </xf>
    <xf numFmtId="0" fontId="84" fillId="0" borderId="122" xfId="569" applyFont="1" applyFill="1" applyBorder="1" applyAlignment="1">
      <alignment horizontal="right"/>
    </xf>
    <xf numFmtId="171" fontId="50" fillId="45" borderId="122" xfId="409" applyNumberFormat="1" applyFont="1" applyFill="1" applyBorder="1"/>
    <xf numFmtId="171" fontId="54" fillId="46" borderId="122" xfId="409" applyNumberFormat="1" applyFont="1" applyFill="1" applyBorder="1" applyAlignment="1">
      <alignment horizontal="right"/>
    </xf>
    <xf numFmtId="171" fontId="44" fillId="0" borderId="122" xfId="409" applyNumberFormat="1" applyFont="1" applyBorder="1" applyAlignment="1">
      <alignment horizontal="left"/>
    </xf>
    <xf numFmtId="3" fontId="69" fillId="0" borderId="122" xfId="569" applyNumberFormat="1" applyFont="1" applyBorder="1" applyAlignment="1">
      <alignment horizontal="left"/>
    </xf>
    <xf numFmtId="3" fontId="36" fillId="0" borderId="122" xfId="569" applyNumberFormat="1" applyFont="1" applyBorder="1" applyAlignment="1">
      <alignment horizontal="left"/>
    </xf>
    <xf numFmtId="171" fontId="119" fillId="0" borderId="122" xfId="409" applyNumberFormat="1" applyFont="1" applyBorder="1" applyAlignment="1">
      <alignment horizontal="right"/>
    </xf>
    <xf numFmtId="3" fontId="118" fillId="0" borderId="122" xfId="569" applyNumberFormat="1" applyFont="1" applyBorder="1" applyAlignment="1">
      <alignment horizontal="left"/>
    </xf>
    <xf numFmtId="3" fontId="86" fillId="4" borderId="122" xfId="569" applyNumberFormat="1" applyFont="1" applyFill="1" applyBorder="1"/>
    <xf numFmtId="171" fontId="50" fillId="45" borderId="122" xfId="409" applyNumberFormat="1" applyFont="1" applyFill="1" applyBorder="1" applyAlignment="1">
      <alignment horizontal="center"/>
    </xf>
    <xf numFmtId="171" fontId="133" fillId="45" borderId="122" xfId="409" applyNumberFormat="1" applyFont="1" applyFill="1" applyBorder="1"/>
    <xf numFmtId="1" fontId="44" fillId="0" borderId="122" xfId="409" applyNumberFormat="1" applyFont="1" applyBorder="1" applyAlignment="1">
      <alignment horizontal="center"/>
    </xf>
    <xf numFmtId="3" fontId="87" fillId="0" borderId="122" xfId="569" applyNumberFormat="1" applyFont="1" applyBorder="1"/>
    <xf numFmtId="0" fontId="87" fillId="0" borderId="122" xfId="569" applyFont="1" applyFill="1" applyBorder="1"/>
    <xf numFmtId="1" fontId="44" fillId="0" borderId="122" xfId="409" applyNumberFormat="1" applyFont="1" applyBorder="1" applyAlignment="1">
      <alignment horizontal="right"/>
    </xf>
    <xf numFmtId="3" fontId="87" fillId="0" borderId="122" xfId="569" applyNumberFormat="1" applyFont="1" applyBorder="1" applyAlignment="1">
      <alignment horizontal="left"/>
    </xf>
    <xf numFmtId="171" fontId="54" fillId="46" borderId="122" xfId="409" applyNumberFormat="1" applyFont="1" applyFill="1" applyBorder="1"/>
    <xf numFmtId="3" fontId="37" fillId="0" borderId="122" xfId="569" applyNumberFormat="1" applyFont="1" applyFill="1" applyBorder="1" applyAlignment="1">
      <alignment horizontal="right"/>
    </xf>
    <xf numFmtId="3" fontId="37" fillId="0" borderId="122" xfId="569" applyNumberFormat="1" applyFont="1" applyBorder="1" applyAlignment="1">
      <alignment horizontal="right"/>
    </xf>
    <xf numFmtId="0" fontId="88" fillId="0" borderId="122" xfId="569" applyFont="1" applyFill="1" applyBorder="1"/>
    <xf numFmtId="171" fontId="44" fillId="0" borderId="122" xfId="409" applyNumberFormat="1" applyFont="1" applyBorder="1" applyAlignment="1">
      <alignment wrapText="1"/>
    </xf>
    <xf numFmtId="0" fontId="6" fillId="0" borderId="122" xfId="569" applyFont="1" applyFill="1" applyBorder="1"/>
    <xf numFmtId="3" fontId="36" fillId="0" borderId="122" xfId="569" applyNumberFormat="1" applyFont="1" applyBorder="1" applyAlignment="1">
      <alignment horizontal="center"/>
    </xf>
    <xf numFmtId="171" fontId="44" fillId="0" borderId="122" xfId="409" applyNumberFormat="1" applyFont="1" applyBorder="1" applyAlignment="1">
      <alignment horizontal="center" wrapText="1"/>
    </xf>
    <xf numFmtId="3" fontId="36" fillId="0" borderId="122" xfId="569" applyNumberFormat="1" applyFont="1" applyBorder="1" applyAlignment="1">
      <alignment horizontal="right" wrapText="1"/>
    </xf>
    <xf numFmtId="171" fontId="44" fillId="43" borderId="122" xfId="409" applyNumberFormat="1" applyFont="1" applyFill="1" applyBorder="1" applyAlignment="1">
      <alignment horizontal="right"/>
    </xf>
    <xf numFmtId="3" fontId="84" fillId="43" borderId="122" xfId="569" applyNumberFormat="1" applyFont="1" applyFill="1" applyBorder="1" applyAlignment="1">
      <alignment horizontal="right"/>
    </xf>
    <xf numFmtId="171" fontId="44" fillId="46" borderId="122" xfId="409" applyNumberFormat="1" applyFont="1" applyFill="1" applyBorder="1"/>
    <xf numFmtId="0" fontId="110" fillId="0" borderId="122" xfId="569" applyFont="1" applyFill="1" applyBorder="1"/>
    <xf numFmtId="0" fontId="0" fillId="0" borderId="122" xfId="0" applyFill="1" applyBorder="1"/>
    <xf numFmtId="171" fontId="44" fillId="40" borderId="122" xfId="409" applyNumberFormat="1" applyFont="1" applyFill="1" applyBorder="1" applyAlignment="1">
      <alignment horizontal="right"/>
    </xf>
    <xf numFmtId="3" fontId="36" fillId="40" borderId="122" xfId="569" applyNumberFormat="1" applyFont="1" applyFill="1" applyBorder="1" applyAlignment="1">
      <alignment horizontal="left"/>
    </xf>
    <xf numFmtId="3" fontId="37" fillId="0" borderId="122" xfId="569" applyNumberFormat="1" applyFont="1" applyBorder="1"/>
    <xf numFmtId="3" fontId="37" fillId="0" borderId="122" xfId="569" applyNumberFormat="1" applyFont="1" applyBorder="1" applyAlignment="1">
      <alignment horizontal="center"/>
    </xf>
    <xf numFmtId="171" fontId="44" fillId="0" borderId="122" xfId="409" applyNumberFormat="1" applyFont="1" applyBorder="1" applyAlignment="1">
      <alignment horizontal="right" wrapText="1"/>
    </xf>
    <xf numFmtId="3" fontId="89" fillId="0" borderId="122" xfId="569" applyNumberFormat="1" applyFont="1" applyBorder="1" applyAlignment="1">
      <alignment horizontal="right" wrapText="1"/>
    </xf>
    <xf numFmtId="0" fontId="38" fillId="0" borderId="122" xfId="569" applyFont="1" applyFill="1" applyBorder="1" applyAlignment="1">
      <alignment vertical="top"/>
    </xf>
    <xf numFmtId="0" fontId="38" fillId="0" borderId="122" xfId="569" applyFont="1" applyFill="1" applyBorder="1" applyAlignment="1">
      <alignment horizontal="left"/>
    </xf>
    <xf numFmtId="171" fontId="44" fillId="0" borderId="122" xfId="409" applyNumberFormat="1" applyFont="1" applyFill="1" applyBorder="1" applyAlignment="1">
      <alignment horizontal="right" vertical="center" wrapText="1"/>
    </xf>
    <xf numFmtId="3" fontId="43" fillId="0" borderId="122" xfId="569" applyNumberFormat="1" applyFont="1" applyFill="1" applyBorder="1" applyAlignment="1">
      <alignment horizontal="right" vertical="center" wrapText="1"/>
    </xf>
    <xf numFmtId="3" fontId="84" fillId="0" borderId="122" xfId="569" applyNumberFormat="1" applyFont="1" applyBorder="1" applyAlignment="1">
      <alignment horizontal="right" wrapText="1"/>
    </xf>
    <xf numFmtId="3" fontId="69" fillId="0" borderId="122" xfId="569" applyNumberFormat="1" applyFont="1" applyBorder="1" applyAlignment="1">
      <alignment horizontal="right" wrapText="1"/>
    </xf>
    <xf numFmtId="3" fontId="104" fillId="0" borderId="122" xfId="569" applyNumberFormat="1" applyFont="1" applyBorder="1" applyAlignment="1">
      <alignment horizontal="right" wrapText="1"/>
    </xf>
    <xf numFmtId="3" fontId="36" fillId="26" borderId="122" xfId="569" applyNumberFormat="1" applyFont="1" applyFill="1" applyBorder="1"/>
    <xf numFmtId="0" fontId="37" fillId="0" borderId="122" xfId="569" applyFont="1" applyFill="1" applyBorder="1" applyAlignment="1">
      <alignment horizontal="right"/>
    </xf>
    <xf numFmtId="3" fontId="104" fillId="0" borderId="122" xfId="569" applyNumberFormat="1" applyFont="1" applyBorder="1" applyAlignment="1">
      <alignment horizontal="left"/>
    </xf>
    <xf numFmtId="3" fontId="36" fillId="41" borderId="122" xfId="569" applyNumberFormat="1" applyFont="1" applyFill="1" applyBorder="1" applyAlignment="1">
      <alignment horizontal="left"/>
    </xf>
    <xf numFmtId="3" fontId="36" fillId="41" borderId="122" xfId="569" applyNumberFormat="1" applyFont="1" applyFill="1" applyBorder="1" applyAlignment="1">
      <alignment horizontal="right"/>
    </xf>
    <xf numFmtId="3" fontId="36" fillId="40" borderId="122" xfId="569" applyNumberFormat="1" applyFont="1" applyFill="1" applyBorder="1"/>
    <xf numFmtId="171" fontId="50" fillId="46" borderId="122" xfId="409" applyNumberFormat="1" applyFont="1" applyFill="1" applyBorder="1"/>
    <xf numFmtId="171" fontId="50" fillId="47" borderId="122" xfId="409" applyNumberFormat="1" applyFont="1" applyFill="1" applyBorder="1"/>
    <xf numFmtId="0" fontId="86" fillId="0" borderId="122" xfId="569" applyFont="1" applyFill="1" applyBorder="1" applyAlignment="1">
      <alignment horizontal="left"/>
    </xf>
    <xf numFmtId="0" fontId="105" fillId="0" borderId="122" xfId="569" applyFont="1" applyFill="1" applyBorder="1" applyAlignment="1">
      <alignment horizontal="left"/>
    </xf>
    <xf numFmtId="171" fontId="117" fillId="0" borderId="122" xfId="409" applyNumberFormat="1" applyFont="1" applyBorder="1" applyAlignment="1">
      <alignment horizontal="right"/>
    </xf>
    <xf numFmtId="3" fontId="105" fillId="0" borderId="122" xfId="569" applyNumberFormat="1" applyFont="1" applyBorder="1" applyAlignment="1">
      <alignment horizontal="center"/>
    </xf>
    <xf numFmtId="0" fontId="105" fillId="0" borderId="122" xfId="569" applyFont="1" applyBorder="1"/>
    <xf numFmtId="171" fontId="123" fillId="0" borderId="122" xfId="409" applyNumberFormat="1" applyFont="1" applyBorder="1" applyAlignment="1">
      <alignment horizontal="right"/>
    </xf>
    <xf numFmtId="3" fontId="122" fillId="0" borderId="122" xfId="569" applyNumberFormat="1" applyFont="1" applyBorder="1" applyAlignment="1">
      <alignment horizontal="center"/>
    </xf>
    <xf numFmtId="0" fontId="105" fillId="0" borderId="122" xfId="569" applyFont="1" applyFill="1" applyBorder="1"/>
    <xf numFmtId="171" fontId="126" fillId="0" borderId="122" xfId="409" applyNumberFormat="1" applyFont="1" applyBorder="1" applyAlignment="1">
      <alignment horizontal="right"/>
    </xf>
    <xf numFmtId="171" fontId="119" fillId="0" borderId="122" xfId="409" applyNumberFormat="1" applyFont="1" applyFill="1" applyBorder="1" applyAlignment="1">
      <alignment horizontal="right" wrapText="1"/>
    </xf>
    <xf numFmtId="3" fontId="107" fillId="0" borderId="122" xfId="569" applyNumberFormat="1" applyFont="1" applyFill="1" applyBorder="1" applyAlignment="1">
      <alignment horizontal="right" wrapText="1"/>
    </xf>
    <xf numFmtId="171" fontId="119" fillId="0" borderId="122" xfId="409" applyNumberFormat="1" applyFont="1" applyBorder="1" applyAlignment="1">
      <alignment horizontal="right" wrapText="1"/>
    </xf>
    <xf numFmtId="3" fontId="107" fillId="0" borderId="122" xfId="569" applyNumberFormat="1" applyFont="1" applyBorder="1" applyAlignment="1">
      <alignment horizontal="right" wrapText="1"/>
    </xf>
    <xf numFmtId="171" fontId="56" fillId="0" borderId="122" xfId="409" applyNumberFormat="1" applyFont="1" applyFill="1" applyBorder="1"/>
    <xf numFmtId="171" fontId="50" fillId="47" borderId="122" xfId="409" applyNumberFormat="1" applyFont="1" applyFill="1" applyBorder="1" applyAlignment="1">
      <alignment horizontal="right"/>
    </xf>
    <xf numFmtId="3" fontId="112" fillId="0" borderId="122" xfId="571" applyNumberFormat="1" applyFont="1" applyFill="1" applyBorder="1" applyAlignment="1">
      <alignment horizontal="center"/>
    </xf>
    <xf numFmtId="3" fontId="113" fillId="0" borderId="122" xfId="569" applyNumberFormat="1" applyFont="1" applyBorder="1" applyAlignment="1">
      <alignment horizontal="center"/>
    </xf>
    <xf numFmtId="3" fontId="112" fillId="0" borderId="122" xfId="569" applyNumberFormat="1" applyFont="1" applyBorder="1" applyAlignment="1">
      <alignment horizontal="center"/>
    </xf>
    <xf numFmtId="171" fontId="126" fillId="0" borderId="122" xfId="409" applyNumberFormat="1" applyFont="1" applyBorder="1" applyAlignment="1">
      <alignment horizontal="right" wrapText="1"/>
    </xf>
    <xf numFmtId="3" fontId="112" fillId="0" borderId="122" xfId="569" applyNumberFormat="1" applyFont="1" applyBorder="1" applyAlignment="1">
      <alignment horizontal="right" wrapText="1"/>
    </xf>
    <xf numFmtId="0" fontId="37" fillId="0" borderId="122" xfId="569" applyFont="1" applyFill="1" applyBorder="1" applyAlignment="1">
      <alignment horizontal="left"/>
    </xf>
    <xf numFmtId="3" fontId="37" fillId="26" borderId="122" xfId="569" applyNumberFormat="1" applyFont="1" applyFill="1" applyBorder="1" applyAlignment="1">
      <alignment horizontal="right"/>
    </xf>
    <xf numFmtId="3" fontId="37" fillId="0" borderId="122" xfId="569" applyNumberFormat="1" applyFont="1" applyFill="1" applyBorder="1" applyAlignment="1">
      <alignment horizontal="center"/>
    </xf>
    <xf numFmtId="0" fontId="106" fillId="0" borderId="122" xfId="569" applyFont="1" applyFill="1" applyBorder="1"/>
    <xf numFmtId="3" fontId="106" fillId="0" borderId="122" xfId="569" applyNumberFormat="1" applyFont="1" applyFill="1" applyBorder="1"/>
    <xf numFmtId="3" fontId="109" fillId="0" borderId="122" xfId="566" applyNumberFormat="1" applyFont="1" applyFill="1" applyBorder="1"/>
    <xf numFmtId="171" fontId="115" fillId="0" borderId="122" xfId="409" applyNumberFormat="1" applyFont="1" applyBorder="1" applyAlignment="1">
      <alignment horizontal="right"/>
    </xf>
    <xf numFmtId="3" fontId="124" fillId="0" borderId="122" xfId="569" applyNumberFormat="1" applyFont="1" applyBorder="1" applyAlignment="1">
      <alignment horizontal="left"/>
    </xf>
    <xf numFmtId="49" fontId="36" fillId="0" borderId="122" xfId="569" applyNumberFormat="1" applyFont="1" applyFill="1" applyBorder="1" applyAlignment="1">
      <alignment horizontal="center"/>
    </xf>
    <xf numFmtId="3" fontId="84" fillId="0" borderId="122" xfId="569" applyNumberFormat="1" applyFont="1" applyBorder="1" applyAlignment="1">
      <alignment horizontal="right"/>
    </xf>
    <xf numFmtId="1" fontId="44" fillId="0" borderId="122" xfId="409" applyNumberFormat="1" applyFont="1" applyBorder="1" applyAlignment="1">
      <alignment horizontal="left"/>
    </xf>
    <xf numFmtId="3" fontId="105" fillId="0" borderId="122" xfId="569" applyNumberFormat="1" applyFont="1" applyBorder="1" applyAlignment="1">
      <alignment horizontal="right"/>
    </xf>
    <xf numFmtId="3" fontId="107" fillId="0" borderId="122" xfId="569" applyNumberFormat="1" applyFont="1" applyBorder="1" applyAlignment="1">
      <alignment horizontal="left"/>
    </xf>
    <xf numFmtId="3" fontId="84" fillId="0" borderId="122" xfId="569" applyNumberFormat="1" applyFont="1" applyFill="1" applyBorder="1" applyAlignment="1">
      <alignment horizontal="right" wrapText="1"/>
    </xf>
    <xf numFmtId="1" fontId="44" fillId="0" borderId="122" xfId="409" applyNumberFormat="1" applyFont="1" applyFill="1" applyBorder="1" applyAlignment="1">
      <alignment horizontal="right" wrapText="1"/>
    </xf>
    <xf numFmtId="3" fontId="95" fillId="0" borderId="122" xfId="569" applyNumberFormat="1" applyFont="1" applyFill="1" applyBorder="1" applyAlignment="1">
      <alignment horizontal="right" wrapText="1"/>
    </xf>
    <xf numFmtId="1" fontId="105" fillId="0" borderId="122" xfId="569" applyNumberFormat="1" applyFont="1" applyFill="1" applyBorder="1" applyAlignment="1">
      <alignment horizontal="left"/>
    </xf>
    <xf numFmtId="1" fontId="84" fillId="0" borderId="122" xfId="569" applyNumberFormat="1" applyFont="1" applyFill="1" applyBorder="1" applyAlignment="1">
      <alignment horizontal="left"/>
    </xf>
    <xf numFmtId="1" fontId="105" fillId="0" borderId="122" xfId="569" applyNumberFormat="1" applyFont="1" applyFill="1" applyBorder="1" applyAlignment="1">
      <alignment horizontal="center"/>
    </xf>
    <xf numFmtId="1" fontId="44" fillId="0" borderId="122" xfId="409" applyNumberFormat="1" applyFont="1" applyFill="1" applyBorder="1" applyAlignment="1">
      <alignment horizontal="right"/>
    </xf>
    <xf numFmtId="3" fontId="95" fillId="30" borderId="122" xfId="569" applyNumberFormat="1" applyFont="1" applyFill="1" applyBorder="1" applyAlignment="1">
      <alignment horizontal="right"/>
    </xf>
    <xf numFmtId="1" fontId="95" fillId="0" borderId="122" xfId="569" applyNumberFormat="1" applyFont="1" applyFill="1" applyBorder="1" applyAlignment="1">
      <alignment horizontal="right"/>
    </xf>
    <xf numFmtId="3" fontId="67" fillId="40" borderId="122" xfId="569" applyNumberFormat="1" applyFont="1" applyFill="1" applyBorder="1" applyAlignment="1">
      <alignment horizontal="left"/>
    </xf>
    <xf numFmtId="3" fontId="67" fillId="30" borderId="122" xfId="569" applyNumberFormat="1" applyFont="1" applyFill="1" applyBorder="1" applyAlignment="1">
      <alignment horizontal="left"/>
    </xf>
    <xf numFmtId="1" fontId="67" fillId="0" borderId="122" xfId="569" applyNumberFormat="1" applyFont="1" applyFill="1" applyBorder="1" applyAlignment="1">
      <alignment horizontal="left"/>
    </xf>
    <xf numFmtId="0" fontId="6" fillId="0" borderId="122" xfId="569" applyFont="1" applyBorder="1"/>
    <xf numFmtId="0" fontId="6" fillId="26" borderId="122" xfId="569" applyFont="1" applyFill="1" applyBorder="1"/>
    <xf numFmtId="1" fontId="6" fillId="0" borderId="122" xfId="569" applyNumberFormat="1" applyFont="1" applyBorder="1"/>
    <xf numFmtId="171" fontId="44" fillId="0" borderId="122" xfId="409" applyNumberFormat="1" applyFont="1" applyFill="1" applyBorder="1" applyAlignment="1">
      <alignment horizontal="left" wrapText="1"/>
    </xf>
    <xf numFmtId="3" fontId="36" fillId="0" borderId="122" xfId="569" applyNumberFormat="1" applyFont="1" applyBorder="1" applyAlignment="1">
      <alignment horizontal="left" wrapText="1"/>
    </xf>
    <xf numFmtId="0" fontId="35" fillId="0" borderId="122" xfId="569" applyFont="1" applyFill="1" applyBorder="1"/>
    <xf numFmtId="3" fontId="84" fillId="0" borderId="122" xfId="569" applyNumberFormat="1" applyFont="1" applyBorder="1"/>
    <xf numFmtId="49" fontId="36" fillId="0" borderId="122" xfId="569" applyNumberFormat="1" applyFont="1" applyFill="1" applyBorder="1" applyAlignment="1">
      <alignment horizontal="left"/>
    </xf>
    <xf numFmtId="0" fontId="36" fillId="0" borderId="122" xfId="569" applyFont="1" applyFill="1" applyBorder="1" applyAlignment="1">
      <alignment horizontal="center"/>
    </xf>
    <xf numFmtId="0" fontId="44" fillId="0" borderId="122" xfId="0" applyFont="1" applyFill="1" applyBorder="1"/>
    <xf numFmtId="0" fontId="36" fillId="8" borderId="122" xfId="569" applyFont="1" applyFill="1" applyBorder="1"/>
    <xf numFmtId="0" fontId="31" fillId="3" borderId="122" xfId="569" applyFont="1" applyFill="1" applyBorder="1"/>
    <xf numFmtId="0" fontId="6" fillId="3" borderId="122" xfId="569" applyFont="1" applyFill="1" applyBorder="1"/>
    <xf numFmtId="3" fontId="37" fillId="3" borderId="122" xfId="569" applyNumberFormat="1" applyFont="1" applyFill="1" applyBorder="1" applyAlignment="1">
      <alignment horizontal="right"/>
    </xf>
    <xf numFmtId="3" fontId="86" fillId="3" borderId="122" xfId="569" applyNumberFormat="1" applyFont="1" applyFill="1" applyBorder="1"/>
    <xf numFmtId="171" fontId="50" fillId="51" borderId="122" xfId="409" applyNumberFormat="1" applyFont="1" applyFill="1" applyBorder="1" applyAlignment="1">
      <alignment horizontal="right"/>
    </xf>
    <xf numFmtId="0" fontId="80" fillId="7" borderId="122" xfId="569" applyFont="1" applyFill="1" applyBorder="1" applyAlignment="1">
      <alignment horizontal="center"/>
    </xf>
    <xf numFmtId="14" fontId="35" fillId="4" borderId="122" xfId="569" applyNumberFormat="1" applyFont="1" applyFill="1" applyBorder="1"/>
    <xf numFmtId="3" fontId="67" fillId="0" borderId="122" xfId="569" applyNumberFormat="1" applyFont="1" applyBorder="1" applyAlignment="1">
      <alignment horizontal="left"/>
    </xf>
    <xf numFmtId="3" fontId="103" fillId="4" borderId="122" xfId="569" applyNumberFormat="1" applyFont="1" applyFill="1" applyBorder="1"/>
    <xf numFmtId="3" fontId="104" fillId="0" borderId="122" xfId="569" applyNumberFormat="1" applyFont="1" applyBorder="1"/>
    <xf numFmtId="49" fontId="35" fillId="4" borderId="122" xfId="569" applyNumberFormat="1" applyFont="1" applyFill="1" applyBorder="1"/>
    <xf numFmtId="3" fontId="90" fillId="0" borderId="122" xfId="569" applyNumberFormat="1" applyFont="1" applyBorder="1"/>
    <xf numFmtId="1" fontId="44" fillId="0" borderId="122" xfId="409" applyNumberFormat="1" applyFont="1" applyFill="1" applyBorder="1" applyAlignment="1">
      <alignment horizontal="right" vertical="center"/>
    </xf>
    <xf numFmtId="3" fontId="37" fillId="0" borderId="122" xfId="569" applyNumberFormat="1" applyFont="1" applyFill="1" applyBorder="1" applyAlignment="1">
      <alignment horizontal="center" vertical="center"/>
    </xf>
    <xf numFmtId="3" fontId="37" fillId="0" borderId="122" xfId="569" applyNumberFormat="1" applyFont="1" applyFill="1" applyBorder="1" applyAlignment="1">
      <alignment horizontal="right" vertical="center"/>
    </xf>
    <xf numFmtId="3" fontId="44" fillId="40" borderId="122" xfId="409" applyNumberFormat="1" applyFont="1" applyFill="1" applyBorder="1" applyAlignment="1">
      <alignment horizontal="right" vertical="center"/>
    </xf>
    <xf numFmtId="3" fontId="84" fillId="40" borderId="122" xfId="569" applyNumberFormat="1" applyFont="1" applyFill="1" applyBorder="1" applyAlignment="1">
      <alignment horizontal="right" vertical="center"/>
    </xf>
    <xf numFmtId="1" fontId="36" fillId="0" borderId="122" xfId="569" applyNumberFormat="1" applyFont="1" applyBorder="1"/>
    <xf numFmtId="3" fontId="121" fillId="0" borderId="122" xfId="569" applyNumberFormat="1" applyFont="1" applyBorder="1"/>
    <xf numFmtId="3" fontId="121" fillId="0" borderId="122" xfId="569" applyNumberFormat="1" applyFont="1" applyBorder="1" applyAlignment="1">
      <alignment horizontal="left"/>
    </xf>
    <xf numFmtId="3" fontId="36" fillId="30" borderId="122" xfId="569" applyNumberFormat="1" applyFont="1" applyFill="1" applyBorder="1"/>
    <xf numFmtId="3" fontId="37" fillId="3" borderId="122" xfId="569" applyNumberFormat="1" applyFont="1" applyFill="1" applyBorder="1"/>
    <xf numFmtId="171" fontId="44" fillId="0" borderId="122" xfId="409" applyNumberFormat="1" applyFont="1" applyBorder="1"/>
    <xf numFmtId="171" fontId="50" fillId="52" borderId="122" xfId="409" applyNumberFormat="1" applyFont="1" applyFill="1" applyBorder="1"/>
    <xf numFmtId="0" fontId="43" fillId="4" borderId="122" xfId="569" applyFont="1" applyFill="1" applyBorder="1"/>
    <xf numFmtId="0" fontId="68" fillId="4" borderId="122" xfId="569" applyFont="1" applyFill="1" applyBorder="1"/>
    <xf numFmtId="0" fontId="43" fillId="4" borderId="122" xfId="569" applyFont="1" applyFill="1" applyBorder="1" applyAlignment="1">
      <alignment horizontal="center" vertical="center"/>
    </xf>
    <xf numFmtId="1" fontId="43" fillId="4" borderId="122" xfId="569" applyNumberFormat="1" applyFont="1" applyFill="1" applyBorder="1" applyAlignment="1">
      <alignment horizontal="center" vertical="center"/>
    </xf>
    <xf numFmtId="1" fontId="43" fillId="4" borderId="122" xfId="569" applyNumberFormat="1" applyFont="1" applyFill="1" applyBorder="1" applyAlignment="1">
      <alignment horizontal="center" vertical="center" wrapText="1"/>
    </xf>
    <xf numFmtId="1" fontId="37" fillId="4" borderId="122" xfId="569" applyNumberFormat="1" applyFont="1" applyFill="1" applyBorder="1" applyAlignment="1">
      <alignment horizontal="center" vertical="center" wrapText="1"/>
    </xf>
    <xf numFmtId="1" fontId="55" fillId="48" borderId="122" xfId="409" applyNumberFormat="1" applyFont="1" applyFill="1" applyBorder="1" applyAlignment="1">
      <alignment horizontal="center" vertical="center"/>
    </xf>
    <xf numFmtId="0" fontId="68" fillId="0" borderId="122" xfId="569" applyFont="1" applyBorder="1"/>
    <xf numFmtId="0" fontId="6" fillId="4" borderId="122" xfId="569" applyFont="1" applyFill="1" applyBorder="1"/>
    <xf numFmtId="3" fontId="36" fillId="4" borderId="122" xfId="569" applyNumberFormat="1" applyFont="1" applyFill="1" applyBorder="1"/>
    <xf numFmtId="3" fontId="86" fillId="4" borderId="122" xfId="569" applyNumberFormat="1" applyFont="1" applyFill="1" applyBorder="1" applyAlignment="1">
      <alignment horizontal="right"/>
    </xf>
    <xf numFmtId="3" fontId="36" fillId="4" borderId="122" xfId="569" applyNumberFormat="1" applyFont="1" applyFill="1" applyBorder="1" applyAlignment="1">
      <alignment horizontal="right"/>
    </xf>
    <xf numFmtId="3" fontId="98" fillId="0" borderId="83" xfId="0" applyNumberFormat="1" applyFont="1" applyFill="1" applyBorder="1"/>
    <xf numFmtId="171" fontId="44" fillId="45" borderId="122" xfId="409" applyNumberFormat="1" applyFont="1" applyFill="1" applyBorder="1" applyAlignment="1">
      <alignment horizontal="left" wrapText="1"/>
    </xf>
    <xf numFmtId="3" fontId="105" fillId="0" borderId="122" xfId="569" applyNumberFormat="1" applyFont="1" applyBorder="1" applyAlignment="1">
      <alignment horizontal="left"/>
    </xf>
    <xf numFmtId="3" fontId="84" fillId="0" borderId="122" xfId="569" applyNumberFormat="1" applyFont="1" applyBorder="1" applyAlignment="1">
      <alignment horizontal="center"/>
    </xf>
    <xf numFmtId="49" fontId="84" fillId="0" borderId="0" xfId="569" applyNumberFormat="1" applyFont="1" applyFill="1" applyBorder="1"/>
    <xf numFmtId="49" fontId="6" fillId="0" borderId="0" xfId="569" applyNumberFormat="1" applyFont="1" applyFill="1" applyBorder="1"/>
    <xf numFmtId="49" fontId="32" fillId="0" borderId="0" xfId="569" applyNumberFormat="1" applyFont="1" applyFill="1" applyBorder="1" applyAlignment="1"/>
    <xf numFmtId="49" fontId="32" fillId="0" borderId="0" xfId="569" applyNumberFormat="1" applyFont="1" applyFill="1" applyBorder="1" applyAlignment="1">
      <alignment horizontal="center"/>
    </xf>
    <xf numFmtId="49" fontId="31" fillId="0" borderId="0" xfId="569" applyNumberFormat="1" applyFont="1" applyFill="1" applyBorder="1" applyAlignment="1">
      <alignment horizontal="justify" vertical="center"/>
    </xf>
    <xf numFmtId="49" fontId="35" fillId="0" borderId="0" xfId="569" applyNumberFormat="1" applyFont="1" applyFill="1" applyBorder="1" applyAlignment="1">
      <alignment horizontal="right" vertical="top"/>
    </xf>
    <xf numFmtId="49" fontId="37" fillId="0" borderId="0" xfId="569" applyNumberFormat="1" applyFont="1" applyFill="1" applyBorder="1" applyAlignment="1">
      <alignment horizontal="right"/>
    </xf>
    <xf numFmtId="49" fontId="37" fillId="0" borderId="0" xfId="569" applyNumberFormat="1" applyFont="1" applyFill="1" applyBorder="1" applyAlignment="1"/>
    <xf numFmtId="49" fontId="36" fillId="0" borderId="0" xfId="569" applyNumberFormat="1" applyFont="1" applyFill="1" applyBorder="1" applyAlignment="1">
      <alignment horizontal="right"/>
    </xf>
    <xf numFmtId="49" fontId="38" fillId="0" borderId="0" xfId="569" applyNumberFormat="1" applyFont="1" applyFill="1" applyBorder="1" applyAlignment="1">
      <alignment horizontal="left"/>
    </xf>
    <xf numFmtId="49" fontId="36" fillId="0" borderId="0" xfId="569" applyNumberFormat="1" applyFont="1" applyFill="1" applyBorder="1" applyAlignment="1">
      <alignment horizontal="center"/>
    </xf>
    <xf numFmtId="49" fontId="35" fillId="0" borderId="0" xfId="569" applyNumberFormat="1" applyFont="1" applyFill="1" applyBorder="1" applyAlignment="1">
      <alignment horizontal="center"/>
    </xf>
    <xf numFmtId="49" fontId="31" fillId="0" borderId="0" xfId="569" applyNumberFormat="1" applyFont="1" applyFill="1" applyBorder="1" applyAlignment="1">
      <alignment horizontal="center" vertical="center"/>
    </xf>
    <xf numFmtId="49" fontId="35" fillId="0" borderId="0" xfId="569" applyNumberFormat="1" applyFont="1" applyFill="1" applyBorder="1" applyAlignment="1">
      <alignment horizontal="right"/>
    </xf>
    <xf numFmtId="49" fontId="36" fillId="8" borderId="0" xfId="569" applyNumberFormat="1" applyFont="1" applyFill="1" applyBorder="1" applyAlignment="1">
      <alignment horizontal="right"/>
    </xf>
    <xf numFmtId="49" fontId="6" fillId="0" borderId="0" xfId="569" applyNumberFormat="1" applyFont="1" applyFill="1" applyBorder="1" applyAlignment="1">
      <alignment horizontal="right"/>
    </xf>
    <xf numFmtId="49" fontId="36" fillId="0" borderId="0" xfId="569" applyNumberFormat="1" applyFont="1" applyFill="1" applyBorder="1"/>
    <xf numFmtId="49" fontId="42" fillId="0" borderId="0" xfId="569" applyNumberFormat="1" applyFont="1" applyFill="1" applyBorder="1" applyAlignment="1">
      <alignment horizontal="right"/>
    </xf>
    <xf numFmtId="49" fontId="35" fillId="0" borderId="0" xfId="569" applyNumberFormat="1" applyFont="1" applyFill="1" applyBorder="1"/>
    <xf numFmtId="49" fontId="37" fillId="0" borderId="0" xfId="569" applyNumberFormat="1" applyFont="1" applyFill="1" applyBorder="1"/>
    <xf numFmtId="49" fontId="31" fillId="0" borderId="0" xfId="569" applyNumberFormat="1" applyFont="1" applyFill="1" applyBorder="1" applyAlignment="1"/>
    <xf numFmtId="49" fontId="31" fillId="0" borderId="0" xfId="569" applyNumberFormat="1" applyFont="1" applyFill="1" applyBorder="1"/>
    <xf numFmtId="49" fontId="86" fillId="0" borderId="0" xfId="569" applyNumberFormat="1" applyFont="1" applyFill="1" applyBorder="1"/>
    <xf numFmtId="0" fontId="36" fillId="45" borderId="122" xfId="569" applyFont="1" applyFill="1" applyBorder="1"/>
    <xf numFmtId="3" fontId="84" fillId="0" borderId="122" xfId="569" applyNumberFormat="1" applyFont="1" applyBorder="1" applyAlignment="1">
      <alignment horizontal="left"/>
    </xf>
    <xf numFmtId="0" fontId="0" fillId="0" borderId="0" xfId="0"/>
    <xf numFmtId="3" fontId="52" fillId="7" borderId="45" xfId="0" applyNumberFormat="1" applyFont="1" applyFill="1" applyBorder="1" applyAlignment="1"/>
    <xf numFmtId="3" fontId="44" fillId="52" borderId="113" xfId="0" applyNumberFormat="1" applyFont="1" applyFill="1" applyBorder="1"/>
    <xf numFmtId="3" fontId="44" fillId="45" borderId="113" xfId="0" applyNumberFormat="1" applyFont="1" applyFill="1" applyBorder="1"/>
    <xf numFmtId="0" fontId="44" fillId="0" borderId="122" xfId="0" applyFont="1" applyBorder="1"/>
    <xf numFmtId="171" fontId="50" fillId="0" borderId="122" xfId="409" applyNumberFormat="1" applyFont="1" applyFill="1" applyBorder="1" applyAlignment="1">
      <alignment horizontal="center"/>
    </xf>
    <xf numFmtId="3" fontId="50" fillId="0" borderId="122" xfId="0" applyNumberFormat="1" applyFont="1" applyBorder="1"/>
    <xf numFmtId="171" fontId="50" fillId="46" borderId="122" xfId="409" applyNumberFormat="1" applyFont="1" applyFill="1" applyBorder="1" applyAlignment="1">
      <alignment horizontal="center"/>
    </xf>
    <xf numFmtId="3" fontId="50" fillId="0" borderId="122" xfId="409" applyNumberFormat="1" applyFont="1" applyFill="1" applyBorder="1" applyAlignment="1">
      <alignment horizontal="right"/>
    </xf>
    <xf numFmtId="3" fontId="44" fillId="0" borderId="122" xfId="409" applyNumberFormat="1" applyFont="1" applyFill="1" applyBorder="1" applyAlignment="1">
      <alignment horizontal="left"/>
    </xf>
    <xf numFmtId="3" fontId="44" fillId="45" borderId="122" xfId="409" applyNumberFormat="1" applyFont="1" applyFill="1" applyBorder="1" applyAlignment="1">
      <alignment horizontal="left"/>
    </xf>
    <xf numFmtId="171" fontId="44" fillId="46" borderId="122" xfId="409" applyNumberFormat="1" applyFont="1" applyFill="1" applyBorder="1" applyAlignment="1">
      <alignment horizontal="center"/>
    </xf>
    <xf numFmtId="3" fontId="44" fillId="0" borderId="122" xfId="409" applyNumberFormat="1" applyFont="1" applyBorder="1" applyAlignment="1">
      <alignment horizontal="left"/>
    </xf>
    <xf numFmtId="0" fontId="31" fillId="7" borderId="122" xfId="569" applyFont="1" applyFill="1" applyBorder="1"/>
    <xf numFmtId="0" fontId="32" fillId="7" borderId="122" xfId="569" applyFont="1" applyFill="1" applyBorder="1" applyAlignment="1">
      <alignment vertical="top"/>
    </xf>
    <xf numFmtId="0" fontId="31" fillId="7" borderId="122" xfId="569" applyFont="1" applyFill="1" applyBorder="1" applyAlignment="1">
      <alignment horizontal="center"/>
    </xf>
    <xf numFmtId="0" fontId="31" fillId="7" borderId="122" xfId="569" applyFont="1" applyFill="1" applyBorder="1" applyAlignment="1">
      <alignment horizontal="justify" vertical="center"/>
    </xf>
    <xf numFmtId="0" fontId="31" fillId="7" borderId="122" xfId="569" applyFont="1" applyFill="1" applyBorder="1" applyAlignment="1">
      <alignment horizontal="center" vertical="center"/>
    </xf>
    <xf numFmtId="0" fontId="43" fillId="7" borderId="122" xfId="569" applyNumberFormat="1" applyFont="1" applyFill="1" applyBorder="1" applyAlignment="1">
      <alignment horizontal="center" vertical="center"/>
    </xf>
    <xf numFmtId="0" fontId="43" fillId="7" borderId="122" xfId="569" applyFont="1" applyFill="1" applyBorder="1" applyAlignment="1">
      <alignment horizontal="center" vertical="center" wrapText="1"/>
    </xf>
    <xf numFmtId="1" fontId="55" fillId="49" borderId="122" xfId="409" applyNumberFormat="1" applyFont="1" applyFill="1" applyBorder="1" applyAlignment="1">
      <alignment horizontal="center" vertical="center"/>
    </xf>
    <xf numFmtId="1" fontId="31" fillId="7" borderId="122" xfId="569" applyNumberFormat="1" applyFont="1" applyFill="1" applyBorder="1" applyAlignment="1">
      <alignment horizontal="center" vertical="center"/>
    </xf>
    <xf numFmtId="171" fontId="44" fillId="45" borderId="122" xfId="409" applyNumberFormat="1" applyFont="1" applyFill="1" applyBorder="1" applyAlignment="1">
      <alignment horizontal="center"/>
    </xf>
    <xf numFmtId="3" fontId="44" fillId="0" borderId="122" xfId="409" applyNumberFormat="1" applyFont="1" applyBorder="1" applyAlignment="1"/>
    <xf numFmtId="3" fontId="35" fillId="4" borderId="122" xfId="569" applyNumberFormat="1" applyFont="1" applyFill="1" applyBorder="1" applyAlignment="1">
      <alignment horizontal="right"/>
    </xf>
    <xf numFmtId="4" fontId="35" fillId="4" borderId="122" xfId="569" applyNumberFormat="1" applyFont="1" applyFill="1" applyBorder="1" applyAlignment="1">
      <alignment horizontal="right"/>
    </xf>
    <xf numFmtId="3" fontId="35" fillId="4" borderId="122" xfId="569" applyNumberFormat="1" applyFont="1" applyFill="1" applyBorder="1" applyAlignment="1">
      <alignment horizontal="center"/>
    </xf>
    <xf numFmtId="171" fontId="50" fillId="50" borderId="122" xfId="409" applyNumberFormat="1" applyFont="1" applyFill="1" applyBorder="1" applyAlignment="1">
      <alignment horizontal="center"/>
    </xf>
    <xf numFmtId="171" fontId="52" fillId="46" borderId="122" xfId="409" applyNumberFormat="1" applyFont="1" applyFill="1" applyBorder="1" applyAlignment="1">
      <alignment horizontal="center" vertical="top"/>
    </xf>
    <xf numFmtId="171" fontId="52" fillId="46" borderId="122" xfId="409" applyNumberFormat="1" applyFont="1" applyFill="1" applyBorder="1" applyAlignment="1">
      <alignment horizontal="center"/>
    </xf>
    <xf numFmtId="0" fontId="32" fillId="7" borderId="122" xfId="569" applyFont="1" applyFill="1" applyBorder="1" applyAlignment="1">
      <alignment horizontal="center"/>
    </xf>
    <xf numFmtId="3" fontId="44" fillId="40" borderId="122" xfId="409" applyNumberFormat="1" applyFont="1" applyFill="1" applyBorder="1" applyAlignment="1">
      <alignment horizontal="right"/>
    </xf>
    <xf numFmtId="3" fontId="40" fillId="0" borderId="122" xfId="569" applyNumberFormat="1" applyFont="1" applyBorder="1" applyAlignment="1">
      <alignment horizontal="right"/>
    </xf>
    <xf numFmtId="171" fontId="44" fillId="47" borderId="122" xfId="409" applyNumberFormat="1" applyFont="1" applyFill="1" applyBorder="1" applyAlignment="1">
      <alignment horizontal="center"/>
    </xf>
    <xf numFmtId="3" fontId="44" fillId="0" borderId="122" xfId="409" applyNumberFormat="1" applyFont="1" applyFill="1" applyBorder="1" applyAlignment="1">
      <alignment horizontal="center"/>
    </xf>
    <xf numFmtId="3" fontId="44" fillId="0" borderId="122" xfId="409" applyNumberFormat="1" applyFont="1" applyBorder="1" applyAlignment="1">
      <alignment horizontal="center"/>
    </xf>
    <xf numFmtId="0" fontId="36" fillId="0" borderId="122" xfId="569" applyFont="1" applyBorder="1" applyAlignment="1"/>
    <xf numFmtId="3" fontId="31" fillId="7" borderId="122" xfId="569" applyNumberFormat="1" applyFont="1" applyFill="1" applyBorder="1" applyAlignment="1">
      <alignment horizontal="center" vertical="center"/>
    </xf>
    <xf numFmtId="3" fontId="36" fillId="0" borderId="122" xfId="569" applyNumberFormat="1" applyFont="1" applyFill="1" applyBorder="1" applyAlignment="1">
      <alignment horizontal="center"/>
    </xf>
    <xf numFmtId="4" fontId="36" fillId="0" borderId="122" xfId="569" applyNumberFormat="1" applyFont="1" applyBorder="1" applyAlignment="1">
      <alignment horizontal="right"/>
    </xf>
    <xf numFmtId="171" fontId="50" fillId="51" borderId="122" xfId="409" applyNumberFormat="1" applyFont="1" applyFill="1" applyBorder="1" applyAlignment="1">
      <alignment horizontal="center"/>
    </xf>
    <xf numFmtId="0" fontId="31" fillId="7" borderId="122" xfId="569" applyFont="1" applyFill="1" applyBorder="1" applyAlignment="1">
      <alignment vertical="top"/>
    </xf>
    <xf numFmtId="4" fontId="31" fillId="7" borderId="122" xfId="569" applyNumberFormat="1" applyFont="1" applyFill="1" applyBorder="1" applyAlignment="1">
      <alignment horizontal="justify" vertical="top"/>
    </xf>
    <xf numFmtId="2" fontId="31" fillId="7" borderId="122" xfId="569" applyNumberFormat="1" applyFont="1" applyFill="1" applyBorder="1" applyAlignment="1">
      <alignment horizontal="justify" vertical="center"/>
    </xf>
    <xf numFmtId="4" fontId="35" fillId="4" borderId="122" xfId="569" applyNumberFormat="1" applyFont="1" applyFill="1" applyBorder="1"/>
    <xf numFmtId="0" fontId="0" fillId="56" borderId="122" xfId="0" applyFill="1" applyBorder="1"/>
    <xf numFmtId="0" fontId="55" fillId="56" borderId="122" xfId="0" applyFont="1" applyFill="1" applyBorder="1"/>
    <xf numFmtId="0" fontId="52" fillId="56" borderId="122" xfId="0" applyFont="1" applyFill="1" applyBorder="1" applyAlignment="1">
      <alignment horizontal="center" vertical="center"/>
    </xf>
    <xf numFmtId="0" fontId="52" fillId="56" borderId="122" xfId="0" applyFont="1" applyFill="1" applyBorder="1" applyAlignment="1">
      <alignment horizontal="center"/>
    </xf>
    <xf numFmtId="0" fontId="0" fillId="48" borderId="122" xfId="0" applyFill="1" applyBorder="1"/>
    <xf numFmtId="0" fontId="50" fillId="48" borderId="122" xfId="0" applyFont="1" applyFill="1" applyBorder="1"/>
    <xf numFmtId="171" fontId="50" fillId="48" borderId="122" xfId="0" applyNumberFormat="1" applyFont="1" applyFill="1" applyBorder="1"/>
    <xf numFmtId="171" fontId="50" fillId="48" borderId="122" xfId="409" applyNumberFormat="1" applyFont="1" applyFill="1" applyBorder="1" applyAlignment="1">
      <alignment horizontal="center"/>
    </xf>
    <xf numFmtId="171" fontId="134" fillId="0" borderId="122" xfId="409" applyNumberFormat="1" applyFont="1" applyFill="1" applyBorder="1" applyAlignment="1">
      <alignment horizontal="center"/>
    </xf>
    <xf numFmtId="171" fontId="44" fillId="62" borderId="122" xfId="409" applyNumberFormat="1" applyFont="1" applyFill="1" applyBorder="1" applyAlignment="1">
      <alignment horizontal="center"/>
    </xf>
    <xf numFmtId="4" fontId="37" fillId="3" borderId="122" xfId="569" applyNumberFormat="1" applyFont="1" applyFill="1" applyBorder="1"/>
    <xf numFmtId="4" fontId="84" fillId="0" borderId="122" xfId="569" applyNumberFormat="1" applyFont="1" applyFill="1" applyBorder="1" applyAlignment="1">
      <alignment horizontal="justify" vertical="top"/>
    </xf>
    <xf numFmtId="2" fontId="84" fillId="0" borderId="122" xfId="569" applyNumberFormat="1" applyFont="1" applyFill="1" applyBorder="1" applyAlignment="1">
      <alignment horizontal="justify" vertical="center"/>
    </xf>
    <xf numFmtId="0" fontId="34" fillId="4" borderId="122" xfId="569" applyFont="1" applyFill="1" applyBorder="1"/>
    <xf numFmtId="3" fontId="36" fillId="40" borderId="122" xfId="569" applyNumberFormat="1" applyFont="1" applyFill="1" applyBorder="1" applyAlignment="1">
      <alignment horizontal="right"/>
    </xf>
    <xf numFmtId="4" fontId="86" fillId="45" borderId="122" xfId="569" applyNumberFormat="1" applyFont="1" applyFill="1" applyBorder="1"/>
    <xf numFmtId="3" fontId="86" fillId="47" borderId="122" xfId="569" applyNumberFormat="1" applyFont="1" applyFill="1" applyBorder="1"/>
    <xf numFmtId="171" fontId="50" fillId="47" borderId="122" xfId="409" applyNumberFormat="1" applyFont="1" applyFill="1" applyBorder="1" applyAlignment="1">
      <alignment horizontal="center"/>
    </xf>
    <xf numFmtId="0" fontId="84" fillId="0" borderId="122" xfId="569" applyFont="1" applyBorder="1" applyAlignment="1">
      <alignment horizontal="left"/>
    </xf>
    <xf numFmtId="4" fontId="86" fillId="0" borderId="122" xfId="569" applyNumberFormat="1" applyFont="1" applyBorder="1"/>
    <xf numFmtId="3" fontId="86" fillId="0" borderId="122" xfId="569" applyNumberFormat="1" applyFont="1" applyBorder="1"/>
    <xf numFmtId="0" fontId="85" fillId="4" borderId="122" xfId="569" applyFont="1" applyFill="1" applyBorder="1"/>
    <xf numFmtId="4" fontId="86" fillId="4" borderId="122" xfId="569" applyNumberFormat="1" applyFont="1" applyFill="1" applyBorder="1"/>
    <xf numFmtId="171" fontId="50" fillId="0" borderId="122" xfId="409" applyNumberFormat="1" applyFont="1" applyFill="1" applyBorder="1"/>
    <xf numFmtId="171" fontId="136" fillId="0" borderId="122" xfId="409" applyNumberFormat="1" applyFont="1" applyFill="1" applyBorder="1"/>
    <xf numFmtId="1" fontId="43" fillId="7" borderId="122" xfId="569" applyNumberFormat="1" applyFont="1" applyFill="1" applyBorder="1" applyAlignment="1">
      <alignment horizontal="center" vertical="center" wrapText="1"/>
    </xf>
    <xf numFmtId="171" fontId="137" fillId="0" borderId="122" xfId="409" applyNumberFormat="1" applyFont="1" applyFill="1" applyBorder="1" applyAlignment="1">
      <alignment horizontal="right"/>
    </xf>
    <xf numFmtId="3" fontId="138" fillId="0" borderId="122" xfId="569" applyNumberFormat="1" applyFont="1" applyFill="1" applyBorder="1"/>
    <xf numFmtId="3" fontId="138" fillId="0" borderId="122" xfId="569" applyNumberFormat="1" applyFont="1" applyFill="1" applyBorder="1" applyAlignment="1">
      <alignment horizontal="right"/>
    </xf>
    <xf numFmtId="171" fontId="137" fillId="0" borderId="122" xfId="409" applyNumberFormat="1" applyFont="1" applyFill="1" applyBorder="1"/>
    <xf numFmtId="171" fontId="137" fillId="45" borderId="122" xfId="409" applyNumberFormat="1" applyFont="1" applyFill="1" applyBorder="1"/>
    <xf numFmtId="171" fontId="137" fillId="0" borderId="122" xfId="409" applyNumberFormat="1" applyFont="1" applyBorder="1" applyAlignment="1">
      <alignment horizontal="right"/>
    </xf>
    <xf numFmtId="3" fontId="138" fillId="0" borderId="122" xfId="569" applyNumberFormat="1" applyFont="1" applyBorder="1"/>
    <xf numFmtId="0" fontId="0" fillId="0" borderId="0" xfId="0"/>
    <xf numFmtId="0" fontId="44" fillId="0" borderId="17" xfId="0" applyFont="1" applyBorder="1" applyAlignment="1">
      <alignment horizontal="center"/>
    </xf>
    <xf numFmtId="0" fontId="44" fillId="8" borderId="78" xfId="0" applyFont="1" applyFill="1" applyBorder="1"/>
    <xf numFmtId="0" fontId="0" fillId="0" borderId="0" xfId="0"/>
    <xf numFmtId="0" fontId="44" fillId="0" borderId="122" xfId="0" applyFont="1" applyBorder="1"/>
    <xf numFmtId="0" fontId="86" fillId="47" borderId="122" xfId="571" applyFont="1" applyFill="1" applyBorder="1"/>
    <xf numFmtId="3" fontId="86" fillId="47" borderId="122" xfId="571" applyNumberFormat="1" applyFont="1" applyFill="1" applyBorder="1"/>
    <xf numFmtId="3" fontId="86" fillId="47" borderId="122" xfId="571" applyNumberFormat="1" applyFont="1" applyFill="1" applyBorder="1" applyAlignment="1">
      <alignment horizontal="center"/>
    </xf>
    <xf numFmtId="0" fontId="35" fillId="46" borderId="122" xfId="569" applyFont="1" applyFill="1" applyBorder="1"/>
    <xf numFmtId="3" fontId="35" fillId="46" borderId="122" xfId="569" applyNumberFormat="1" applyFont="1" applyFill="1" applyBorder="1" applyAlignment="1">
      <alignment horizontal="right"/>
    </xf>
    <xf numFmtId="3" fontId="35" fillId="46" borderId="122" xfId="569" applyNumberFormat="1" applyFont="1" applyFill="1" applyBorder="1"/>
    <xf numFmtId="3" fontId="86" fillId="47" borderId="122" xfId="571" applyNumberFormat="1" applyFont="1" applyFill="1" applyBorder="1" applyAlignment="1">
      <alignment horizontal="right"/>
    </xf>
    <xf numFmtId="3" fontId="86" fillId="45" borderId="122" xfId="569" applyNumberFormat="1" applyFont="1" applyFill="1" applyBorder="1" applyAlignment="1">
      <alignment horizontal="right"/>
    </xf>
    <xf numFmtId="3" fontId="86" fillId="47" borderId="122" xfId="569" applyNumberFormat="1" applyFont="1" applyFill="1" applyBorder="1" applyAlignment="1">
      <alignment horizontal="right"/>
    </xf>
    <xf numFmtId="3" fontId="44" fillId="0" borderId="122" xfId="409" applyNumberFormat="1" applyFont="1" applyBorder="1" applyAlignment="1">
      <alignment horizontal="right" wrapText="1"/>
    </xf>
    <xf numFmtId="0" fontId="44" fillId="9" borderId="122" xfId="0" applyFont="1" applyFill="1" applyBorder="1" applyAlignment="1">
      <alignment horizontal="center"/>
    </xf>
    <xf numFmtId="0" fontId="26" fillId="9" borderId="122" xfId="0" applyFont="1" applyFill="1" applyBorder="1" applyAlignment="1">
      <alignment horizontal="left"/>
    </xf>
    <xf numFmtId="49" fontId="46" fillId="9" borderId="122" xfId="0" applyNumberFormat="1" applyFont="1" applyFill="1" applyBorder="1" applyAlignment="1">
      <alignment horizontal="center"/>
    </xf>
    <xf numFmtId="0" fontId="0" fillId="9" borderId="122" xfId="0" applyFont="1" applyFill="1" applyBorder="1"/>
    <xf numFmtId="49" fontId="44" fillId="9" borderId="122" xfId="0" applyNumberFormat="1" applyFont="1" applyFill="1" applyBorder="1" applyAlignment="1">
      <alignment horizontal="center"/>
    </xf>
    <xf numFmtId="0" fontId="48" fillId="9" borderId="122" xfId="0" applyFont="1" applyFill="1" applyBorder="1" applyAlignment="1"/>
    <xf numFmtId="0" fontId="48" fillId="9" borderId="122" xfId="0" applyFont="1" applyFill="1" applyBorder="1" applyAlignment="1">
      <alignment horizontal="center"/>
    </xf>
    <xf numFmtId="167" fontId="0" fillId="9" borderId="122" xfId="0" applyNumberFormat="1" applyFont="1" applyFill="1" applyBorder="1" applyAlignment="1">
      <alignment horizontal="center"/>
    </xf>
    <xf numFmtId="1" fontId="0" fillId="9" borderId="122" xfId="0" applyNumberFormat="1" applyFont="1" applyFill="1" applyBorder="1" applyAlignment="1">
      <alignment horizontal="center" vertical="center"/>
    </xf>
    <xf numFmtId="0" fontId="44" fillId="0" borderId="122" xfId="0" applyFont="1" applyFill="1" applyBorder="1" applyAlignment="1">
      <alignment horizontal="center"/>
    </xf>
    <xf numFmtId="0" fontId="49" fillId="7" borderId="122" xfId="0" applyFont="1" applyFill="1" applyBorder="1" applyAlignment="1">
      <alignment horizontal="left" vertical="center"/>
    </xf>
    <xf numFmtId="0" fontId="49" fillId="7" borderId="122" xfId="0" applyFont="1" applyFill="1" applyBorder="1" applyAlignment="1">
      <alignment vertical="center"/>
    </xf>
    <xf numFmtId="0" fontId="57" fillId="7" borderId="122" xfId="0" applyFont="1" applyFill="1" applyBorder="1" applyAlignment="1"/>
    <xf numFmtId="0" fontId="49" fillId="7" borderId="122" xfId="0" applyFont="1" applyFill="1" applyBorder="1" applyAlignment="1"/>
    <xf numFmtId="167" fontId="49" fillId="7" borderId="122" xfId="0" applyNumberFormat="1" applyFont="1" applyFill="1" applyBorder="1" applyAlignment="1"/>
    <xf numFmtId="3" fontId="50" fillId="7" borderId="122" xfId="0" applyNumberFormat="1" applyFont="1" applyFill="1" applyBorder="1" applyAlignment="1"/>
    <xf numFmtId="3" fontId="52" fillId="7" borderId="122" xfId="0" applyNumberFormat="1" applyFont="1" applyFill="1" applyBorder="1" applyAlignment="1"/>
    <xf numFmtId="0" fontId="50" fillId="7" borderId="122" xfId="0" applyFont="1" applyFill="1" applyBorder="1"/>
    <xf numFmtId="0" fontId="44" fillId="7" borderId="122" xfId="0" applyFont="1" applyFill="1" applyBorder="1" applyAlignment="1"/>
    <xf numFmtId="167" fontId="52" fillId="7" borderId="122" xfId="0" applyNumberFormat="1" applyFont="1" applyFill="1" applyBorder="1"/>
    <xf numFmtId="3" fontId="50" fillId="7" borderId="122" xfId="0" applyNumberFormat="1" applyFont="1" applyFill="1" applyBorder="1"/>
    <xf numFmtId="3" fontId="52" fillId="7" borderId="122" xfId="0" applyNumberFormat="1" applyFont="1" applyFill="1" applyBorder="1"/>
    <xf numFmtId="0" fontId="50" fillId="27" borderId="122" xfId="0" applyFont="1" applyFill="1" applyBorder="1"/>
    <xf numFmtId="0" fontId="44" fillId="27" borderId="122" xfId="0" applyFont="1" applyFill="1" applyBorder="1" applyAlignment="1"/>
    <xf numFmtId="167" fontId="52" fillId="27" borderId="122" xfId="0" applyNumberFormat="1" applyFont="1" applyFill="1" applyBorder="1"/>
    <xf numFmtId="3" fontId="52" fillId="27" borderId="122" xfId="0" applyNumberFormat="1" applyFont="1" applyFill="1" applyBorder="1"/>
    <xf numFmtId="3" fontId="50" fillId="27" borderId="122" xfId="0" applyNumberFormat="1" applyFont="1" applyFill="1" applyBorder="1"/>
    <xf numFmtId="0" fontId="50" fillId="29" borderId="122" xfId="0" applyFont="1" applyFill="1" applyBorder="1"/>
    <xf numFmtId="0" fontId="44" fillId="29" borderId="122" xfId="0" applyFont="1" applyFill="1" applyBorder="1" applyAlignment="1"/>
    <xf numFmtId="167" fontId="52" fillId="29" borderId="122" xfId="0" applyNumberFormat="1" applyFont="1" applyFill="1" applyBorder="1"/>
    <xf numFmtId="3" fontId="52" fillId="29" borderId="122" xfId="0" applyNumberFormat="1" applyFont="1" applyFill="1" applyBorder="1"/>
    <xf numFmtId="3" fontId="50" fillId="29" borderId="122" xfId="0" applyNumberFormat="1" applyFont="1" applyFill="1" applyBorder="1"/>
    <xf numFmtId="0" fontId="51" fillId="10" borderId="122" xfId="0" applyFont="1" applyFill="1" applyBorder="1" applyAlignment="1">
      <alignment horizontal="center"/>
    </xf>
    <xf numFmtId="0" fontId="53" fillId="10" borderId="122" xfId="0" applyFont="1" applyFill="1" applyBorder="1" applyAlignment="1"/>
    <xf numFmtId="0" fontId="44" fillId="10" borderId="122" xfId="0" applyFont="1" applyFill="1" applyBorder="1" applyAlignment="1"/>
    <xf numFmtId="167" fontId="52" fillId="10" borderId="122" xfId="0" applyNumberFormat="1" applyFont="1" applyFill="1" applyBorder="1" applyAlignment="1"/>
    <xf numFmtId="3" fontId="52" fillId="10" borderId="122" xfId="0" applyNumberFormat="1" applyFont="1" applyFill="1" applyBorder="1" applyAlignment="1"/>
    <xf numFmtId="0" fontId="51" fillId="0" borderId="122" xfId="0" applyFont="1" applyFill="1" applyBorder="1" applyAlignment="1">
      <alignment horizontal="center"/>
    </xf>
    <xf numFmtId="0" fontId="53" fillId="0" borderId="122" xfId="0" applyFont="1" applyFill="1" applyBorder="1" applyAlignment="1"/>
    <xf numFmtId="0" fontId="0" fillId="7" borderId="122" xfId="0" applyFont="1" applyFill="1" applyBorder="1"/>
    <xf numFmtId="167" fontId="50" fillId="7" borderId="122" xfId="0" applyNumberFormat="1" applyFont="1" applyFill="1" applyBorder="1"/>
    <xf numFmtId="49" fontId="54" fillId="15" borderId="122" xfId="0" applyNumberFormat="1" applyFont="1" applyFill="1" applyBorder="1" applyAlignment="1">
      <alignment horizontal="center"/>
    </xf>
    <xf numFmtId="49" fontId="52" fillId="15" borderId="122" xfId="0" applyNumberFormat="1" applyFont="1" applyFill="1" applyBorder="1" applyAlignment="1">
      <alignment horizontal="left"/>
    </xf>
    <xf numFmtId="0" fontId="52" fillId="15" borderId="122" xfId="0" applyFont="1" applyFill="1" applyBorder="1"/>
    <xf numFmtId="167" fontId="50" fillId="15" borderId="122" xfId="0" applyNumberFormat="1" applyFont="1" applyFill="1" applyBorder="1"/>
    <xf numFmtId="3" fontId="50" fillId="15" borderId="122" xfId="0" applyNumberFormat="1" applyFont="1" applyFill="1" applyBorder="1"/>
    <xf numFmtId="49" fontId="56" fillId="0" borderId="122" xfId="0" applyNumberFormat="1" applyFont="1" applyFill="1" applyBorder="1" applyAlignment="1">
      <alignment horizontal="right"/>
    </xf>
    <xf numFmtId="0" fontId="44" fillId="8" borderId="122" xfId="0" applyFont="1" applyFill="1" applyBorder="1"/>
    <xf numFmtId="167" fontId="44" fillId="0" borderId="122" xfId="0" applyNumberFormat="1" applyFont="1" applyFill="1" applyBorder="1" applyAlignment="1">
      <alignment horizontal="right"/>
    </xf>
    <xf numFmtId="0" fontId="61" fillId="8" borderId="122" xfId="0" applyFont="1" applyFill="1" applyBorder="1"/>
    <xf numFmtId="0" fontId="91" fillId="8" borderId="122" xfId="0" applyFont="1" applyFill="1" applyBorder="1"/>
    <xf numFmtId="167" fontId="91" fillId="0" borderId="122" xfId="0" applyNumberFormat="1" applyFont="1" applyFill="1" applyBorder="1" applyAlignment="1">
      <alignment horizontal="right"/>
    </xf>
    <xf numFmtId="3" fontId="91" fillId="0" borderId="122" xfId="0" applyNumberFormat="1" applyFont="1" applyFill="1" applyBorder="1" applyAlignment="1">
      <alignment horizontal="right"/>
    </xf>
    <xf numFmtId="0" fontId="64" fillId="8" borderId="122" xfId="0" applyFont="1" applyFill="1" applyBorder="1"/>
    <xf numFmtId="167" fontId="64" fillId="0" borderId="122" xfId="0" applyNumberFormat="1" applyFont="1" applyFill="1" applyBorder="1" applyAlignment="1">
      <alignment horizontal="right"/>
    </xf>
    <xf numFmtId="3" fontId="64" fillId="0" borderId="122" xfId="0" applyNumberFormat="1" applyFont="1" applyFill="1" applyBorder="1" applyAlignment="1">
      <alignment horizontal="right"/>
    </xf>
    <xf numFmtId="3" fontId="61" fillId="0" borderId="122" xfId="0" applyNumberFormat="1" applyFont="1" applyFill="1" applyBorder="1" applyAlignment="1">
      <alignment horizontal="right"/>
    </xf>
    <xf numFmtId="0" fontId="44" fillId="27" borderId="122" xfId="0" applyFont="1" applyFill="1" applyBorder="1"/>
    <xf numFmtId="0" fontId="0" fillId="27" borderId="122" xfId="0" applyFont="1" applyFill="1" applyBorder="1"/>
    <xf numFmtId="167" fontId="50" fillId="27" borderId="122" xfId="0" applyNumberFormat="1" applyFont="1" applyFill="1" applyBorder="1"/>
    <xf numFmtId="49" fontId="44" fillId="0" borderId="122" xfId="0" applyNumberFormat="1" applyFont="1" applyFill="1" applyBorder="1" applyAlignment="1">
      <alignment horizontal="right"/>
    </xf>
    <xf numFmtId="0" fontId="52" fillId="0" borderId="122" xfId="0" applyFont="1" applyFill="1" applyBorder="1"/>
    <xf numFmtId="167" fontId="50" fillId="0" borderId="122" xfId="0" applyNumberFormat="1" applyFont="1" applyFill="1" applyBorder="1"/>
    <xf numFmtId="3" fontId="44" fillId="0" borderId="122" xfId="0" applyNumberFormat="1" applyFont="1" applyFill="1" applyBorder="1"/>
    <xf numFmtId="3" fontId="50" fillId="10" borderId="122" xfId="0" applyNumberFormat="1" applyFont="1" applyFill="1" applyBorder="1" applyAlignment="1"/>
    <xf numFmtId="0" fontId="51" fillId="8" borderId="122" xfId="0" applyFont="1" applyFill="1" applyBorder="1" applyAlignment="1">
      <alignment horizontal="center"/>
    </xf>
    <xf numFmtId="0" fontId="53" fillId="8" borderId="122" xfId="0" applyFont="1" applyFill="1" applyBorder="1" applyAlignment="1"/>
    <xf numFmtId="0" fontId="44" fillId="8" borderId="122" xfId="0" applyFont="1" applyFill="1" applyBorder="1" applyAlignment="1">
      <alignment horizontal="center"/>
    </xf>
    <xf numFmtId="0" fontId="65" fillId="8" borderId="122" xfId="0" applyFont="1" applyFill="1" applyBorder="1"/>
    <xf numFmtId="167" fontId="62" fillId="8" borderId="122" xfId="0" applyNumberFormat="1" applyFont="1" applyFill="1" applyBorder="1"/>
    <xf numFmtId="3" fontId="61" fillId="8" borderId="122" xfId="0" applyNumberFormat="1" applyFont="1" applyFill="1" applyBorder="1"/>
    <xf numFmtId="3" fontId="61" fillId="8" borderId="122" xfId="0" applyNumberFormat="1" applyFont="1" applyFill="1" applyBorder="1" applyAlignment="1"/>
    <xf numFmtId="0" fontId="0" fillId="8" borderId="122" xfId="0" applyFont="1" applyFill="1" applyBorder="1"/>
    <xf numFmtId="167" fontId="50" fillId="8" borderId="122" xfId="0" applyNumberFormat="1" applyFont="1" applyFill="1" applyBorder="1"/>
    <xf numFmtId="3" fontId="44" fillId="8" borderId="122" xfId="0" applyNumberFormat="1" applyFont="1" applyFill="1" applyBorder="1"/>
    <xf numFmtId="3" fontId="44" fillId="8" borderId="122" xfId="0" applyNumberFormat="1" applyFont="1" applyFill="1" applyBorder="1" applyAlignment="1"/>
    <xf numFmtId="0" fontId="61" fillId="8" borderId="122" xfId="0" applyFont="1" applyFill="1" applyBorder="1" applyAlignment="1">
      <alignment horizontal="right"/>
    </xf>
    <xf numFmtId="3" fontId="61" fillId="8" borderId="122" xfId="0" applyNumberFormat="1" applyFont="1" applyFill="1" applyBorder="1" applyAlignment="1">
      <alignment horizontal="left"/>
    </xf>
    <xf numFmtId="0" fontId="125" fillId="8" borderId="122" xfId="0" applyFont="1" applyFill="1" applyBorder="1" applyAlignment="1">
      <alignment horizontal="right"/>
    </xf>
    <xf numFmtId="3" fontId="44" fillId="8" borderId="122" xfId="0" applyNumberFormat="1" applyFont="1" applyFill="1" applyBorder="1" applyAlignment="1">
      <alignment horizontal="left"/>
    </xf>
    <xf numFmtId="3" fontId="125" fillId="8" borderId="122" xfId="0" applyNumberFormat="1" applyFont="1" applyFill="1" applyBorder="1" applyAlignment="1">
      <alignment horizontal="left"/>
    </xf>
    <xf numFmtId="3" fontId="61" fillId="0" borderId="122" xfId="0" applyNumberFormat="1" applyFont="1" applyFill="1" applyBorder="1" applyAlignment="1">
      <alignment horizontal="left"/>
    </xf>
    <xf numFmtId="3" fontId="44" fillId="27" borderId="122" xfId="0" applyNumberFormat="1" applyFont="1" applyFill="1" applyBorder="1"/>
    <xf numFmtId="3" fontId="44" fillId="15" borderId="122" xfId="0" applyNumberFormat="1" applyFont="1" applyFill="1" applyBorder="1"/>
    <xf numFmtId="0" fontId="46" fillId="0" borderId="122" xfId="0" applyFont="1" applyFill="1" applyBorder="1"/>
    <xf numFmtId="167" fontId="46" fillId="0" borderId="122" xfId="0" applyNumberFormat="1" applyFont="1" applyFill="1" applyBorder="1" applyAlignment="1">
      <alignment horizontal="right"/>
    </xf>
    <xf numFmtId="0" fontId="0" fillId="0" borderId="122" xfId="0" applyBorder="1" applyAlignment="1">
      <alignment horizontal="center"/>
    </xf>
    <xf numFmtId="0" fontId="56" fillId="0" borderId="122" xfId="0" applyFont="1" applyBorder="1"/>
    <xf numFmtId="3" fontId="44" fillId="61" borderId="122" xfId="0" applyNumberFormat="1" applyFont="1" applyFill="1" applyBorder="1"/>
    <xf numFmtId="3" fontId="56" fillId="0" borderId="122" xfId="0" applyNumberFormat="1" applyFont="1" applyBorder="1"/>
    <xf numFmtId="49" fontId="99" fillId="31" borderId="163" xfId="0" applyNumberFormat="1" applyFont="1" applyFill="1" applyBorder="1" applyAlignment="1">
      <alignment horizontal="left"/>
    </xf>
    <xf numFmtId="49" fontId="99" fillId="31" borderId="135" xfId="0" applyNumberFormat="1" applyFont="1" applyFill="1" applyBorder="1" applyAlignment="1">
      <alignment horizontal="left"/>
    </xf>
    <xf numFmtId="49" fontId="99" fillId="31" borderId="171" xfId="0" applyNumberFormat="1" applyFont="1" applyFill="1" applyBorder="1" applyAlignment="1">
      <alignment horizontal="left"/>
    </xf>
    <xf numFmtId="0" fontId="29" fillId="3" borderId="90" xfId="0" applyFont="1" applyFill="1" applyBorder="1" applyAlignment="1">
      <alignment horizontal="left"/>
    </xf>
    <xf numFmtId="0" fontId="29" fillId="3" borderId="78" xfId="0" applyFont="1" applyFill="1" applyBorder="1" applyAlignment="1">
      <alignment horizontal="left"/>
    </xf>
    <xf numFmtId="0" fontId="29" fillId="3" borderId="101" xfId="0" applyFont="1" applyFill="1" applyBorder="1" applyAlignment="1">
      <alignment horizontal="left"/>
    </xf>
    <xf numFmtId="0" fontId="25" fillId="35" borderId="182" xfId="0" applyFont="1" applyFill="1" applyBorder="1" applyAlignment="1">
      <alignment horizontal="left"/>
    </xf>
    <xf numFmtId="0" fontId="25" fillId="35" borderId="107" xfId="0" applyFont="1" applyFill="1" applyBorder="1" applyAlignment="1">
      <alignment horizontal="left"/>
    </xf>
    <xf numFmtId="0" fontId="25" fillId="3" borderId="182" xfId="0" applyFont="1" applyFill="1" applyBorder="1" applyAlignment="1">
      <alignment horizontal="left"/>
    </xf>
    <xf numFmtId="0" fontId="25" fillId="3" borderId="107" xfId="0" applyFont="1" applyFill="1" applyBorder="1" applyAlignment="1">
      <alignment horizontal="left"/>
    </xf>
    <xf numFmtId="0" fontId="97" fillId="0" borderId="0" xfId="0" applyFont="1" applyFill="1" applyBorder="1" applyAlignment="1">
      <alignment horizontal="left"/>
    </xf>
    <xf numFmtId="3" fontId="99" fillId="0" borderId="0" xfId="0" applyNumberFormat="1" applyFont="1" applyFill="1" applyBorder="1" applyAlignment="1">
      <alignment horizontal="right"/>
    </xf>
    <xf numFmtId="49" fontId="25" fillId="31" borderId="0" xfId="0" applyNumberFormat="1" applyFont="1" applyFill="1" applyBorder="1" applyAlignment="1">
      <alignment horizontal="left"/>
    </xf>
    <xf numFmtId="49" fontId="98" fillId="0" borderId="90" xfId="0" applyNumberFormat="1" applyFont="1" applyBorder="1" applyAlignment="1">
      <alignment horizontal="left"/>
    </xf>
    <xf numFmtId="49" fontId="98" fillId="0" borderId="78" xfId="0" applyNumberFormat="1" applyFont="1" applyBorder="1" applyAlignment="1">
      <alignment horizontal="left"/>
    </xf>
    <xf numFmtId="49" fontId="98" fillId="0" borderId="101" xfId="0" applyNumberFormat="1" applyFont="1" applyBorder="1" applyAlignment="1">
      <alignment horizontal="left"/>
    </xf>
    <xf numFmtId="0" fontId="25" fillId="0" borderId="185" xfId="0" applyFont="1" applyBorder="1" applyAlignment="1">
      <alignment horizontal="center"/>
    </xf>
    <xf numFmtId="0" fontId="25" fillId="0" borderId="104" xfId="0" applyFont="1" applyBorder="1" applyAlignment="1">
      <alignment horizontal="center"/>
    </xf>
    <xf numFmtId="0" fontId="25" fillId="0" borderId="189" xfId="0" applyFont="1" applyBorder="1" applyAlignment="1">
      <alignment horizontal="center"/>
    </xf>
    <xf numFmtId="0" fontId="29" fillId="31" borderId="90" xfId="0" applyFont="1" applyFill="1" applyBorder="1" applyAlignment="1">
      <alignment horizontal="left"/>
    </xf>
    <xf numFmtId="0" fontId="29" fillId="31" borderId="78" xfId="0" applyFont="1" applyFill="1" applyBorder="1" applyAlignment="1">
      <alignment horizontal="left"/>
    </xf>
    <xf numFmtId="0" fontId="29" fillId="31" borderId="101" xfId="0" applyFont="1" applyFill="1" applyBorder="1" applyAlignment="1">
      <alignment horizontal="left"/>
    </xf>
    <xf numFmtId="0" fontId="98" fillId="0" borderId="105" xfId="0" applyFont="1" applyBorder="1" applyAlignment="1">
      <alignment horizontal="left" wrapText="1"/>
    </xf>
    <xf numFmtId="0" fontId="98" fillId="0" borderId="90" xfId="0" applyFont="1" applyBorder="1" applyAlignment="1">
      <alignment horizontal="justify" vertical="top"/>
    </xf>
    <xf numFmtId="0" fontId="98" fillId="0" borderId="74" xfId="0" applyFont="1" applyBorder="1" applyAlignment="1">
      <alignment horizontal="justify" vertical="top"/>
    </xf>
    <xf numFmtId="0" fontId="98" fillId="0" borderId="90" xfId="0" applyFont="1" applyBorder="1" applyAlignment="1">
      <alignment horizontal="left"/>
    </xf>
    <xf numFmtId="0" fontId="98" fillId="0" borderId="74" xfId="0" applyFont="1" applyBorder="1" applyAlignment="1">
      <alignment horizontal="left"/>
    </xf>
    <xf numFmtId="0" fontId="29" fillId="15" borderId="78" xfId="0" applyFont="1" applyFill="1" applyBorder="1" applyAlignment="1">
      <alignment horizontal="left"/>
    </xf>
    <xf numFmtId="0" fontId="98" fillId="0" borderId="90" xfId="0" applyFont="1" applyBorder="1" applyAlignment="1">
      <alignment horizontal="left" wrapText="1"/>
    </xf>
    <xf numFmtId="0" fontId="98" fillId="0" borderId="74" xfId="0" applyFont="1" applyBorder="1" applyAlignment="1">
      <alignment horizontal="left" wrapText="1"/>
    </xf>
    <xf numFmtId="0" fontId="25" fillId="35" borderId="207" xfId="0" applyFont="1" applyFill="1" applyBorder="1" applyAlignment="1">
      <alignment horizontal="left"/>
    </xf>
    <xf numFmtId="0" fontId="25" fillId="35" borderId="208" xfId="0" applyFont="1" applyFill="1" applyBorder="1" applyAlignment="1">
      <alignment horizontal="left"/>
    </xf>
    <xf numFmtId="0" fontId="25" fillId="3" borderId="85" xfId="0" applyFont="1" applyFill="1" applyBorder="1" applyAlignment="1">
      <alignment horizontal="left"/>
    </xf>
    <xf numFmtId="0" fontId="25" fillId="3" borderId="78" xfId="0" applyFont="1" applyFill="1" applyBorder="1" applyAlignment="1">
      <alignment horizontal="left"/>
    </xf>
    <xf numFmtId="0" fontId="25" fillId="3" borderId="101" xfId="0" applyFont="1" applyFill="1" applyBorder="1" applyAlignment="1">
      <alignment horizontal="left"/>
    </xf>
    <xf numFmtId="0" fontId="98" fillId="0" borderId="15" xfId="0" applyFont="1" applyBorder="1" applyAlignment="1">
      <alignment horizontal="left"/>
    </xf>
    <xf numFmtId="0" fontId="98" fillId="0" borderId="30" xfId="0" applyFont="1" applyBorder="1" applyAlignment="1">
      <alignment horizontal="left"/>
    </xf>
    <xf numFmtId="0" fontId="25" fillId="35" borderId="108" xfId="0" applyFont="1" applyFill="1" applyBorder="1" applyAlignment="1">
      <alignment horizontal="left"/>
    </xf>
    <xf numFmtId="0" fontId="27" fillId="0" borderId="78" xfId="0" applyFont="1" applyBorder="1" applyAlignment="1">
      <alignment horizontal="left"/>
    </xf>
    <xf numFmtId="0" fontId="98" fillId="0" borderId="78" xfId="0" applyFont="1" applyBorder="1" applyAlignment="1">
      <alignment horizontal="left" wrapText="1"/>
    </xf>
    <xf numFmtId="0" fontId="98" fillId="0" borderId="144" xfId="0" applyFont="1" applyFill="1" applyBorder="1" applyAlignment="1">
      <alignment horizontal="justify" vertical="top"/>
    </xf>
    <xf numFmtId="0" fontId="98" fillId="0" borderId="165" xfId="0" applyFont="1" applyFill="1" applyBorder="1" applyAlignment="1">
      <alignment horizontal="justify" vertical="top"/>
    </xf>
    <xf numFmtId="49" fontId="29" fillId="15" borderId="78" xfId="0" applyNumberFormat="1" applyFont="1" applyFill="1" applyBorder="1" applyAlignment="1">
      <alignment horizontal="left"/>
    </xf>
    <xf numFmtId="0" fontId="98" fillId="0" borderId="210" xfId="0" applyFont="1" applyBorder="1" applyAlignment="1">
      <alignment horizontal="justify" vertical="top"/>
    </xf>
    <xf numFmtId="0" fontId="98" fillId="0" borderId="159" xfId="0" applyFont="1" applyBorder="1" applyAlignment="1">
      <alignment horizontal="justify" vertical="top"/>
    </xf>
    <xf numFmtId="0" fontId="98" fillId="0" borderId="144" xfId="0" applyFont="1" applyBorder="1" applyAlignment="1">
      <alignment horizontal="justify" vertical="top"/>
    </xf>
    <xf numFmtId="0" fontId="98" fillId="0" borderId="165" xfId="0" applyFont="1" applyBorder="1" applyAlignment="1">
      <alignment horizontal="justify" vertical="top"/>
    </xf>
    <xf numFmtId="0" fontId="25" fillId="35" borderId="85" xfId="0" applyFont="1" applyFill="1" applyBorder="1" applyAlignment="1">
      <alignment horizontal="left"/>
    </xf>
    <xf numFmtId="0" fontId="25" fillId="35" borderId="78" xfId="0" applyFont="1" applyFill="1" applyBorder="1" applyAlignment="1">
      <alignment horizontal="left"/>
    </xf>
    <xf numFmtId="0" fontId="25" fillId="35" borderId="101" xfId="0" applyFont="1" applyFill="1" applyBorder="1" applyAlignment="1">
      <alignment horizontal="left"/>
    </xf>
    <xf numFmtId="0" fontId="98" fillId="0" borderId="90" xfId="0" applyFont="1" applyBorder="1" applyAlignment="1">
      <alignment horizontal="left" vertical="top" wrapText="1"/>
    </xf>
    <xf numFmtId="0" fontId="98" fillId="0" borderId="78" xfId="0" applyFont="1" applyBorder="1" applyAlignment="1">
      <alignment horizontal="left" vertical="top" wrapText="1"/>
    </xf>
    <xf numFmtId="0" fontId="98" fillId="0" borderId="209" xfId="0" applyFont="1" applyBorder="1" applyAlignment="1">
      <alignment horizontal="left" vertical="top" wrapText="1"/>
    </xf>
    <xf numFmtId="0" fontId="98" fillId="0" borderId="188" xfId="0" applyFont="1" applyBorder="1" applyAlignment="1">
      <alignment horizontal="left" wrapText="1"/>
    </xf>
    <xf numFmtId="0" fontId="98" fillId="0" borderId="206" xfId="0" applyFont="1" applyBorder="1" applyAlignment="1">
      <alignment horizontal="left" wrapText="1"/>
    </xf>
    <xf numFmtId="0" fontId="98" fillId="0" borderId="188" xfId="0" applyFont="1" applyBorder="1" applyAlignment="1">
      <alignment horizontal="left"/>
    </xf>
    <xf numFmtId="0" fontId="98" fillId="0" borderId="206" xfId="0" applyFont="1" applyBorder="1" applyAlignment="1">
      <alignment horizontal="left"/>
    </xf>
    <xf numFmtId="0" fontId="98" fillId="0" borderId="91" xfId="0" applyFont="1" applyBorder="1" applyAlignment="1">
      <alignment horizontal="justify" vertical="top"/>
    </xf>
    <xf numFmtId="0" fontId="98" fillId="0" borderId="51" xfId="0" applyFont="1" applyBorder="1" applyAlignment="1">
      <alignment horizontal="justify" vertical="top"/>
    </xf>
    <xf numFmtId="0" fontId="98" fillId="0" borderId="91" xfId="0" applyFont="1" applyBorder="1" applyAlignment="1">
      <alignment horizontal="left" vertical="top" wrapText="1"/>
    </xf>
    <xf numFmtId="0" fontId="98" fillId="0" borderId="0" xfId="0" applyFont="1" applyBorder="1" applyAlignment="1">
      <alignment horizontal="left" vertical="top" wrapText="1"/>
    </xf>
    <xf numFmtId="0" fontId="98" fillId="0" borderId="101" xfId="0" applyFont="1" applyBorder="1" applyAlignment="1">
      <alignment horizontal="left" wrapText="1"/>
    </xf>
    <xf numFmtId="0" fontId="24" fillId="0" borderId="0" xfId="0" applyFont="1" applyBorder="1" applyAlignment="1">
      <alignment horizontal="center"/>
    </xf>
    <xf numFmtId="0" fontId="29" fillId="3" borderId="163" xfId="0" applyFont="1" applyFill="1" applyBorder="1" applyAlignment="1">
      <alignment horizontal="left"/>
    </xf>
    <xf numFmtId="0" fontId="29" fillId="3" borderId="135" xfId="0" applyFont="1" applyFill="1" applyBorder="1" applyAlignment="1">
      <alignment horizontal="left"/>
    </xf>
    <xf numFmtId="0" fontId="29" fillId="3" borderId="171" xfId="0" applyFont="1" applyFill="1" applyBorder="1" applyAlignment="1">
      <alignment horizontal="left"/>
    </xf>
    <xf numFmtId="0" fontId="97" fillId="44" borderId="144" xfId="0" applyFont="1" applyFill="1" applyBorder="1" applyAlignment="1">
      <alignment horizontal="left"/>
    </xf>
    <xf numFmtId="0" fontId="97" fillId="44" borderId="92" xfId="0" applyFont="1" applyFill="1" applyBorder="1" applyAlignment="1">
      <alignment horizontal="left"/>
    </xf>
    <xf numFmtId="0" fontId="97" fillId="44" borderId="202" xfId="0" applyFont="1" applyFill="1" applyBorder="1" applyAlignment="1">
      <alignment horizontal="left"/>
    </xf>
    <xf numFmtId="0" fontId="98" fillId="0" borderId="15" xfId="0" applyFont="1" applyBorder="1" applyAlignment="1">
      <alignment horizontal="left" wrapText="1"/>
    </xf>
    <xf numFmtId="0" fontId="98" fillId="0" borderId="30" xfId="0" applyFont="1" applyBorder="1" applyAlignment="1">
      <alignment horizontal="left" wrapText="1"/>
    </xf>
    <xf numFmtId="49" fontId="25" fillId="4" borderId="0" xfId="0" applyNumberFormat="1" applyFont="1" applyFill="1" applyBorder="1" applyAlignment="1">
      <alignment horizontal="left"/>
    </xf>
    <xf numFmtId="0" fontId="25" fillId="35" borderId="122" xfId="0" applyFont="1" applyFill="1" applyBorder="1" applyAlignment="1">
      <alignment horizontal="left"/>
    </xf>
    <xf numFmtId="0" fontId="98" fillId="0" borderId="78" xfId="0" applyFont="1" applyBorder="1" applyAlignment="1">
      <alignment horizontal="justify" vertical="top"/>
    </xf>
    <xf numFmtId="0" fontId="98" fillId="0" borderId="101" xfId="0" applyFont="1" applyBorder="1" applyAlignment="1">
      <alignment horizontal="justify" vertical="top"/>
    </xf>
    <xf numFmtId="0" fontId="98" fillId="0" borderId="199" xfId="0" applyFont="1" applyBorder="1" applyAlignment="1">
      <alignment horizontal="justify" vertical="top"/>
    </xf>
    <xf numFmtId="0" fontId="98" fillId="0" borderId="21" xfId="0" applyFont="1" applyBorder="1" applyAlignment="1">
      <alignment horizontal="justify" vertical="top"/>
    </xf>
    <xf numFmtId="0" fontId="0" fillId="0" borderId="0" xfId="0"/>
    <xf numFmtId="0" fontId="43" fillId="4" borderId="0" xfId="569" applyFont="1" applyFill="1" applyBorder="1" applyAlignment="1">
      <alignment horizontal="center"/>
    </xf>
    <xf numFmtId="0" fontId="86" fillId="45" borderId="122" xfId="569" applyFont="1" applyFill="1" applyBorder="1" applyAlignment="1">
      <alignment horizontal="left"/>
    </xf>
    <xf numFmtId="0" fontId="34" fillId="4" borderId="122" xfId="569" applyFont="1" applyFill="1" applyBorder="1" applyAlignment="1">
      <alignment horizontal="left"/>
    </xf>
    <xf numFmtId="3" fontId="31" fillId="4" borderId="0" xfId="569" applyNumberFormat="1" applyFont="1" applyFill="1" applyBorder="1" applyAlignment="1">
      <alignment horizontal="center"/>
    </xf>
    <xf numFmtId="2" fontId="31" fillId="4" borderId="0" xfId="569" applyNumberFormat="1" applyFont="1" applyFill="1" applyBorder="1" applyAlignment="1">
      <alignment horizontal="center"/>
    </xf>
    <xf numFmtId="0" fontId="32" fillId="6" borderId="0" xfId="569" applyFont="1" applyFill="1" applyBorder="1" applyAlignment="1">
      <alignment horizontal="center"/>
    </xf>
    <xf numFmtId="0" fontId="32" fillId="0" borderId="0" xfId="569" applyFont="1" applyBorder="1" applyAlignment="1">
      <alignment horizontal="center"/>
    </xf>
    <xf numFmtId="0" fontId="80" fillId="4" borderId="122" xfId="569" applyFont="1" applyFill="1" applyBorder="1" applyAlignment="1">
      <alignment horizontal="left"/>
    </xf>
    <xf numFmtId="0" fontId="0" fillId="9" borderId="25" xfId="0" applyFont="1" applyFill="1" applyBorder="1" applyAlignment="1">
      <alignment horizontal="center" vertical="center"/>
    </xf>
    <xf numFmtId="0" fontId="0" fillId="9" borderId="44" xfId="0" applyFont="1" applyFill="1" applyBorder="1" applyAlignment="1">
      <alignment horizontal="center" vertical="center"/>
    </xf>
    <xf numFmtId="0" fontId="44" fillId="9" borderId="184" xfId="0" applyFont="1" applyFill="1" applyBorder="1" applyAlignment="1">
      <alignment horizontal="center" vertical="center"/>
    </xf>
    <xf numFmtId="0" fontId="44" fillId="9" borderId="214" xfId="0" applyFont="1" applyFill="1" applyBorder="1" applyAlignment="1">
      <alignment horizontal="center" vertical="center"/>
    </xf>
    <xf numFmtId="49" fontId="53" fillId="10" borderId="51" xfId="0" applyNumberFormat="1" applyFont="1" applyFill="1" applyBorder="1" applyAlignment="1">
      <alignment horizontal="left"/>
    </xf>
    <xf numFmtId="0" fontId="50" fillId="27" borderId="217" xfId="0" applyFont="1" applyFill="1" applyBorder="1" applyAlignment="1">
      <alignment horizontal="left"/>
    </xf>
    <xf numFmtId="0" fontId="50" fillId="27" borderId="114" xfId="0" applyFont="1" applyFill="1" applyBorder="1" applyAlignment="1">
      <alignment horizontal="left"/>
    </xf>
    <xf numFmtId="0" fontId="50" fillId="27" borderId="125" xfId="0" applyFont="1" applyFill="1" applyBorder="1" applyAlignment="1">
      <alignment horizontal="left"/>
    </xf>
    <xf numFmtId="0" fontId="44" fillId="8" borderId="85" xfId="0" applyFont="1" applyFill="1" applyBorder="1" applyAlignment="1">
      <alignment horizontal="left"/>
    </xf>
    <xf numFmtId="0" fontId="44" fillId="8" borderId="160" xfId="0" applyFont="1" applyFill="1" applyBorder="1" applyAlignment="1">
      <alignment horizontal="left"/>
    </xf>
    <xf numFmtId="0" fontId="50" fillId="7" borderId="0" xfId="0" applyFont="1" applyFill="1" applyBorder="1" applyAlignment="1">
      <alignment horizontal="left"/>
    </xf>
    <xf numFmtId="0" fontId="52" fillId="15" borderId="48" xfId="0" applyFont="1" applyFill="1" applyBorder="1" applyAlignment="1">
      <alignment horizontal="left"/>
    </xf>
    <xf numFmtId="0" fontId="50" fillId="27" borderId="0" xfId="0" applyFont="1" applyFill="1" applyBorder="1" applyAlignment="1">
      <alignment horizontal="left"/>
    </xf>
    <xf numFmtId="0" fontId="52" fillId="15" borderId="52" xfId="0" applyFont="1" applyFill="1" applyBorder="1" applyAlignment="1">
      <alignment horizontal="left"/>
    </xf>
    <xf numFmtId="49" fontId="50" fillId="7" borderId="0" xfId="0" applyNumberFormat="1" applyFont="1" applyFill="1" applyBorder="1" applyAlignment="1">
      <alignment horizontal="left"/>
    </xf>
    <xf numFmtId="49" fontId="50" fillId="15" borderId="148" xfId="0" applyNumberFormat="1" applyFont="1" applyFill="1" applyBorder="1" applyAlignment="1">
      <alignment horizontal="left"/>
    </xf>
    <xf numFmtId="49" fontId="50" fillId="15" borderId="48" xfId="0" applyNumberFormat="1" applyFont="1" applyFill="1" applyBorder="1" applyAlignment="1">
      <alignment horizontal="left"/>
    </xf>
    <xf numFmtId="49" fontId="44" fillId="0" borderId="150" xfId="0" applyNumberFormat="1" applyFont="1" applyFill="1" applyBorder="1" applyAlignment="1">
      <alignment horizontal="left" wrapText="1"/>
    </xf>
    <xf numFmtId="49" fontId="44" fillId="0" borderId="110" xfId="0" applyNumberFormat="1" applyFont="1" applyFill="1" applyBorder="1" applyAlignment="1">
      <alignment horizontal="left" wrapText="1"/>
    </xf>
    <xf numFmtId="49" fontId="55" fillId="3" borderId="0" xfId="0" applyNumberFormat="1" applyFont="1" applyFill="1" applyBorder="1" applyAlignment="1">
      <alignment horizontal="left"/>
    </xf>
    <xf numFmtId="0" fontId="0" fillId="9" borderId="122" xfId="0" applyFont="1" applyFill="1" applyBorder="1" applyAlignment="1">
      <alignment horizontal="center" vertical="center"/>
    </xf>
    <xf numFmtId="0" fontId="44" fillId="9" borderId="122" xfId="0" applyFont="1" applyFill="1" applyBorder="1" applyAlignment="1">
      <alignment horizontal="center" vertical="center"/>
    </xf>
    <xf numFmtId="0" fontId="44" fillId="0" borderId="122" xfId="0" applyFont="1" applyBorder="1" applyAlignment="1">
      <alignment horizontal="left"/>
    </xf>
    <xf numFmtId="49" fontId="50" fillId="27" borderId="0" xfId="0" applyNumberFormat="1" applyFont="1" applyFill="1" applyBorder="1" applyAlignment="1">
      <alignment horizontal="left"/>
    </xf>
    <xf numFmtId="49" fontId="53" fillId="34" borderId="74" xfId="0" applyNumberFormat="1" applyFont="1" applyFill="1" applyBorder="1" applyAlignment="1">
      <alignment horizontal="left"/>
    </xf>
    <xf numFmtId="49" fontId="53" fillId="34" borderId="78" xfId="0" applyNumberFormat="1" applyFont="1" applyFill="1" applyBorder="1" applyAlignment="1">
      <alignment horizontal="left"/>
    </xf>
    <xf numFmtId="49" fontId="53" fillId="34" borderId="75" xfId="0" applyNumberFormat="1" applyFont="1" applyFill="1" applyBorder="1" applyAlignment="1">
      <alignment horizontal="left"/>
    </xf>
    <xf numFmtId="49" fontId="52" fillId="26" borderId="74" xfId="0" applyNumberFormat="1" applyFont="1" applyFill="1" applyBorder="1" applyAlignment="1">
      <alignment horizontal="left"/>
    </xf>
    <xf numFmtId="49" fontId="52" fillId="26" borderId="78" xfId="0" applyNumberFormat="1" applyFont="1" applyFill="1" applyBorder="1" applyAlignment="1">
      <alignment horizontal="left"/>
    </xf>
    <xf numFmtId="49" fontId="52" fillId="26" borderId="75" xfId="0" applyNumberFormat="1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15" borderId="211" xfId="0" applyFont="1" applyFill="1" applyBorder="1" applyAlignment="1">
      <alignment horizontal="center"/>
    </xf>
    <xf numFmtId="0" fontId="0" fillId="3" borderId="211" xfId="0" applyFont="1" applyFill="1" applyBorder="1" applyAlignment="1">
      <alignment horizontal="center"/>
    </xf>
    <xf numFmtId="0" fontId="0" fillId="4" borderId="213" xfId="0" applyFont="1" applyFill="1" applyBorder="1" applyAlignment="1">
      <alignment horizontal="center"/>
    </xf>
    <xf numFmtId="0" fontId="6" fillId="10" borderId="69" xfId="0" applyFont="1" applyFill="1" applyBorder="1" applyAlignment="1">
      <alignment horizontal="center" vertical="center"/>
    </xf>
    <xf numFmtId="0" fontId="6" fillId="10" borderId="68" xfId="0" applyFont="1" applyFill="1" applyBorder="1" applyAlignment="1">
      <alignment horizontal="center" vertical="center"/>
    </xf>
    <xf numFmtId="0" fontId="6" fillId="10" borderId="183" xfId="0" applyFont="1" applyFill="1" applyBorder="1" applyAlignment="1">
      <alignment horizontal="center" vertical="center"/>
    </xf>
    <xf numFmtId="0" fontId="6" fillId="10" borderId="207" xfId="0" applyFont="1" applyFill="1" applyBorder="1" applyAlignment="1">
      <alignment horizontal="center" vertical="center"/>
    </xf>
    <xf numFmtId="0" fontId="6" fillId="10" borderId="208" xfId="0" applyFont="1" applyFill="1" applyBorder="1" applyAlignment="1">
      <alignment horizontal="center" vertical="center"/>
    </xf>
    <xf numFmtId="0" fontId="6" fillId="10" borderId="179" xfId="0" applyFont="1" applyFill="1" applyBorder="1" applyAlignment="1">
      <alignment horizontal="center" vertical="center"/>
    </xf>
    <xf numFmtId="0" fontId="0" fillId="4" borderId="21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55" fillId="7" borderId="23" xfId="0" applyFont="1" applyFill="1" applyBorder="1" applyAlignment="1">
      <alignment horizontal="left"/>
    </xf>
    <xf numFmtId="0" fontId="0" fillId="15" borderId="212" xfId="0" applyFont="1" applyFill="1" applyBorder="1" applyAlignment="1">
      <alignment horizontal="center"/>
    </xf>
    <xf numFmtId="0" fontId="74" fillId="40" borderId="0" xfId="569" applyFont="1" applyFill="1" applyBorder="1" applyAlignment="1">
      <alignment horizontal="center"/>
    </xf>
    <xf numFmtId="49" fontId="36" fillId="40" borderId="0" xfId="569" applyNumberFormat="1" applyFont="1" applyFill="1" applyBorder="1" applyAlignment="1">
      <alignment horizontal="center"/>
    </xf>
    <xf numFmtId="0" fontId="105" fillId="40" borderId="0" xfId="569" applyFont="1" applyFill="1" applyBorder="1" applyAlignment="1">
      <alignment horizontal="center"/>
    </xf>
    <xf numFmtId="0" fontId="106" fillId="40" borderId="0" xfId="569" applyFont="1" applyFill="1" applyBorder="1" applyAlignment="1">
      <alignment horizontal="center"/>
    </xf>
    <xf numFmtId="0" fontId="71" fillId="40" borderId="0" xfId="569" applyFont="1" applyFill="1" applyBorder="1" applyAlignment="1">
      <alignment horizontal="center"/>
    </xf>
    <xf numFmtId="0" fontId="38" fillId="0" borderId="122" xfId="569" applyFont="1" applyFill="1" applyBorder="1" applyAlignment="1">
      <alignment horizontal="center" vertical="top"/>
    </xf>
    <xf numFmtId="49" fontId="36" fillId="0" borderId="122" xfId="569" applyNumberFormat="1" applyFont="1" applyFill="1" applyBorder="1" applyAlignment="1">
      <alignment horizontal="center"/>
    </xf>
    <xf numFmtId="0" fontId="44" fillId="0" borderId="122" xfId="0" applyFont="1" applyBorder="1"/>
    <xf numFmtId="0" fontId="74" fillId="0" borderId="122" xfId="569" applyFont="1" applyFill="1" applyBorder="1" applyAlignment="1">
      <alignment horizontal="center"/>
    </xf>
    <xf numFmtId="0" fontId="38" fillId="0" borderId="122" xfId="569" applyFont="1" applyFill="1" applyBorder="1" applyAlignment="1">
      <alignment horizontal="center"/>
    </xf>
    <xf numFmtId="0" fontId="105" fillId="0" borderId="122" xfId="569" applyFont="1" applyFill="1" applyBorder="1" applyAlignment="1">
      <alignment horizontal="center"/>
    </xf>
    <xf numFmtId="0" fontId="106" fillId="0" borderId="122" xfId="569" applyFont="1" applyFill="1" applyBorder="1" applyAlignment="1">
      <alignment horizontal="center"/>
    </xf>
    <xf numFmtId="49" fontId="36" fillId="0" borderId="122" xfId="569" applyNumberFormat="1" applyFont="1" applyFill="1" applyBorder="1" applyAlignment="1">
      <alignment horizontal="center" wrapText="1"/>
    </xf>
    <xf numFmtId="0" fontId="31" fillId="4" borderId="0" xfId="569" applyFont="1" applyFill="1" applyBorder="1" applyAlignment="1">
      <alignment horizontal="center"/>
    </xf>
    <xf numFmtId="0" fontId="35" fillId="4" borderId="122" xfId="569" applyFont="1" applyFill="1" applyBorder="1" applyAlignment="1">
      <alignment horizontal="left"/>
    </xf>
    <xf numFmtId="0" fontId="36" fillId="0" borderId="122" xfId="569" applyFont="1" applyFill="1" applyBorder="1" applyAlignment="1">
      <alignment horizontal="center" vertical="top"/>
    </xf>
    <xf numFmtId="0" fontId="36" fillId="0" borderId="122" xfId="569" applyFont="1" applyFill="1" applyBorder="1" applyAlignment="1">
      <alignment horizontal="center"/>
    </xf>
    <xf numFmtId="0" fontId="35" fillId="0" borderId="122" xfId="569" applyFont="1" applyFill="1" applyBorder="1" applyAlignment="1">
      <alignment horizontal="center"/>
    </xf>
    <xf numFmtId="0" fontId="71" fillId="0" borderId="122" xfId="569" applyFont="1" applyFill="1" applyBorder="1" applyAlignment="1">
      <alignment horizontal="center"/>
    </xf>
    <xf numFmtId="0" fontId="0" fillId="0" borderId="0" xfId="0" applyAlignment="1">
      <alignment horizontal="center"/>
    </xf>
    <xf numFmtId="0" fontId="34" fillId="46" borderId="122" xfId="569" applyFont="1" applyFill="1" applyBorder="1" applyAlignment="1">
      <alignment vertical="top"/>
    </xf>
    <xf numFmtId="0" fontId="34" fillId="46" borderId="122" xfId="569" applyFont="1" applyFill="1" applyBorder="1" applyAlignment="1">
      <alignment horizontal="left"/>
    </xf>
    <xf numFmtId="0" fontId="103" fillId="45" borderId="122" xfId="569" applyFont="1" applyFill="1" applyBorder="1"/>
    <xf numFmtId="3" fontId="103" fillId="45" borderId="122" xfId="569" applyNumberFormat="1" applyFont="1" applyFill="1" applyBorder="1"/>
    <xf numFmtId="3" fontId="103" fillId="47" borderId="122" xfId="569" applyNumberFormat="1" applyFont="1" applyFill="1" applyBorder="1"/>
    <xf numFmtId="14" fontId="37" fillId="46" borderId="122" xfId="569" applyNumberFormat="1" applyFont="1" applyFill="1" applyBorder="1" applyAlignment="1">
      <alignment horizontal="left"/>
    </xf>
    <xf numFmtId="0" fontId="31" fillId="46" borderId="122" xfId="569" applyFont="1" applyFill="1" applyBorder="1"/>
    <xf numFmtId="3" fontId="37" fillId="46" borderId="122" xfId="569" applyNumberFormat="1" applyFont="1" applyFill="1" applyBorder="1"/>
    <xf numFmtId="3" fontId="37" fillId="46" borderId="122" xfId="569" applyNumberFormat="1" applyFont="1" applyFill="1" applyBorder="1" applyAlignment="1">
      <alignment horizontal="right"/>
    </xf>
    <xf numFmtId="0" fontId="34" fillId="46" borderId="122" xfId="569" applyFont="1" applyFill="1" applyBorder="1"/>
    <xf numFmtId="0" fontId="37" fillId="46" borderId="122" xfId="569" applyFont="1" applyFill="1" applyBorder="1"/>
    <xf numFmtId="3" fontId="37" fillId="46" borderId="122" xfId="569" applyNumberFormat="1" applyFont="1" applyFill="1" applyBorder="1" applyAlignment="1">
      <alignment horizontal="center"/>
    </xf>
    <xf numFmtId="0" fontId="86" fillId="47" borderId="122" xfId="571" applyFont="1" applyFill="1" applyBorder="1" applyAlignment="1">
      <alignment horizontal="left"/>
    </xf>
    <xf numFmtId="3" fontId="86" fillId="45" borderId="122" xfId="571" applyNumberFormat="1" applyFont="1" applyFill="1" applyBorder="1" applyAlignment="1">
      <alignment horizontal="right"/>
    </xf>
    <xf numFmtId="3" fontId="35" fillId="45" borderId="122" xfId="569" applyNumberFormat="1" applyFont="1" applyFill="1" applyBorder="1"/>
    <xf numFmtId="14" fontId="84" fillId="45" borderId="122" xfId="569" applyNumberFormat="1" applyFont="1" applyFill="1" applyBorder="1"/>
    <xf numFmtId="0" fontId="85" fillId="45" borderId="122" xfId="569" applyFont="1" applyFill="1" applyBorder="1" applyAlignment="1">
      <alignment vertical="top"/>
    </xf>
    <xf numFmtId="0" fontId="84" fillId="45" borderId="122" xfId="569" applyFont="1" applyFill="1" applyBorder="1" applyAlignment="1">
      <alignment horizontal="left"/>
    </xf>
    <xf numFmtId="3" fontId="37" fillId="47" borderId="122" xfId="569" applyNumberFormat="1" applyFont="1" applyFill="1" applyBorder="1" applyAlignment="1">
      <alignment horizontal="right"/>
    </xf>
    <xf numFmtId="0" fontId="36" fillId="45" borderId="122" xfId="569" applyFont="1" applyFill="1" applyBorder="1" applyAlignment="1">
      <alignment vertical="top"/>
    </xf>
    <xf numFmtId="0" fontId="36" fillId="45" borderId="122" xfId="569" applyFont="1" applyFill="1" applyBorder="1" applyAlignment="1">
      <alignment horizontal="left"/>
    </xf>
    <xf numFmtId="0" fontId="84" fillId="45" borderId="122" xfId="569" applyFont="1" applyFill="1" applyBorder="1"/>
    <xf numFmtId="0" fontId="84" fillId="45" borderId="122" xfId="569" applyFont="1" applyFill="1" applyBorder="1" applyAlignment="1">
      <alignment vertical="top"/>
    </xf>
    <xf numFmtId="0" fontId="96" fillId="46" borderId="122" xfId="569" applyFont="1" applyFill="1" applyBorder="1"/>
    <xf numFmtId="3" fontId="31" fillId="46" borderId="122" xfId="569" applyNumberFormat="1" applyFont="1" applyFill="1" applyBorder="1"/>
    <xf numFmtId="3" fontId="31" fillId="46" borderId="122" xfId="569" applyNumberFormat="1" applyFont="1" applyFill="1" applyBorder="1" applyAlignment="1">
      <alignment horizontal="right"/>
    </xf>
    <xf numFmtId="3" fontId="36" fillId="46" borderId="122" xfId="569" applyNumberFormat="1" applyFont="1" applyFill="1" applyBorder="1" applyAlignment="1">
      <alignment horizontal="right"/>
    </xf>
    <xf numFmtId="4" fontId="35" fillId="46" borderId="122" xfId="569" applyNumberFormat="1" applyFont="1" applyFill="1" applyBorder="1" applyAlignment="1">
      <alignment horizontal="right"/>
    </xf>
    <xf numFmtId="3" fontId="35" fillId="45" borderId="122" xfId="569" applyNumberFormat="1" applyFont="1" applyFill="1" applyBorder="1" applyAlignment="1">
      <alignment horizontal="right"/>
    </xf>
    <xf numFmtId="0" fontId="127" fillId="46" borderId="122" xfId="569" applyFont="1" applyFill="1" applyBorder="1"/>
    <xf numFmtId="3" fontId="103" fillId="46" borderId="122" xfId="569" applyNumberFormat="1" applyFont="1" applyFill="1" applyBorder="1" applyAlignment="1">
      <alignment horizontal="right"/>
    </xf>
    <xf numFmtId="4" fontId="103" fillId="46" borderId="122" xfId="569" applyNumberFormat="1" applyFont="1" applyFill="1" applyBorder="1" applyAlignment="1">
      <alignment horizontal="right"/>
    </xf>
    <xf numFmtId="3" fontId="80" fillId="46" borderId="122" xfId="569" applyNumberFormat="1" applyFont="1" applyFill="1" applyBorder="1" applyAlignment="1">
      <alignment horizontal="right"/>
    </xf>
    <xf numFmtId="4" fontId="80" fillId="46" borderId="122" xfId="569" applyNumberFormat="1" applyFont="1" applyFill="1" applyBorder="1" applyAlignment="1">
      <alignment horizontal="right"/>
    </xf>
    <xf numFmtId="3" fontId="80" fillId="46" borderId="122" xfId="569" applyNumberFormat="1" applyFont="1" applyFill="1" applyBorder="1" applyAlignment="1">
      <alignment horizontal="center"/>
    </xf>
    <xf numFmtId="0" fontId="80" fillId="46" borderId="122" xfId="569" applyFont="1" applyFill="1" applyBorder="1" applyAlignment="1">
      <alignment vertical="top"/>
    </xf>
    <xf numFmtId="0" fontId="80" fillId="46" borderId="122" xfId="569" applyFont="1" applyFill="1" applyBorder="1" applyAlignment="1">
      <alignment horizontal="center"/>
    </xf>
    <xf numFmtId="3" fontId="80" fillId="46" borderId="122" xfId="569" applyNumberFormat="1" applyFont="1" applyFill="1" applyBorder="1" applyAlignment="1">
      <alignment horizontal="right" vertical="top"/>
    </xf>
    <xf numFmtId="4" fontId="80" fillId="46" borderId="122" xfId="569" applyNumberFormat="1" applyFont="1" applyFill="1" applyBorder="1" applyAlignment="1">
      <alignment horizontal="right" vertical="top"/>
    </xf>
    <xf numFmtId="3" fontId="80" fillId="46" borderId="122" xfId="569" applyNumberFormat="1" applyFont="1" applyFill="1" applyBorder="1" applyAlignment="1">
      <alignment horizontal="center" vertical="top"/>
    </xf>
  </cellXfs>
  <cellStyles count="661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 xr:uid="{00000000-0005-0000-0000-000006000000}"/>
    <cellStyle name="20% - Accent1 1" xfId="8" xr:uid="{00000000-0005-0000-0000-000007000000}"/>
    <cellStyle name="20% - Accent1 10" xfId="9" xr:uid="{00000000-0005-0000-0000-000008000000}"/>
    <cellStyle name="20% - Accent1 11" xfId="10" xr:uid="{00000000-0005-0000-0000-000009000000}"/>
    <cellStyle name="20% - Accent1 12" xfId="11" xr:uid="{00000000-0005-0000-0000-00000A000000}"/>
    <cellStyle name="20% - Accent1 13" xfId="12" xr:uid="{00000000-0005-0000-0000-00000B000000}"/>
    <cellStyle name="20% - Accent1 14" xfId="13" xr:uid="{00000000-0005-0000-0000-00000C000000}"/>
    <cellStyle name="20% - Accent1 2" xfId="14" xr:uid="{00000000-0005-0000-0000-00000D000000}"/>
    <cellStyle name="20% - Accent1 3" xfId="15" xr:uid="{00000000-0005-0000-0000-00000E000000}"/>
    <cellStyle name="20% - Accent1 4" xfId="16" xr:uid="{00000000-0005-0000-0000-00000F000000}"/>
    <cellStyle name="20% - Accent1 5" xfId="17" xr:uid="{00000000-0005-0000-0000-000010000000}"/>
    <cellStyle name="20% - Accent1 6" xfId="18" xr:uid="{00000000-0005-0000-0000-000011000000}"/>
    <cellStyle name="20% - Accent1 7" xfId="19" xr:uid="{00000000-0005-0000-0000-000012000000}"/>
    <cellStyle name="20% - Accent1 8" xfId="20" xr:uid="{00000000-0005-0000-0000-000013000000}"/>
    <cellStyle name="20% - Accent1 9" xfId="21" xr:uid="{00000000-0005-0000-0000-000014000000}"/>
    <cellStyle name="20% - Accent2" xfId="22" xr:uid="{00000000-0005-0000-0000-000015000000}"/>
    <cellStyle name="20% - Accent2 1" xfId="23" xr:uid="{00000000-0005-0000-0000-000016000000}"/>
    <cellStyle name="20% - Accent2 10" xfId="24" xr:uid="{00000000-0005-0000-0000-000017000000}"/>
    <cellStyle name="20% - Accent2 11" xfId="25" xr:uid="{00000000-0005-0000-0000-000018000000}"/>
    <cellStyle name="20% - Accent2 12" xfId="26" xr:uid="{00000000-0005-0000-0000-000019000000}"/>
    <cellStyle name="20% - Accent2 13" xfId="27" xr:uid="{00000000-0005-0000-0000-00001A000000}"/>
    <cellStyle name="20% - Accent2 14" xfId="28" xr:uid="{00000000-0005-0000-0000-00001B000000}"/>
    <cellStyle name="20% - Accent2 2" xfId="29" xr:uid="{00000000-0005-0000-0000-00001C000000}"/>
    <cellStyle name="20% - Accent2 3" xfId="30" xr:uid="{00000000-0005-0000-0000-00001D000000}"/>
    <cellStyle name="20% - Accent2 4" xfId="31" xr:uid="{00000000-0005-0000-0000-00001E000000}"/>
    <cellStyle name="20% - Accent2 5" xfId="32" xr:uid="{00000000-0005-0000-0000-00001F000000}"/>
    <cellStyle name="20% - Accent2 6" xfId="33" xr:uid="{00000000-0005-0000-0000-000020000000}"/>
    <cellStyle name="20% - Accent2 7" xfId="34" xr:uid="{00000000-0005-0000-0000-000021000000}"/>
    <cellStyle name="20% - Accent2 8" xfId="35" xr:uid="{00000000-0005-0000-0000-000022000000}"/>
    <cellStyle name="20% - Accent2 9" xfId="36" xr:uid="{00000000-0005-0000-0000-000023000000}"/>
    <cellStyle name="20% - Accent3" xfId="37" xr:uid="{00000000-0005-0000-0000-000024000000}"/>
    <cellStyle name="20% - Accent3 1" xfId="38" xr:uid="{00000000-0005-0000-0000-000025000000}"/>
    <cellStyle name="20% - Accent3 10" xfId="39" xr:uid="{00000000-0005-0000-0000-000026000000}"/>
    <cellStyle name="20% - Accent3 11" xfId="40" xr:uid="{00000000-0005-0000-0000-000027000000}"/>
    <cellStyle name="20% - Accent3 12" xfId="41" xr:uid="{00000000-0005-0000-0000-000028000000}"/>
    <cellStyle name="20% - Accent3 13" xfId="42" xr:uid="{00000000-0005-0000-0000-000029000000}"/>
    <cellStyle name="20% - Accent3 14" xfId="43" xr:uid="{00000000-0005-0000-0000-00002A000000}"/>
    <cellStyle name="20% - Accent3 2" xfId="44" xr:uid="{00000000-0005-0000-0000-00002B000000}"/>
    <cellStyle name="20% - Accent3 3" xfId="45" xr:uid="{00000000-0005-0000-0000-00002C000000}"/>
    <cellStyle name="20% - Accent3 4" xfId="46" xr:uid="{00000000-0005-0000-0000-00002D000000}"/>
    <cellStyle name="20% - Accent3 5" xfId="47" xr:uid="{00000000-0005-0000-0000-00002E000000}"/>
    <cellStyle name="20% - Accent3 6" xfId="48" xr:uid="{00000000-0005-0000-0000-00002F000000}"/>
    <cellStyle name="20% - Accent3 7" xfId="49" xr:uid="{00000000-0005-0000-0000-000030000000}"/>
    <cellStyle name="20% - Accent3 8" xfId="50" xr:uid="{00000000-0005-0000-0000-000031000000}"/>
    <cellStyle name="20% - Accent3 9" xfId="51" xr:uid="{00000000-0005-0000-0000-000032000000}"/>
    <cellStyle name="20% - Accent4" xfId="52" xr:uid="{00000000-0005-0000-0000-000033000000}"/>
    <cellStyle name="20% - Accent4 1" xfId="53" xr:uid="{00000000-0005-0000-0000-000034000000}"/>
    <cellStyle name="20% - Accent4 10" xfId="54" xr:uid="{00000000-0005-0000-0000-000035000000}"/>
    <cellStyle name="20% - Accent4 11" xfId="55" xr:uid="{00000000-0005-0000-0000-000036000000}"/>
    <cellStyle name="20% - Accent4 12" xfId="56" xr:uid="{00000000-0005-0000-0000-000037000000}"/>
    <cellStyle name="20% - Accent4 13" xfId="57" xr:uid="{00000000-0005-0000-0000-000038000000}"/>
    <cellStyle name="20% - Accent4 14" xfId="58" xr:uid="{00000000-0005-0000-0000-000039000000}"/>
    <cellStyle name="20% - Accent4 2" xfId="59" xr:uid="{00000000-0005-0000-0000-00003A000000}"/>
    <cellStyle name="20% - Accent4 3" xfId="60" xr:uid="{00000000-0005-0000-0000-00003B000000}"/>
    <cellStyle name="20% - Accent4 4" xfId="61" xr:uid="{00000000-0005-0000-0000-00003C000000}"/>
    <cellStyle name="20% - Accent4 5" xfId="62" xr:uid="{00000000-0005-0000-0000-00003D000000}"/>
    <cellStyle name="20% - Accent4 6" xfId="63" xr:uid="{00000000-0005-0000-0000-00003E000000}"/>
    <cellStyle name="20% - Accent4 7" xfId="64" xr:uid="{00000000-0005-0000-0000-00003F000000}"/>
    <cellStyle name="20% - Accent4 8" xfId="65" xr:uid="{00000000-0005-0000-0000-000040000000}"/>
    <cellStyle name="20% - Accent4 9" xfId="66" xr:uid="{00000000-0005-0000-0000-000041000000}"/>
    <cellStyle name="20% - Accent5" xfId="67" xr:uid="{00000000-0005-0000-0000-000042000000}"/>
    <cellStyle name="20% - Accent5 1" xfId="68" xr:uid="{00000000-0005-0000-0000-000043000000}"/>
    <cellStyle name="20% - Accent5 10" xfId="69" xr:uid="{00000000-0005-0000-0000-000044000000}"/>
    <cellStyle name="20% - Accent5 11" xfId="70" xr:uid="{00000000-0005-0000-0000-000045000000}"/>
    <cellStyle name="20% - Accent5 12" xfId="71" xr:uid="{00000000-0005-0000-0000-000046000000}"/>
    <cellStyle name="20% - Accent5 13" xfId="72" xr:uid="{00000000-0005-0000-0000-000047000000}"/>
    <cellStyle name="20% - Accent5 14" xfId="73" xr:uid="{00000000-0005-0000-0000-000048000000}"/>
    <cellStyle name="20% - Accent5 2" xfId="74" xr:uid="{00000000-0005-0000-0000-000049000000}"/>
    <cellStyle name="20% - Accent5 3" xfId="75" xr:uid="{00000000-0005-0000-0000-00004A000000}"/>
    <cellStyle name="20% - Accent5 4" xfId="76" xr:uid="{00000000-0005-0000-0000-00004B000000}"/>
    <cellStyle name="20% - Accent5 5" xfId="77" xr:uid="{00000000-0005-0000-0000-00004C000000}"/>
    <cellStyle name="20% - Accent5 6" xfId="78" xr:uid="{00000000-0005-0000-0000-00004D000000}"/>
    <cellStyle name="20% - Accent5 7" xfId="79" xr:uid="{00000000-0005-0000-0000-00004E000000}"/>
    <cellStyle name="20% - Accent5 8" xfId="80" xr:uid="{00000000-0005-0000-0000-00004F000000}"/>
    <cellStyle name="20% - Accent5 9" xfId="81" xr:uid="{00000000-0005-0000-0000-000050000000}"/>
    <cellStyle name="20% - Accent6" xfId="82" xr:uid="{00000000-0005-0000-0000-000051000000}"/>
    <cellStyle name="20% - Accent6 1" xfId="83" xr:uid="{00000000-0005-0000-0000-000052000000}"/>
    <cellStyle name="20% - Accent6 10" xfId="84" xr:uid="{00000000-0005-0000-0000-000053000000}"/>
    <cellStyle name="20% - Accent6 11" xfId="85" xr:uid="{00000000-0005-0000-0000-000054000000}"/>
    <cellStyle name="20% - Accent6 12" xfId="86" xr:uid="{00000000-0005-0000-0000-000055000000}"/>
    <cellStyle name="20% - Accent6 13" xfId="87" xr:uid="{00000000-0005-0000-0000-000056000000}"/>
    <cellStyle name="20% - Accent6 14" xfId="88" xr:uid="{00000000-0005-0000-0000-000057000000}"/>
    <cellStyle name="20% - Accent6 2" xfId="89" xr:uid="{00000000-0005-0000-0000-000058000000}"/>
    <cellStyle name="20% - Accent6 3" xfId="90" xr:uid="{00000000-0005-0000-0000-000059000000}"/>
    <cellStyle name="20% - Accent6 4" xfId="91" xr:uid="{00000000-0005-0000-0000-00005A000000}"/>
    <cellStyle name="20% - Accent6 5" xfId="92" xr:uid="{00000000-0005-0000-0000-00005B000000}"/>
    <cellStyle name="20% - Accent6 6" xfId="93" xr:uid="{00000000-0005-0000-0000-00005C000000}"/>
    <cellStyle name="20% - Accent6 7" xfId="94" xr:uid="{00000000-0005-0000-0000-00005D000000}"/>
    <cellStyle name="20% - Accent6 8" xfId="95" xr:uid="{00000000-0005-0000-0000-00005E000000}"/>
    <cellStyle name="20% - Accent6 9" xfId="96" xr:uid="{00000000-0005-0000-0000-00005F000000}"/>
    <cellStyle name="40 % - zvýraznenie1" xfId="97" builtinId="31" customBuiltin="1"/>
    <cellStyle name="40 % - zvýraznenie2" xfId="98" builtinId="35" customBuiltin="1"/>
    <cellStyle name="40 % - zvýraznenie3" xfId="99" builtinId="39" customBuiltin="1"/>
    <cellStyle name="40 % - zvýraznenie4" xfId="100" builtinId="43" customBuiltin="1"/>
    <cellStyle name="40 % - zvýraznenie5" xfId="101" builtinId="47" customBuiltin="1"/>
    <cellStyle name="40 % - zvýraznenie6" xfId="102" builtinId="51" customBuiltin="1"/>
    <cellStyle name="40% - Accent1" xfId="103" xr:uid="{00000000-0005-0000-0000-000066000000}"/>
    <cellStyle name="40% - Accent1 1" xfId="104" xr:uid="{00000000-0005-0000-0000-000067000000}"/>
    <cellStyle name="40% - Accent1 10" xfId="105" xr:uid="{00000000-0005-0000-0000-000068000000}"/>
    <cellStyle name="40% - Accent1 11" xfId="106" xr:uid="{00000000-0005-0000-0000-000069000000}"/>
    <cellStyle name="40% - Accent1 12" xfId="107" xr:uid="{00000000-0005-0000-0000-00006A000000}"/>
    <cellStyle name="40% - Accent1 13" xfId="108" xr:uid="{00000000-0005-0000-0000-00006B000000}"/>
    <cellStyle name="40% - Accent1 14" xfId="109" xr:uid="{00000000-0005-0000-0000-00006C000000}"/>
    <cellStyle name="40% - Accent1 2" xfId="110" xr:uid="{00000000-0005-0000-0000-00006D000000}"/>
    <cellStyle name="40% - Accent1 3" xfId="111" xr:uid="{00000000-0005-0000-0000-00006E000000}"/>
    <cellStyle name="40% - Accent1 4" xfId="112" xr:uid="{00000000-0005-0000-0000-00006F000000}"/>
    <cellStyle name="40% - Accent1 5" xfId="113" xr:uid="{00000000-0005-0000-0000-000070000000}"/>
    <cellStyle name="40% - Accent1 6" xfId="114" xr:uid="{00000000-0005-0000-0000-000071000000}"/>
    <cellStyle name="40% - Accent1 7" xfId="115" xr:uid="{00000000-0005-0000-0000-000072000000}"/>
    <cellStyle name="40% - Accent1 8" xfId="116" xr:uid="{00000000-0005-0000-0000-000073000000}"/>
    <cellStyle name="40% - Accent1 9" xfId="117" xr:uid="{00000000-0005-0000-0000-000074000000}"/>
    <cellStyle name="40% - Accent2" xfId="118" xr:uid="{00000000-0005-0000-0000-000075000000}"/>
    <cellStyle name="40% - Accent2 1" xfId="119" xr:uid="{00000000-0005-0000-0000-000076000000}"/>
    <cellStyle name="40% - Accent2 10" xfId="120" xr:uid="{00000000-0005-0000-0000-000077000000}"/>
    <cellStyle name="40% - Accent2 11" xfId="121" xr:uid="{00000000-0005-0000-0000-000078000000}"/>
    <cellStyle name="40% - Accent2 12" xfId="122" xr:uid="{00000000-0005-0000-0000-000079000000}"/>
    <cellStyle name="40% - Accent2 13" xfId="123" xr:uid="{00000000-0005-0000-0000-00007A000000}"/>
    <cellStyle name="40% - Accent2 14" xfId="124" xr:uid="{00000000-0005-0000-0000-00007B000000}"/>
    <cellStyle name="40% - Accent2 2" xfId="125" xr:uid="{00000000-0005-0000-0000-00007C000000}"/>
    <cellStyle name="40% - Accent2 3" xfId="126" xr:uid="{00000000-0005-0000-0000-00007D000000}"/>
    <cellStyle name="40% - Accent2 4" xfId="127" xr:uid="{00000000-0005-0000-0000-00007E000000}"/>
    <cellStyle name="40% - Accent2 5" xfId="128" xr:uid="{00000000-0005-0000-0000-00007F000000}"/>
    <cellStyle name="40% - Accent2 6" xfId="129" xr:uid="{00000000-0005-0000-0000-000080000000}"/>
    <cellStyle name="40% - Accent2 7" xfId="130" xr:uid="{00000000-0005-0000-0000-000081000000}"/>
    <cellStyle name="40% - Accent2 8" xfId="131" xr:uid="{00000000-0005-0000-0000-000082000000}"/>
    <cellStyle name="40% - Accent2 9" xfId="132" xr:uid="{00000000-0005-0000-0000-000083000000}"/>
    <cellStyle name="40% - Accent3" xfId="133" xr:uid="{00000000-0005-0000-0000-000084000000}"/>
    <cellStyle name="40% - Accent3 1" xfId="134" xr:uid="{00000000-0005-0000-0000-000085000000}"/>
    <cellStyle name="40% - Accent3 10" xfId="135" xr:uid="{00000000-0005-0000-0000-000086000000}"/>
    <cellStyle name="40% - Accent3 11" xfId="136" xr:uid="{00000000-0005-0000-0000-000087000000}"/>
    <cellStyle name="40% - Accent3 12" xfId="137" xr:uid="{00000000-0005-0000-0000-000088000000}"/>
    <cellStyle name="40% - Accent3 13" xfId="138" xr:uid="{00000000-0005-0000-0000-000089000000}"/>
    <cellStyle name="40% - Accent3 14" xfId="139" xr:uid="{00000000-0005-0000-0000-00008A000000}"/>
    <cellStyle name="40% - Accent3 2" xfId="140" xr:uid="{00000000-0005-0000-0000-00008B000000}"/>
    <cellStyle name="40% - Accent3 3" xfId="141" xr:uid="{00000000-0005-0000-0000-00008C000000}"/>
    <cellStyle name="40% - Accent3 4" xfId="142" xr:uid="{00000000-0005-0000-0000-00008D000000}"/>
    <cellStyle name="40% - Accent3 5" xfId="143" xr:uid="{00000000-0005-0000-0000-00008E000000}"/>
    <cellStyle name="40% - Accent3 6" xfId="144" xr:uid="{00000000-0005-0000-0000-00008F000000}"/>
    <cellStyle name="40% - Accent3 7" xfId="145" xr:uid="{00000000-0005-0000-0000-000090000000}"/>
    <cellStyle name="40% - Accent3 8" xfId="146" xr:uid="{00000000-0005-0000-0000-000091000000}"/>
    <cellStyle name="40% - Accent3 9" xfId="147" xr:uid="{00000000-0005-0000-0000-000092000000}"/>
    <cellStyle name="40% - Accent4" xfId="148" xr:uid="{00000000-0005-0000-0000-000093000000}"/>
    <cellStyle name="40% - Accent4 1" xfId="149" xr:uid="{00000000-0005-0000-0000-000094000000}"/>
    <cellStyle name="40% - Accent4 10" xfId="150" xr:uid="{00000000-0005-0000-0000-000095000000}"/>
    <cellStyle name="40% - Accent4 11" xfId="151" xr:uid="{00000000-0005-0000-0000-000096000000}"/>
    <cellStyle name="40% - Accent4 12" xfId="152" xr:uid="{00000000-0005-0000-0000-000097000000}"/>
    <cellStyle name="40% - Accent4 13" xfId="153" xr:uid="{00000000-0005-0000-0000-000098000000}"/>
    <cellStyle name="40% - Accent4 14" xfId="154" xr:uid="{00000000-0005-0000-0000-000099000000}"/>
    <cellStyle name="40% - Accent4 2" xfId="155" xr:uid="{00000000-0005-0000-0000-00009A000000}"/>
    <cellStyle name="40% - Accent4 3" xfId="156" xr:uid="{00000000-0005-0000-0000-00009B000000}"/>
    <cellStyle name="40% - Accent4 4" xfId="157" xr:uid="{00000000-0005-0000-0000-00009C000000}"/>
    <cellStyle name="40% - Accent4 5" xfId="158" xr:uid="{00000000-0005-0000-0000-00009D000000}"/>
    <cellStyle name="40% - Accent4 6" xfId="159" xr:uid="{00000000-0005-0000-0000-00009E000000}"/>
    <cellStyle name="40% - Accent4 7" xfId="160" xr:uid="{00000000-0005-0000-0000-00009F000000}"/>
    <cellStyle name="40% - Accent4 8" xfId="161" xr:uid="{00000000-0005-0000-0000-0000A0000000}"/>
    <cellStyle name="40% - Accent4 9" xfId="162" xr:uid="{00000000-0005-0000-0000-0000A1000000}"/>
    <cellStyle name="40% - Accent5" xfId="163" xr:uid="{00000000-0005-0000-0000-0000A2000000}"/>
    <cellStyle name="40% - Accent5 1" xfId="164" xr:uid="{00000000-0005-0000-0000-0000A3000000}"/>
    <cellStyle name="40% - Accent5 10" xfId="165" xr:uid="{00000000-0005-0000-0000-0000A4000000}"/>
    <cellStyle name="40% - Accent5 11" xfId="166" xr:uid="{00000000-0005-0000-0000-0000A5000000}"/>
    <cellStyle name="40% - Accent5 12" xfId="167" xr:uid="{00000000-0005-0000-0000-0000A6000000}"/>
    <cellStyle name="40% - Accent5 13" xfId="168" xr:uid="{00000000-0005-0000-0000-0000A7000000}"/>
    <cellStyle name="40% - Accent5 14" xfId="169" xr:uid="{00000000-0005-0000-0000-0000A8000000}"/>
    <cellStyle name="40% - Accent5 2" xfId="170" xr:uid="{00000000-0005-0000-0000-0000A9000000}"/>
    <cellStyle name="40% - Accent5 3" xfId="171" xr:uid="{00000000-0005-0000-0000-0000AA000000}"/>
    <cellStyle name="40% - Accent5 4" xfId="172" xr:uid="{00000000-0005-0000-0000-0000AB000000}"/>
    <cellStyle name="40% - Accent5 5" xfId="173" xr:uid="{00000000-0005-0000-0000-0000AC000000}"/>
    <cellStyle name="40% - Accent5 6" xfId="174" xr:uid="{00000000-0005-0000-0000-0000AD000000}"/>
    <cellStyle name="40% - Accent5 7" xfId="175" xr:uid="{00000000-0005-0000-0000-0000AE000000}"/>
    <cellStyle name="40% - Accent5 8" xfId="176" xr:uid="{00000000-0005-0000-0000-0000AF000000}"/>
    <cellStyle name="40% - Accent5 9" xfId="177" xr:uid="{00000000-0005-0000-0000-0000B0000000}"/>
    <cellStyle name="40% - Accent6" xfId="178" xr:uid="{00000000-0005-0000-0000-0000B1000000}"/>
    <cellStyle name="40% - Accent6 1" xfId="179" xr:uid="{00000000-0005-0000-0000-0000B2000000}"/>
    <cellStyle name="40% - Accent6 10" xfId="180" xr:uid="{00000000-0005-0000-0000-0000B3000000}"/>
    <cellStyle name="40% - Accent6 11" xfId="181" xr:uid="{00000000-0005-0000-0000-0000B4000000}"/>
    <cellStyle name="40% - Accent6 12" xfId="182" xr:uid="{00000000-0005-0000-0000-0000B5000000}"/>
    <cellStyle name="40% - Accent6 13" xfId="183" xr:uid="{00000000-0005-0000-0000-0000B6000000}"/>
    <cellStyle name="40% - Accent6 14" xfId="184" xr:uid="{00000000-0005-0000-0000-0000B7000000}"/>
    <cellStyle name="40% - Accent6 2" xfId="185" xr:uid="{00000000-0005-0000-0000-0000B8000000}"/>
    <cellStyle name="40% - Accent6 3" xfId="186" xr:uid="{00000000-0005-0000-0000-0000B9000000}"/>
    <cellStyle name="40% - Accent6 4" xfId="187" xr:uid="{00000000-0005-0000-0000-0000BA000000}"/>
    <cellStyle name="40% - Accent6 5" xfId="188" xr:uid="{00000000-0005-0000-0000-0000BB000000}"/>
    <cellStyle name="40% - Accent6 6" xfId="189" xr:uid="{00000000-0005-0000-0000-0000BC000000}"/>
    <cellStyle name="40% - Accent6 7" xfId="190" xr:uid="{00000000-0005-0000-0000-0000BD000000}"/>
    <cellStyle name="40% - Accent6 8" xfId="191" xr:uid="{00000000-0005-0000-0000-0000BE000000}"/>
    <cellStyle name="40% - Accent6 9" xfId="192" xr:uid="{00000000-0005-0000-0000-0000BF000000}"/>
    <cellStyle name="60 % - zvýraznenie1" xfId="193" builtinId="32" customBuiltin="1"/>
    <cellStyle name="60 % - zvýraznenie2" xfId="194" builtinId="36" customBuiltin="1"/>
    <cellStyle name="60 % - zvýraznenie3" xfId="195" builtinId="40" customBuiltin="1"/>
    <cellStyle name="60 % - zvýraznenie4" xfId="196" builtinId="44" customBuiltin="1"/>
    <cellStyle name="60 % - zvýraznenie5" xfId="197" builtinId="48" customBuiltin="1"/>
    <cellStyle name="60 % - zvýraznenie6" xfId="198" builtinId="52" customBuiltin="1"/>
    <cellStyle name="60% - Accent1" xfId="199" xr:uid="{00000000-0005-0000-0000-0000C6000000}"/>
    <cellStyle name="60% - Accent1 1" xfId="200" xr:uid="{00000000-0005-0000-0000-0000C7000000}"/>
    <cellStyle name="60% - Accent1 10" xfId="201" xr:uid="{00000000-0005-0000-0000-0000C8000000}"/>
    <cellStyle name="60% - Accent1 11" xfId="202" xr:uid="{00000000-0005-0000-0000-0000C9000000}"/>
    <cellStyle name="60% - Accent1 12" xfId="203" xr:uid="{00000000-0005-0000-0000-0000CA000000}"/>
    <cellStyle name="60% - Accent1 13" xfId="204" xr:uid="{00000000-0005-0000-0000-0000CB000000}"/>
    <cellStyle name="60% - Accent1 14" xfId="205" xr:uid="{00000000-0005-0000-0000-0000CC000000}"/>
    <cellStyle name="60% - Accent1 2" xfId="206" xr:uid="{00000000-0005-0000-0000-0000CD000000}"/>
    <cellStyle name="60% - Accent1 3" xfId="207" xr:uid="{00000000-0005-0000-0000-0000CE000000}"/>
    <cellStyle name="60% - Accent1 4" xfId="208" xr:uid="{00000000-0005-0000-0000-0000CF000000}"/>
    <cellStyle name="60% - Accent1 5" xfId="209" xr:uid="{00000000-0005-0000-0000-0000D0000000}"/>
    <cellStyle name="60% - Accent1 6" xfId="210" xr:uid="{00000000-0005-0000-0000-0000D1000000}"/>
    <cellStyle name="60% - Accent1 7" xfId="211" xr:uid="{00000000-0005-0000-0000-0000D2000000}"/>
    <cellStyle name="60% - Accent1 8" xfId="212" xr:uid="{00000000-0005-0000-0000-0000D3000000}"/>
    <cellStyle name="60% - Accent1 9" xfId="213" xr:uid="{00000000-0005-0000-0000-0000D4000000}"/>
    <cellStyle name="60% - Accent2" xfId="214" xr:uid="{00000000-0005-0000-0000-0000D5000000}"/>
    <cellStyle name="60% - Accent2 1" xfId="215" xr:uid="{00000000-0005-0000-0000-0000D6000000}"/>
    <cellStyle name="60% - Accent2 10" xfId="216" xr:uid="{00000000-0005-0000-0000-0000D7000000}"/>
    <cellStyle name="60% - Accent2 11" xfId="217" xr:uid="{00000000-0005-0000-0000-0000D8000000}"/>
    <cellStyle name="60% - Accent2 12" xfId="218" xr:uid="{00000000-0005-0000-0000-0000D9000000}"/>
    <cellStyle name="60% - Accent2 13" xfId="219" xr:uid="{00000000-0005-0000-0000-0000DA000000}"/>
    <cellStyle name="60% - Accent2 14" xfId="220" xr:uid="{00000000-0005-0000-0000-0000DB000000}"/>
    <cellStyle name="60% - Accent2 2" xfId="221" xr:uid="{00000000-0005-0000-0000-0000DC000000}"/>
    <cellStyle name="60% - Accent2 3" xfId="222" xr:uid="{00000000-0005-0000-0000-0000DD000000}"/>
    <cellStyle name="60% - Accent2 4" xfId="223" xr:uid="{00000000-0005-0000-0000-0000DE000000}"/>
    <cellStyle name="60% - Accent2 5" xfId="224" xr:uid="{00000000-0005-0000-0000-0000DF000000}"/>
    <cellStyle name="60% - Accent2 6" xfId="225" xr:uid="{00000000-0005-0000-0000-0000E0000000}"/>
    <cellStyle name="60% - Accent2 7" xfId="226" xr:uid="{00000000-0005-0000-0000-0000E1000000}"/>
    <cellStyle name="60% - Accent2 8" xfId="227" xr:uid="{00000000-0005-0000-0000-0000E2000000}"/>
    <cellStyle name="60% - Accent2 9" xfId="228" xr:uid="{00000000-0005-0000-0000-0000E3000000}"/>
    <cellStyle name="60% - Accent3" xfId="229" xr:uid="{00000000-0005-0000-0000-0000E4000000}"/>
    <cellStyle name="60% - Accent3 1" xfId="230" xr:uid="{00000000-0005-0000-0000-0000E5000000}"/>
    <cellStyle name="60% - Accent3 10" xfId="231" xr:uid="{00000000-0005-0000-0000-0000E6000000}"/>
    <cellStyle name="60% - Accent3 11" xfId="232" xr:uid="{00000000-0005-0000-0000-0000E7000000}"/>
    <cellStyle name="60% - Accent3 12" xfId="233" xr:uid="{00000000-0005-0000-0000-0000E8000000}"/>
    <cellStyle name="60% - Accent3 13" xfId="234" xr:uid="{00000000-0005-0000-0000-0000E9000000}"/>
    <cellStyle name="60% - Accent3 14" xfId="235" xr:uid="{00000000-0005-0000-0000-0000EA000000}"/>
    <cellStyle name="60% - Accent3 2" xfId="236" xr:uid="{00000000-0005-0000-0000-0000EB000000}"/>
    <cellStyle name="60% - Accent3 3" xfId="237" xr:uid="{00000000-0005-0000-0000-0000EC000000}"/>
    <cellStyle name="60% - Accent3 4" xfId="238" xr:uid="{00000000-0005-0000-0000-0000ED000000}"/>
    <cellStyle name="60% - Accent3 5" xfId="239" xr:uid="{00000000-0005-0000-0000-0000EE000000}"/>
    <cellStyle name="60% - Accent3 6" xfId="240" xr:uid="{00000000-0005-0000-0000-0000EF000000}"/>
    <cellStyle name="60% - Accent3 7" xfId="241" xr:uid="{00000000-0005-0000-0000-0000F0000000}"/>
    <cellStyle name="60% - Accent3 8" xfId="242" xr:uid="{00000000-0005-0000-0000-0000F1000000}"/>
    <cellStyle name="60% - Accent3 9" xfId="243" xr:uid="{00000000-0005-0000-0000-0000F2000000}"/>
    <cellStyle name="60% - Accent4" xfId="244" xr:uid="{00000000-0005-0000-0000-0000F3000000}"/>
    <cellStyle name="60% - Accent4 1" xfId="245" xr:uid="{00000000-0005-0000-0000-0000F4000000}"/>
    <cellStyle name="60% - Accent4 10" xfId="246" xr:uid="{00000000-0005-0000-0000-0000F5000000}"/>
    <cellStyle name="60% - Accent4 11" xfId="247" xr:uid="{00000000-0005-0000-0000-0000F6000000}"/>
    <cellStyle name="60% - Accent4 12" xfId="248" xr:uid="{00000000-0005-0000-0000-0000F7000000}"/>
    <cellStyle name="60% - Accent4 13" xfId="249" xr:uid="{00000000-0005-0000-0000-0000F8000000}"/>
    <cellStyle name="60% - Accent4 14" xfId="250" xr:uid="{00000000-0005-0000-0000-0000F9000000}"/>
    <cellStyle name="60% - Accent4 2" xfId="251" xr:uid="{00000000-0005-0000-0000-0000FA000000}"/>
    <cellStyle name="60% - Accent4 3" xfId="252" xr:uid="{00000000-0005-0000-0000-0000FB000000}"/>
    <cellStyle name="60% - Accent4 4" xfId="253" xr:uid="{00000000-0005-0000-0000-0000FC000000}"/>
    <cellStyle name="60% - Accent4 5" xfId="254" xr:uid="{00000000-0005-0000-0000-0000FD000000}"/>
    <cellStyle name="60% - Accent4 6" xfId="255" xr:uid="{00000000-0005-0000-0000-0000FE000000}"/>
    <cellStyle name="60% - Accent4 7" xfId="256" xr:uid="{00000000-0005-0000-0000-0000FF000000}"/>
    <cellStyle name="60% - Accent4 8" xfId="257" xr:uid="{00000000-0005-0000-0000-000000010000}"/>
    <cellStyle name="60% - Accent4 9" xfId="258" xr:uid="{00000000-0005-0000-0000-000001010000}"/>
    <cellStyle name="60% - Accent5" xfId="259" xr:uid="{00000000-0005-0000-0000-000002010000}"/>
    <cellStyle name="60% - Accent5 1" xfId="260" xr:uid="{00000000-0005-0000-0000-000003010000}"/>
    <cellStyle name="60% - Accent5 10" xfId="261" xr:uid="{00000000-0005-0000-0000-000004010000}"/>
    <cellStyle name="60% - Accent5 11" xfId="262" xr:uid="{00000000-0005-0000-0000-000005010000}"/>
    <cellStyle name="60% - Accent5 12" xfId="263" xr:uid="{00000000-0005-0000-0000-000006010000}"/>
    <cellStyle name="60% - Accent5 13" xfId="264" xr:uid="{00000000-0005-0000-0000-000007010000}"/>
    <cellStyle name="60% - Accent5 14" xfId="265" xr:uid="{00000000-0005-0000-0000-000008010000}"/>
    <cellStyle name="60% - Accent5 2" xfId="266" xr:uid="{00000000-0005-0000-0000-000009010000}"/>
    <cellStyle name="60% - Accent5 3" xfId="267" xr:uid="{00000000-0005-0000-0000-00000A010000}"/>
    <cellStyle name="60% - Accent5 4" xfId="268" xr:uid="{00000000-0005-0000-0000-00000B010000}"/>
    <cellStyle name="60% - Accent5 5" xfId="269" xr:uid="{00000000-0005-0000-0000-00000C010000}"/>
    <cellStyle name="60% - Accent5 6" xfId="270" xr:uid="{00000000-0005-0000-0000-00000D010000}"/>
    <cellStyle name="60% - Accent5 7" xfId="271" xr:uid="{00000000-0005-0000-0000-00000E010000}"/>
    <cellStyle name="60% - Accent5 8" xfId="272" xr:uid="{00000000-0005-0000-0000-00000F010000}"/>
    <cellStyle name="60% - Accent5 9" xfId="273" xr:uid="{00000000-0005-0000-0000-000010010000}"/>
    <cellStyle name="60% - Accent6" xfId="274" xr:uid="{00000000-0005-0000-0000-000011010000}"/>
    <cellStyle name="60% - Accent6 1" xfId="275" xr:uid="{00000000-0005-0000-0000-000012010000}"/>
    <cellStyle name="60% - Accent6 10" xfId="276" xr:uid="{00000000-0005-0000-0000-000013010000}"/>
    <cellStyle name="60% - Accent6 11" xfId="277" xr:uid="{00000000-0005-0000-0000-000014010000}"/>
    <cellStyle name="60% - Accent6 12" xfId="278" xr:uid="{00000000-0005-0000-0000-000015010000}"/>
    <cellStyle name="60% - Accent6 13" xfId="279" xr:uid="{00000000-0005-0000-0000-000016010000}"/>
    <cellStyle name="60% - Accent6 14" xfId="280" xr:uid="{00000000-0005-0000-0000-000017010000}"/>
    <cellStyle name="60% - Accent6 2" xfId="281" xr:uid="{00000000-0005-0000-0000-000018010000}"/>
    <cellStyle name="60% - Accent6 3" xfId="282" xr:uid="{00000000-0005-0000-0000-000019010000}"/>
    <cellStyle name="60% - Accent6 4" xfId="283" xr:uid="{00000000-0005-0000-0000-00001A010000}"/>
    <cellStyle name="60% - Accent6 5" xfId="284" xr:uid="{00000000-0005-0000-0000-00001B010000}"/>
    <cellStyle name="60% - Accent6 6" xfId="285" xr:uid="{00000000-0005-0000-0000-00001C010000}"/>
    <cellStyle name="60% - Accent6 7" xfId="286" xr:uid="{00000000-0005-0000-0000-00001D010000}"/>
    <cellStyle name="60% - Accent6 8" xfId="287" xr:uid="{00000000-0005-0000-0000-00001E010000}"/>
    <cellStyle name="60% - Accent6 9" xfId="288" xr:uid="{00000000-0005-0000-0000-00001F010000}"/>
    <cellStyle name="Accent1" xfId="289" xr:uid="{00000000-0005-0000-0000-000020010000}"/>
    <cellStyle name="Accent1 1" xfId="290" xr:uid="{00000000-0005-0000-0000-000021010000}"/>
    <cellStyle name="Accent1 10" xfId="291" xr:uid="{00000000-0005-0000-0000-000022010000}"/>
    <cellStyle name="Accent1 11" xfId="292" xr:uid="{00000000-0005-0000-0000-000023010000}"/>
    <cellStyle name="Accent1 12" xfId="293" xr:uid="{00000000-0005-0000-0000-000024010000}"/>
    <cellStyle name="Accent1 13" xfId="294" xr:uid="{00000000-0005-0000-0000-000025010000}"/>
    <cellStyle name="Accent1 14" xfId="295" xr:uid="{00000000-0005-0000-0000-000026010000}"/>
    <cellStyle name="Accent1 2" xfId="296" xr:uid="{00000000-0005-0000-0000-000027010000}"/>
    <cellStyle name="Accent1 3" xfId="297" xr:uid="{00000000-0005-0000-0000-000028010000}"/>
    <cellStyle name="Accent1 4" xfId="298" xr:uid="{00000000-0005-0000-0000-000029010000}"/>
    <cellStyle name="Accent1 5" xfId="299" xr:uid="{00000000-0005-0000-0000-00002A010000}"/>
    <cellStyle name="Accent1 6" xfId="300" xr:uid="{00000000-0005-0000-0000-00002B010000}"/>
    <cellStyle name="Accent1 7" xfId="301" xr:uid="{00000000-0005-0000-0000-00002C010000}"/>
    <cellStyle name="Accent1 8" xfId="302" xr:uid="{00000000-0005-0000-0000-00002D010000}"/>
    <cellStyle name="Accent1 9" xfId="303" xr:uid="{00000000-0005-0000-0000-00002E010000}"/>
    <cellStyle name="Accent2" xfId="304" xr:uid="{00000000-0005-0000-0000-00002F010000}"/>
    <cellStyle name="Accent2 1" xfId="305" xr:uid="{00000000-0005-0000-0000-000030010000}"/>
    <cellStyle name="Accent2 10" xfId="306" xr:uid="{00000000-0005-0000-0000-000031010000}"/>
    <cellStyle name="Accent2 11" xfId="307" xr:uid="{00000000-0005-0000-0000-000032010000}"/>
    <cellStyle name="Accent2 12" xfId="308" xr:uid="{00000000-0005-0000-0000-000033010000}"/>
    <cellStyle name="Accent2 13" xfId="309" xr:uid="{00000000-0005-0000-0000-000034010000}"/>
    <cellStyle name="Accent2 14" xfId="310" xr:uid="{00000000-0005-0000-0000-000035010000}"/>
    <cellStyle name="Accent2 2" xfId="311" xr:uid="{00000000-0005-0000-0000-000036010000}"/>
    <cellStyle name="Accent2 3" xfId="312" xr:uid="{00000000-0005-0000-0000-000037010000}"/>
    <cellStyle name="Accent2 4" xfId="313" xr:uid="{00000000-0005-0000-0000-000038010000}"/>
    <cellStyle name="Accent2 5" xfId="314" xr:uid="{00000000-0005-0000-0000-000039010000}"/>
    <cellStyle name="Accent2 6" xfId="315" xr:uid="{00000000-0005-0000-0000-00003A010000}"/>
    <cellStyle name="Accent2 7" xfId="316" xr:uid="{00000000-0005-0000-0000-00003B010000}"/>
    <cellStyle name="Accent2 8" xfId="317" xr:uid="{00000000-0005-0000-0000-00003C010000}"/>
    <cellStyle name="Accent2 9" xfId="318" xr:uid="{00000000-0005-0000-0000-00003D010000}"/>
    <cellStyle name="Accent3" xfId="319" xr:uid="{00000000-0005-0000-0000-00003E010000}"/>
    <cellStyle name="Accent3 1" xfId="320" xr:uid="{00000000-0005-0000-0000-00003F010000}"/>
    <cellStyle name="Accent3 10" xfId="321" xr:uid="{00000000-0005-0000-0000-000040010000}"/>
    <cellStyle name="Accent3 11" xfId="322" xr:uid="{00000000-0005-0000-0000-000041010000}"/>
    <cellStyle name="Accent3 12" xfId="323" xr:uid="{00000000-0005-0000-0000-000042010000}"/>
    <cellStyle name="Accent3 13" xfId="324" xr:uid="{00000000-0005-0000-0000-000043010000}"/>
    <cellStyle name="Accent3 14" xfId="325" xr:uid="{00000000-0005-0000-0000-000044010000}"/>
    <cellStyle name="Accent3 2" xfId="326" xr:uid="{00000000-0005-0000-0000-000045010000}"/>
    <cellStyle name="Accent3 3" xfId="327" xr:uid="{00000000-0005-0000-0000-000046010000}"/>
    <cellStyle name="Accent3 4" xfId="328" xr:uid="{00000000-0005-0000-0000-000047010000}"/>
    <cellStyle name="Accent3 5" xfId="329" xr:uid="{00000000-0005-0000-0000-000048010000}"/>
    <cellStyle name="Accent3 6" xfId="330" xr:uid="{00000000-0005-0000-0000-000049010000}"/>
    <cellStyle name="Accent3 7" xfId="331" xr:uid="{00000000-0005-0000-0000-00004A010000}"/>
    <cellStyle name="Accent3 8" xfId="332" xr:uid="{00000000-0005-0000-0000-00004B010000}"/>
    <cellStyle name="Accent3 9" xfId="333" xr:uid="{00000000-0005-0000-0000-00004C010000}"/>
    <cellStyle name="Accent4" xfId="334" xr:uid="{00000000-0005-0000-0000-00004D010000}"/>
    <cellStyle name="Accent4 1" xfId="335" xr:uid="{00000000-0005-0000-0000-00004E010000}"/>
    <cellStyle name="Accent4 10" xfId="336" xr:uid="{00000000-0005-0000-0000-00004F010000}"/>
    <cellStyle name="Accent4 11" xfId="337" xr:uid="{00000000-0005-0000-0000-000050010000}"/>
    <cellStyle name="Accent4 12" xfId="338" xr:uid="{00000000-0005-0000-0000-000051010000}"/>
    <cellStyle name="Accent4 13" xfId="339" xr:uid="{00000000-0005-0000-0000-000052010000}"/>
    <cellStyle name="Accent4 14" xfId="340" xr:uid="{00000000-0005-0000-0000-000053010000}"/>
    <cellStyle name="Accent4 2" xfId="341" xr:uid="{00000000-0005-0000-0000-000054010000}"/>
    <cellStyle name="Accent4 3" xfId="342" xr:uid="{00000000-0005-0000-0000-000055010000}"/>
    <cellStyle name="Accent4 4" xfId="343" xr:uid="{00000000-0005-0000-0000-000056010000}"/>
    <cellStyle name="Accent4 5" xfId="344" xr:uid="{00000000-0005-0000-0000-000057010000}"/>
    <cellStyle name="Accent4 6" xfId="345" xr:uid="{00000000-0005-0000-0000-000058010000}"/>
    <cellStyle name="Accent4 7" xfId="346" xr:uid="{00000000-0005-0000-0000-000059010000}"/>
    <cellStyle name="Accent4 8" xfId="347" xr:uid="{00000000-0005-0000-0000-00005A010000}"/>
    <cellStyle name="Accent4 9" xfId="348" xr:uid="{00000000-0005-0000-0000-00005B010000}"/>
    <cellStyle name="Accent5" xfId="349" xr:uid="{00000000-0005-0000-0000-00005C010000}"/>
    <cellStyle name="Accent5 1" xfId="350" xr:uid="{00000000-0005-0000-0000-00005D010000}"/>
    <cellStyle name="Accent5 10" xfId="351" xr:uid="{00000000-0005-0000-0000-00005E010000}"/>
    <cellStyle name="Accent5 11" xfId="352" xr:uid="{00000000-0005-0000-0000-00005F010000}"/>
    <cellStyle name="Accent5 12" xfId="353" xr:uid="{00000000-0005-0000-0000-000060010000}"/>
    <cellStyle name="Accent5 13" xfId="354" xr:uid="{00000000-0005-0000-0000-000061010000}"/>
    <cellStyle name="Accent5 14" xfId="355" xr:uid="{00000000-0005-0000-0000-000062010000}"/>
    <cellStyle name="Accent5 2" xfId="356" xr:uid="{00000000-0005-0000-0000-000063010000}"/>
    <cellStyle name="Accent5 3" xfId="357" xr:uid="{00000000-0005-0000-0000-000064010000}"/>
    <cellStyle name="Accent5 4" xfId="358" xr:uid="{00000000-0005-0000-0000-000065010000}"/>
    <cellStyle name="Accent5 5" xfId="359" xr:uid="{00000000-0005-0000-0000-000066010000}"/>
    <cellStyle name="Accent5 6" xfId="360" xr:uid="{00000000-0005-0000-0000-000067010000}"/>
    <cellStyle name="Accent5 7" xfId="361" xr:uid="{00000000-0005-0000-0000-000068010000}"/>
    <cellStyle name="Accent5 8" xfId="362" xr:uid="{00000000-0005-0000-0000-000069010000}"/>
    <cellStyle name="Accent5 9" xfId="363" xr:uid="{00000000-0005-0000-0000-00006A010000}"/>
    <cellStyle name="Accent6" xfId="364" xr:uid="{00000000-0005-0000-0000-00006B010000}"/>
    <cellStyle name="Accent6 1" xfId="365" xr:uid="{00000000-0005-0000-0000-00006C010000}"/>
    <cellStyle name="Accent6 10" xfId="366" xr:uid="{00000000-0005-0000-0000-00006D010000}"/>
    <cellStyle name="Accent6 11" xfId="367" xr:uid="{00000000-0005-0000-0000-00006E010000}"/>
    <cellStyle name="Accent6 12" xfId="368" xr:uid="{00000000-0005-0000-0000-00006F010000}"/>
    <cellStyle name="Accent6 13" xfId="369" xr:uid="{00000000-0005-0000-0000-000070010000}"/>
    <cellStyle name="Accent6 14" xfId="370" xr:uid="{00000000-0005-0000-0000-000071010000}"/>
    <cellStyle name="Accent6 2" xfId="371" xr:uid="{00000000-0005-0000-0000-000072010000}"/>
    <cellStyle name="Accent6 3" xfId="372" xr:uid="{00000000-0005-0000-0000-000073010000}"/>
    <cellStyle name="Accent6 4" xfId="373" xr:uid="{00000000-0005-0000-0000-000074010000}"/>
    <cellStyle name="Accent6 5" xfId="374" xr:uid="{00000000-0005-0000-0000-000075010000}"/>
    <cellStyle name="Accent6 6" xfId="375" xr:uid="{00000000-0005-0000-0000-000076010000}"/>
    <cellStyle name="Accent6 7" xfId="376" xr:uid="{00000000-0005-0000-0000-000077010000}"/>
    <cellStyle name="Accent6 8" xfId="377" xr:uid="{00000000-0005-0000-0000-000078010000}"/>
    <cellStyle name="Accent6 9" xfId="378" xr:uid="{00000000-0005-0000-0000-000079010000}"/>
    <cellStyle name="Bad" xfId="379" xr:uid="{00000000-0005-0000-0000-00007A010000}"/>
    <cellStyle name="Bad 1" xfId="380" xr:uid="{00000000-0005-0000-0000-00007B010000}"/>
    <cellStyle name="Bad 10" xfId="381" xr:uid="{00000000-0005-0000-0000-00007C010000}"/>
    <cellStyle name="Bad 11" xfId="382" xr:uid="{00000000-0005-0000-0000-00007D010000}"/>
    <cellStyle name="Bad 12" xfId="383" xr:uid="{00000000-0005-0000-0000-00007E010000}"/>
    <cellStyle name="Bad 13" xfId="384" xr:uid="{00000000-0005-0000-0000-00007F010000}"/>
    <cellStyle name="Bad 14" xfId="385" xr:uid="{00000000-0005-0000-0000-000080010000}"/>
    <cellStyle name="Bad 2" xfId="386" xr:uid="{00000000-0005-0000-0000-000081010000}"/>
    <cellStyle name="Bad 3" xfId="387" xr:uid="{00000000-0005-0000-0000-000082010000}"/>
    <cellStyle name="Bad 4" xfId="388" xr:uid="{00000000-0005-0000-0000-000083010000}"/>
    <cellStyle name="Bad 5" xfId="389" xr:uid="{00000000-0005-0000-0000-000084010000}"/>
    <cellStyle name="Bad 6" xfId="390" xr:uid="{00000000-0005-0000-0000-000085010000}"/>
    <cellStyle name="Bad 7" xfId="391" xr:uid="{00000000-0005-0000-0000-000086010000}"/>
    <cellStyle name="Bad 8" xfId="392" xr:uid="{00000000-0005-0000-0000-000087010000}"/>
    <cellStyle name="Bad 9" xfId="393" xr:uid="{00000000-0005-0000-0000-000088010000}"/>
    <cellStyle name="Calculation" xfId="394" xr:uid="{00000000-0005-0000-0000-000089010000}"/>
    <cellStyle name="Calculation 1" xfId="395" xr:uid="{00000000-0005-0000-0000-00008A010000}"/>
    <cellStyle name="Calculation 10" xfId="396" xr:uid="{00000000-0005-0000-0000-00008B010000}"/>
    <cellStyle name="Calculation 11" xfId="397" xr:uid="{00000000-0005-0000-0000-00008C010000}"/>
    <cellStyle name="Calculation 12" xfId="398" xr:uid="{00000000-0005-0000-0000-00008D010000}"/>
    <cellStyle name="Calculation 13" xfId="399" xr:uid="{00000000-0005-0000-0000-00008E010000}"/>
    <cellStyle name="Calculation 14" xfId="400" xr:uid="{00000000-0005-0000-0000-00008F010000}"/>
    <cellStyle name="Calculation 2" xfId="401" xr:uid="{00000000-0005-0000-0000-000090010000}"/>
    <cellStyle name="Calculation 3" xfId="402" xr:uid="{00000000-0005-0000-0000-000091010000}"/>
    <cellStyle name="Calculation 4" xfId="403" xr:uid="{00000000-0005-0000-0000-000092010000}"/>
    <cellStyle name="Calculation 5" xfId="404" xr:uid="{00000000-0005-0000-0000-000093010000}"/>
    <cellStyle name="Calculation 6" xfId="405" xr:uid="{00000000-0005-0000-0000-000094010000}"/>
    <cellStyle name="Calculation 7" xfId="406" xr:uid="{00000000-0005-0000-0000-000095010000}"/>
    <cellStyle name="Calculation 8" xfId="407" xr:uid="{00000000-0005-0000-0000-000096010000}"/>
    <cellStyle name="Calculation 9" xfId="408" xr:uid="{00000000-0005-0000-0000-000097010000}"/>
    <cellStyle name="Čiarka" xfId="409" builtinId="3"/>
    <cellStyle name="čiarky_Rozpočet_2013_2015" xfId="410" xr:uid="{00000000-0005-0000-0000-000099010000}"/>
    <cellStyle name="Dobrá" xfId="411" builtinId="26" customBuiltin="1"/>
    <cellStyle name="Explanatory Text" xfId="412" xr:uid="{00000000-0005-0000-0000-00009B010000}"/>
    <cellStyle name="Explanatory Text 1" xfId="413" xr:uid="{00000000-0005-0000-0000-00009C010000}"/>
    <cellStyle name="Explanatory Text 10" xfId="414" xr:uid="{00000000-0005-0000-0000-00009D010000}"/>
    <cellStyle name="Explanatory Text 11" xfId="415" xr:uid="{00000000-0005-0000-0000-00009E010000}"/>
    <cellStyle name="Explanatory Text 12" xfId="416" xr:uid="{00000000-0005-0000-0000-00009F010000}"/>
    <cellStyle name="Explanatory Text 13" xfId="417" xr:uid="{00000000-0005-0000-0000-0000A0010000}"/>
    <cellStyle name="Explanatory Text 14" xfId="418" xr:uid="{00000000-0005-0000-0000-0000A1010000}"/>
    <cellStyle name="Explanatory Text 2" xfId="419" xr:uid="{00000000-0005-0000-0000-0000A2010000}"/>
    <cellStyle name="Explanatory Text 3" xfId="420" xr:uid="{00000000-0005-0000-0000-0000A3010000}"/>
    <cellStyle name="Explanatory Text 4" xfId="421" xr:uid="{00000000-0005-0000-0000-0000A4010000}"/>
    <cellStyle name="Explanatory Text 5" xfId="422" xr:uid="{00000000-0005-0000-0000-0000A5010000}"/>
    <cellStyle name="Explanatory Text 6" xfId="423" xr:uid="{00000000-0005-0000-0000-0000A6010000}"/>
    <cellStyle name="Explanatory Text 7" xfId="424" xr:uid="{00000000-0005-0000-0000-0000A7010000}"/>
    <cellStyle name="Explanatory Text 8" xfId="425" xr:uid="{00000000-0005-0000-0000-0000A8010000}"/>
    <cellStyle name="Explanatory Text 9" xfId="426" xr:uid="{00000000-0005-0000-0000-0000A9010000}"/>
    <cellStyle name="Good" xfId="427" xr:uid="{00000000-0005-0000-0000-0000AA010000}"/>
    <cellStyle name="Good 1" xfId="428" xr:uid="{00000000-0005-0000-0000-0000AB010000}"/>
    <cellStyle name="Good 10" xfId="429" xr:uid="{00000000-0005-0000-0000-0000AC010000}"/>
    <cellStyle name="Good 11" xfId="430" xr:uid="{00000000-0005-0000-0000-0000AD010000}"/>
    <cellStyle name="Good 12" xfId="431" xr:uid="{00000000-0005-0000-0000-0000AE010000}"/>
    <cellStyle name="Good 13" xfId="432" xr:uid="{00000000-0005-0000-0000-0000AF010000}"/>
    <cellStyle name="Good 14" xfId="433" xr:uid="{00000000-0005-0000-0000-0000B0010000}"/>
    <cellStyle name="Good 2" xfId="434" xr:uid="{00000000-0005-0000-0000-0000B1010000}"/>
    <cellStyle name="Good 3" xfId="435" xr:uid="{00000000-0005-0000-0000-0000B2010000}"/>
    <cellStyle name="Good 4" xfId="436" xr:uid="{00000000-0005-0000-0000-0000B3010000}"/>
    <cellStyle name="Good 5" xfId="437" xr:uid="{00000000-0005-0000-0000-0000B4010000}"/>
    <cellStyle name="Good 6" xfId="438" xr:uid="{00000000-0005-0000-0000-0000B5010000}"/>
    <cellStyle name="Good 7" xfId="439" xr:uid="{00000000-0005-0000-0000-0000B6010000}"/>
    <cellStyle name="Good 8" xfId="440" xr:uid="{00000000-0005-0000-0000-0000B7010000}"/>
    <cellStyle name="Good 9" xfId="441" xr:uid="{00000000-0005-0000-0000-0000B8010000}"/>
    <cellStyle name="Heading 1" xfId="442" xr:uid="{00000000-0005-0000-0000-0000B9010000}"/>
    <cellStyle name="Heading 1 1" xfId="443" xr:uid="{00000000-0005-0000-0000-0000BA010000}"/>
    <cellStyle name="Heading 1 10" xfId="444" xr:uid="{00000000-0005-0000-0000-0000BB010000}"/>
    <cellStyle name="Heading 1 11" xfId="445" xr:uid="{00000000-0005-0000-0000-0000BC010000}"/>
    <cellStyle name="Heading 1 12" xfId="446" xr:uid="{00000000-0005-0000-0000-0000BD010000}"/>
    <cellStyle name="Heading 1 13" xfId="447" xr:uid="{00000000-0005-0000-0000-0000BE010000}"/>
    <cellStyle name="Heading 1 14" xfId="448" xr:uid="{00000000-0005-0000-0000-0000BF010000}"/>
    <cellStyle name="Heading 1 2" xfId="449" xr:uid="{00000000-0005-0000-0000-0000C0010000}"/>
    <cellStyle name="Heading 1 3" xfId="450" xr:uid="{00000000-0005-0000-0000-0000C1010000}"/>
    <cellStyle name="Heading 1 4" xfId="451" xr:uid="{00000000-0005-0000-0000-0000C2010000}"/>
    <cellStyle name="Heading 1 5" xfId="452" xr:uid="{00000000-0005-0000-0000-0000C3010000}"/>
    <cellStyle name="Heading 1 6" xfId="453" xr:uid="{00000000-0005-0000-0000-0000C4010000}"/>
    <cellStyle name="Heading 1 7" xfId="454" xr:uid="{00000000-0005-0000-0000-0000C5010000}"/>
    <cellStyle name="Heading 1 8" xfId="455" xr:uid="{00000000-0005-0000-0000-0000C6010000}"/>
    <cellStyle name="Heading 1 9" xfId="456" xr:uid="{00000000-0005-0000-0000-0000C7010000}"/>
    <cellStyle name="Heading 2" xfId="457" xr:uid="{00000000-0005-0000-0000-0000C8010000}"/>
    <cellStyle name="Heading 2 1" xfId="458" xr:uid="{00000000-0005-0000-0000-0000C9010000}"/>
    <cellStyle name="Heading 2 10" xfId="459" xr:uid="{00000000-0005-0000-0000-0000CA010000}"/>
    <cellStyle name="Heading 2 11" xfId="460" xr:uid="{00000000-0005-0000-0000-0000CB010000}"/>
    <cellStyle name="Heading 2 12" xfId="461" xr:uid="{00000000-0005-0000-0000-0000CC010000}"/>
    <cellStyle name="Heading 2 13" xfId="462" xr:uid="{00000000-0005-0000-0000-0000CD010000}"/>
    <cellStyle name="Heading 2 14" xfId="463" xr:uid="{00000000-0005-0000-0000-0000CE010000}"/>
    <cellStyle name="Heading 2 2" xfId="464" xr:uid="{00000000-0005-0000-0000-0000CF010000}"/>
    <cellStyle name="Heading 2 3" xfId="465" xr:uid="{00000000-0005-0000-0000-0000D0010000}"/>
    <cellStyle name="Heading 2 4" xfId="466" xr:uid="{00000000-0005-0000-0000-0000D1010000}"/>
    <cellStyle name="Heading 2 5" xfId="467" xr:uid="{00000000-0005-0000-0000-0000D2010000}"/>
    <cellStyle name="Heading 2 6" xfId="468" xr:uid="{00000000-0005-0000-0000-0000D3010000}"/>
    <cellStyle name="Heading 2 7" xfId="469" xr:uid="{00000000-0005-0000-0000-0000D4010000}"/>
    <cellStyle name="Heading 2 8" xfId="470" xr:uid="{00000000-0005-0000-0000-0000D5010000}"/>
    <cellStyle name="Heading 2 9" xfId="471" xr:uid="{00000000-0005-0000-0000-0000D6010000}"/>
    <cellStyle name="Heading 3" xfId="472" xr:uid="{00000000-0005-0000-0000-0000D7010000}"/>
    <cellStyle name="Heading 3 1" xfId="473" xr:uid="{00000000-0005-0000-0000-0000D8010000}"/>
    <cellStyle name="Heading 3 10" xfId="474" xr:uid="{00000000-0005-0000-0000-0000D9010000}"/>
    <cellStyle name="Heading 3 11" xfId="475" xr:uid="{00000000-0005-0000-0000-0000DA010000}"/>
    <cellStyle name="Heading 3 12" xfId="476" xr:uid="{00000000-0005-0000-0000-0000DB010000}"/>
    <cellStyle name="Heading 3 13" xfId="477" xr:uid="{00000000-0005-0000-0000-0000DC010000}"/>
    <cellStyle name="Heading 3 14" xfId="478" xr:uid="{00000000-0005-0000-0000-0000DD010000}"/>
    <cellStyle name="Heading 3 2" xfId="479" xr:uid="{00000000-0005-0000-0000-0000DE010000}"/>
    <cellStyle name="Heading 3 3" xfId="480" xr:uid="{00000000-0005-0000-0000-0000DF010000}"/>
    <cellStyle name="Heading 3 4" xfId="481" xr:uid="{00000000-0005-0000-0000-0000E0010000}"/>
    <cellStyle name="Heading 3 5" xfId="482" xr:uid="{00000000-0005-0000-0000-0000E1010000}"/>
    <cellStyle name="Heading 3 6" xfId="483" xr:uid="{00000000-0005-0000-0000-0000E2010000}"/>
    <cellStyle name="Heading 3 7" xfId="484" xr:uid="{00000000-0005-0000-0000-0000E3010000}"/>
    <cellStyle name="Heading 3 8" xfId="485" xr:uid="{00000000-0005-0000-0000-0000E4010000}"/>
    <cellStyle name="Heading 3 9" xfId="486" xr:uid="{00000000-0005-0000-0000-0000E5010000}"/>
    <cellStyle name="Heading 4" xfId="487" xr:uid="{00000000-0005-0000-0000-0000E6010000}"/>
    <cellStyle name="Heading 4 1" xfId="488" xr:uid="{00000000-0005-0000-0000-0000E7010000}"/>
    <cellStyle name="Heading 4 10" xfId="489" xr:uid="{00000000-0005-0000-0000-0000E8010000}"/>
    <cellStyle name="Heading 4 11" xfId="490" xr:uid="{00000000-0005-0000-0000-0000E9010000}"/>
    <cellStyle name="Heading 4 12" xfId="491" xr:uid="{00000000-0005-0000-0000-0000EA010000}"/>
    <cellStyle name="Heading 4 13" xfId="492" xr:uid="{00000000-0005-0000-0000-0000EB010000}"/>
    <cellStyle name="Heading 4 14" xfId="493" xr:uid="{00000000-0005-0000-0000-0000EC010000}"/>
    <cellStyle name="Heading 4 2" xfId="494" xr:uid="{00000000-0005-0000-0000-0000ED010000}"/>
    <cellStyle name="Heading 4 3" xfId="495" xr:uid="{00000000-0005-0000-0000-0000EE010000}"/>
    <cellStyle name="Heading 4 4" xfId="496" xr:uid="{00000000-0005-0000-0000-0000EF010000}"/>
    <cellStyle name="Heading 4 5" xfId="497" xr:uid="{00000000-0005-0000-0000-0000F0010000}"/>
    <cellStyle name="Heading 4 6" xfId="498" xr:uid="{00000000-0005-0000-0000-0000F1010000}"/>
    <cellStyle name="Heading 4 7" xfId="499" xr:uid="{00000000-0005-0000-0000-0000F2010000}"/>
    <cellStyle name="Heading 4 8" xfId="500" xr:uid="{00000000-0005-0000-0000-0000F3010000}"/>
    <cellStyle name="Heading 4 9" xfId="501" xr:uid="{00000000-0005-0000-0000-0000F4010000}"/>
    <cellStyle name="Check Cell" xfId="502" xr:uid="{00000000-0005-0000-0000-0000F5010000}"/>
    <cellStyle name="Check Cell 1" xfId="503" xr:uid="{00000000-0005-0000-0000-0000F6010000}"/>
    <cellStyle name="Check Cell 10" xfId="504" xr:uid="{00000000-0005-0000-0000-0000F7010000}"/>
    <cellStyle name="Check Cell 11" xfId="505" xr:uid="{00000000-0005-0000-0000-0000F8010000}"/>
    <cellStyle name="Check Cell 12" xfId="506" xr:uid="{00000000-0005-0000-0000-0000F9010000}"/>
    <cellStyle name="Check Cell 13" xfId="507" xr:uid="{00000000-0005-0000-0000-0000FA010000}"/>
    <cellStyle name="Check Cell 14" xfId="508" xr:uid="{00000000-0005-0000-0000-0000FB010000}"/>
    <cellStyle name="Check Cell 2" xfId="509" xr:uid="{00000000-0005-0000-0000-0000FC010000}"/>
    <cellStyle name="Check Cell 3" xfId="510" xr:uid="{00000000-0005-0000-0000-0000FD010000}"/>
    <cellStyle name="Check Cell 4" xfId="511" xr:uid="{00000000-0005-0000-0000-0000FE010000}"/>
    <cellStyle name="Check Cell 5" xfId="512" xr:uid="{00000000-0005-0000-0000-0000FF010000}"/>
    <cellStyle name="Check Cell 6" xfId="513" xr:uid="{00000000-0005-0000-0000-000000020000}"/>
    <cellStyle name="Check Cell 7" xfId="514" xr:uid="{00000000-0005-0000-0000-000001020000}"/>
    <cellStyle name="Check Cell 8" xfId="515" xr:uid="{00000000-0005-0000-0000-000002020000}"/>
    <cellStyle name="Check Cell 9" xfId="516" xr:uid="{00000000-0005-0000-0000-000003020000}"/>
    <cellStyle name="Input" xfId="517" xr:uid="{00000000-0005-0000-0000-000004020000}"/>
    <cellStyle name="Input 1" xfId="518" xr:uid="{00000000-0005-0000-0000-000005020000}"/>
    <cellStyle name="Input 10" xfId="519" xr:uid="{00000000-0005-0000-0000-000006020000}"/>
    <cellStyle name="Input 11" xfId="520" xr:uid="{00000000-0005-0000-0000-000007020000}"/>
    <cellStyle name="Input 12" xfId="521" xr:uid="{00000000-0005-0000-0000-000008020000}"/>
    <cellStyle name="Input 13" xfId="522" xr:uid="{00000000-0005-0000-0000-000009020000}"/>
    <cellStyle name="Input 14" xfId="523" xr:uid="{00000000-0005-0000-0000-00000A020000}"/>
    <cellStyle name="Input 2" xfId="524" xr:uid="{00000000-0005-0000-0000-00000B020000}"/>
    <cellStyle name="Input 3" xfId="525" xr:uid="{00000000-0005-0000-0000-00000C020000}"/>
    <cellStyle name="Input 4" xfId="526" xr:uid="{00000000-0005-0000-0000-00000D020000}"/>
    <cellStyle name="Input 5" xfId="527" xr:uid="{00000000-0005-0000-0000-00000E020000}"/>
    <cellStyle name="Input 6" xfId="528" xr:uid="{00000000-0005-0000-0000-00000F020000}"/>
    <cellStyle name="Input 7" xfId="529" xr:uid="{00000000-0005-0000-0000-000010020000}"/>
    <cellStyle name="Input 8" xfId="530" xr:uid="{00000000-0005-0000-0000-000011020000}"/>
    <cellStyle name="Input 9" xfId="531" xr:uid="{00000000-0005-0000-0000-000012020000}"/>
    <cellStyle name="Kontrolná bunka" xfId="532" builtinId="23" customBuiltin="1"/>
    <cellStyle name="Linked Cell" xfId="533" xr:uid="{00000000-0005-0000-0000-000014020000}"/>
    <cellStyle name="Linked Cell 1" xfId="534" xr:uid="{00000000-0005-0000-0000-000015020000}"/>
    <cellStyle name="Linked Cell 10" xfId="535" xr:uid="{00000000-0005-0000-0000-000016020000}"/>
    <cellStyle name="Linked Cell 11" xfId="536" xr:uid="{00000000-0005-0000-0000-000017020000}"/>
    <cellStyle name="Linked Cell 12" xfId="537" xr:uid="{00000000-0005-0000-0000-000018020000}"/>
    <cellStyle name="Linked Cell 13" xfId="538" xr:uid="{00000000-0005-0000-0000-000019020000}"/>
    <cellStyle name="Linked Cell 14" xfId="539" xr:uid="{00000000-0005-0000-0000-00001A020000}"/>
    <cellStyle name="Linked Cell 2" xfId="540" xr:uid="{00000000-0005-0000-0000-00001B020000}"/>
    <cellStyle name="Linked Cell 3" xfId="541" xr:uid="{00000000-0005-0000-0000-00001C020000}"/>
    <cellStyle name="Linked Cell 4" xfId="542" xr:uid="{00000000-0005-0000-0000-00001D020000}"/>
    <cellStyle name="Linked Cell 5" xfId="543" xr:uid="{00000000-0005-0000-0000-00001E020000}"/>
    <cellStyle name="Linked Cell 6" xfId="544" xr:uid="{00000000-0005-0000-0000-00001F020000}"/>
    <cellStyle name="Linked Cell 7" xfId="545" xr:uid="{00000000-0005-0000-0000-000020020000}"/>
    <cellStyle name="Linked Cell 8" xfId="546" xr:uid="{00000000-0005-0000-0000-000021020000}"/>
    <cellStyle name="Linked Cell 9" xfId="547" xr:uid="{00000000-0005-0000-0000-000022020000}"/>
    <cellStyle name="meny_Rozpočet_2013_2015" xfId="548" xr:uid="{00000000-0005-0000-0000-000023020000}"/>
    <cellStyle name="Nadpis 1" xfId="549" builtinId="16" customBuiltin="1"/>
    <cellStyle name="Nadpis 2" xfId="550" builtinId="17" customBuiltin="1"/>
    <cellStyle name="Nadpis 3" xfId="551" builtinId="18" customBuiltin="1"/>
    <cellStyle name="Nadpis 4" xfId="552" builtinId="19" customBuiltin="1"/>
    <cellStyle name="Názov" xfId="619" builtinId="15" customBuiltin="1"/>
    <cellStyle name="Neutral" xfId="553" xr:uid="{00000000-0005-0000-0000-000028020000}"/>
    <cellStyle name="Neutral 1" xfId="554" xr:uid="{00000000-0005-0000-0000-000029020000}"/>
    <cellStyle name="Neutral 10" xfId="555" xr:uid="{00000000-0005-0000-0000-00002A020000}"/>
    <cellStyle name="Neutral 11" xfId="556" xr:uid="{00000000-0005-0000-0000-00002B020000}"/>
    <cellStyle name="Neutral 12" xfId="557" xr:uid="{00000000-0005-0000-0000-00002C020000}"/>
    <cellStyle name="Neutral 13" xfId="558" xr:uid="{00000000-0005-0000-0000-00002D020000}"/>
    <cellStyle name="Neutral 14" xfId="559" xr:uid="{00000000-0005-0000-0000-00002E020000}"/>
    <cellStyle name="Neutral 2" xfId="560" xr:uid="{00000000-0005-0000-0000-00002F020000}"/>
    <cellStyle name="Neutral 3" xfId="561" xr:uid="{00000000-0005-0000-0000-000030020000}"/>
    <cellStyle name="Neutral 4" xfId="562" xr:uid="{00000000-0005-0000-0000-000031020000}"/>
    <cellStyle name="Neutral 5" xfId="563" xr:uid="{00000000-0005-0000-0000-000032020000}"/>
    <cellStyle name="Neutral 6" xfId="564" xr:uid="{00000000-0005-0000-0000-000033020000}"/>
    <cellStyle name="Neutral 7" xfId="565" xr:uid="{00000000-0005-0000-0000-000034020000}"/>
    <cellStyle name="Neutral 8" xfId="566" xr:uid="{00000000-0005-0000-0000-000035020000}"/>
    <cellStyle name="Neutral 9" xfId="567" xr:uid="{00000000-0005-0000-0000-000036020000}"/>
    <cellStyle name="Neutrálna" xfId="568" builtinId="28" customBuiltin="1"/>
    <cellStyle name="Normálna" xfId="0" builtinId="0"/>
    <cellStyle name="normálne_Rozpočet_2013_2015" xfId="569" xr:uid="{00000000-0005-0000-0000-000039020000}"/>
    <cellStyle name="Note" xfId="570" xr:uid="{00000000-0005-0000-0000-00003A020000}"/>
    <cellStyle name="Note 1" xfId="571" xr:uid="{00000000-0005-0000-0000-00003B020000}"/>
    <cellStyle name="Note 10" xfId="572" xr:uid="{00000000-0005-0000-0000-00003C020000}"/>
    <cellStyle name="Note 11" xfId="573" xr:uid="{00000000-0005-0000-0000-00003D020000}"/>
    <cellStyle name="Note 12" xfId="574" xr:uid="{00000000-0005-0000-0000-00003E020000}"/>
    <cellStyle name="Note 13" xfId="575" xr:uid="{00000000-0005-0000-0000-00003F020000}"/>
    <cellStyle name="Note 14" xfId="576" xr:uid="{00000000-0005-0000-0000-000040020000}"/>
    <cellStyle name="Note 2" xfId="577" xr:uid="{00000000-0005-0000-0000-000041020000}"/>
    <cellStyle name="Note 3" xfId="578" xr:uid="{00000000-0005-0000-0000-000042020000}"/>
    <cellStyle name="Note 4" xfId="579" xr:uid="{00000000-0005-0000-0000-000043020000}"/>
    <cellStyle name="Note 5" xfId="580" xr:uid="{00000000-0005-0000-0000-000044020000}"/>
    <cellStyle name="Note 6" xfId="581" xr:uid="{00000000-0005-0000-0000-000045020000}"/>
    <cellStyle name="Note 7" xfId="582" xr:uid="{00000000-0005-0000-0000-000046020000}"/>
    <cellStyle name="Note 8" xfId="583" xr:uid="{00000000-0005-0000-0000-000047020000}"/>
    <cellStyle name="Note 9" xfId="584" xr:uid="{00000000-0005-0000-0000-000048020000}"/>
    <cellStyle name="Output" xfId="585" xr:uid="{00000000-0005-0000-0000-000049020000}"/>
    <cellStyle name="Output 1" xfId="586" xr:uid="{00000000-0005-0000-0000-00004A020000}"/>
    <cellStyle name="Output 10" xfId="587" xr:uid="{00000000-0005-0000-0000-00004B020000}"/>
    <cellStyle name="Output 11" xfId="588" xr:uid="{00000000-0005-0000-0000-00004C020000}"/>
    <cellStyle name="Output 12" xfId="589" xr:uid="{00000000-0005-0000-0000-00004D020000}"/>
    <cellStyle name="Output 13" xfId="590" xr:uid="{00000000-0005-0000-0000-00004E020000}"/>
    <cellStyle name="Output 14" xfId="591" xr:uid="{00000000-0005-0000-0000-00004F020000}"/>
    <cellStyle name="Output 2" xfId="592" xr:uid="{00000000-0005-0000-0000-000050020000}"/>
    <cellStyle name="Output 3" xfId="593" xr:uid="{00000000-0005-0000-0000-000051020000}"/>
    <cellStyle name="Output 4" xfId="594" xr:uid="{00000000-0005-0000-0000-000052020000}"/>
    <cellStyle name="Output 5" xfId="595" xr:uid="{00000000-0005-0000-0000-000053020000}"/>
    <cellStyle name="Output 6" xfId="596" xr:uid="{00000000-0005-0000-0000-000054020000}"/>
    <cellStyle name="Output 7" xfId="597" xr:uid="{00000000-0005-0000-0000-000055020000}"/>
    <cellStyle name="Output 8" xfId="598" xr:uid="{00000000-0005-0000-0000-000056020000}"/>
    <cellStyle name="Output 9" xfId="599" xr:uid="{00000000-0005-0000-0000-000057020000}"/>
    <cellStyle name="Poznámka" xfId="600" builtinId="10" customBuiltin="1"/>
    <cellStyle name="Prepojená bunka" xfId="601" builtinId="24" customBuiltin="1"/>
    <cellStyle name="Spolu" xfId="602" builtinId="25" customBuiltin="1"/>
    <cellStyle name="Text upozornenia" xfId="603" builtinId="11" customBuiltin="1"/>
    <cellStyle name="Title" xfId="604" xr:uid="{00000000-0005-0000-0000-00005C020000}"/>
    <cellStyle name="Title 1" xfId="605" xr:uid="{00000000-0005-0000-0000-00005D020000}"/>
    <cellStyle name="Title 10" xfId="606" xr:uid="{00000000-0005-0000-0000-00005E020000}"/>
    <cellStyle name="Title 11" xfId="607" xr:uid="{00000000-0005-0000-0000-00005F020000}"/>
    <cellStyle name="Title 12" xfId="608" xr:uid="{00000000-0005-0000-0000-000060020000}"/>
    <cellStyle name="Title 13" xfId="609" xr:uid="{00000000-0005-0000-0000-000061020000}"/>
    <cellStyle name="Title 14" xfId="610" xr:uid="{00000000-0005-0000-0000-000062020000}"/>
    <cellStyle name="Title 2" xfId="611" xr:uid="{00000000-0005-0000-0000-000063020000}"/>
    <cellStyle name="Title 3" xfId="612" xr:uid="{00000000-0005-0000-0000-000064020000}"/>
    <cellStyle name="Title 4" xfId="613" xr:uid="{00000000-0005-0000-0000-000065020000}"/>
    <cellStyle name="Title 5" xfId="614" xr:uid="{00000000-0005-0000-0000-000066020000}"/>
    <cellStyle name="Title 6" xfId="615" xr:uid="{00000000-0005-0000-0000-000067020000}"/>
    <cellStyle name="Title 7" xfId="616" xr:uid="{00000000-0005-0000-0000-000068020000}"/>
    <cellStyle name="Title 8" xfId="617" xr:uid="{00000000-0005-0000-0000-000069020000}"/>
    <cellStyle name="Title 9" xfId="618" xr:uid="{00000000-0005-0000-0000-00006A020000}"/>
    <cellStyle name="Total" xfId="620" xr:uid="{00000000-0005-0000-0000-00006C020000}"/>
    <cellStyle name="Total 1" xfId="621" xr:uid="{00000000-0005-0000-0000-00006D020000}"/>
    <cellStyle name="Total 10" xfId="622" xr:uid="{00000000-0005-0000-0000-00006E020000}"/>
    <cellStyle name="Total 11" xfId="623" xr:uid="{00000000-0005-0000-0000-00006F020000}"/>
    <cellStyle name="Total 12" xfId="624" xr:uid="{00000000-0005-0000-0000-000070020000}"/>
    <cellStyle name="Total 13" xfId="625" xr:uid="{00000000-0005-0000-0000-000071020000}"/>
    <cellStyle name="Total 14" xfId="626" xr:uid="{00000000-0005-0000-0000-000072020000}"/>
    <cellStyle name="Total 2" xfId="627" xr:uid="{00000000-0005-0000-0000-000073020000}"/>
    <cellStyle name="Total 3" xfId="628" xr:uid="{00000000-0005-0000-0000-000074020000}"/>
    <cellStyle name="Total 4" xfId="629" xr:uid="{00000000-0005-0000-0000-000075020000}"/>
    <cellStyle name="Total 5" xfId="630" xr:uid="{00000000-0005-0000-0000-000076020000}"/>
    <cellStyle name="Total 6" xfId="631" xr:uid="{00000000-0005-0000-0000-000077020000}"/>
    <cellStyle name="Total 7" xfId="632" xr:uid="{00000000-0005-0000-0000-000078020000}"/>
    <cellStyle name="Total 8" xfId="633" xr:uid="{00000000-0005-0000-0000-000079020000}"/>
    <cellStyle name="Total 9" xfId="634" xr:uid="{00000000-0005-0000-0000-00007A020000}"/>
    <cellStyle name="Vstup" xfId="635" builtinId="20" customBuiltin="1"/>
    <cellStyle name="Výpočet" xfId="636" builtinId="22" customBuiltin="1"/>
    <cellStyle name="Výstup" xfId="637" builtinId="21" customBuiltin="1"/>
    <cellStyle name="Vysvetľujúci text" xfId="638" builtinId="53" customBuiltin="1"/>
    <cellStyle name="Warning Text" xfId="639" xr:uid="{00000000-0005-0000-0000-00007F020000}"/>
    <cellStyle name="Warning Text 1" xfId="640" xr:uid="{00000000-0005-0000-0000-000080020000}"/>
    <cellStyle name="Warning Text 10" xfId="641" xr:uid="{00000000-0005-0000-0000-000081020000}"/>
    <cellStyle name="Warning Text 11" xfId="642" xr:uid="{00000000-0005-0000-0000-000082020000}"/>
    <cellStyle name="Warning Text 12" xfId="643" xr:uid="{00000000-0005-0000-0000-000083020000}"/>
    <cellStyle name="Warning Text 13" xfId="644" xr:uid="{00000000-0005-0000-0000-000084020000}"/>
    <cellStyle name="Warning Text 14" xfId="645" xr:uid="{00000000-0005-0000-0000-000085020000}"/>
    <cellStyle name="Warning Text 2" xfId="646" xr:uid="{00000000-0005-0000-0000-000086020000}"/>
    <cellStyle name="Warning Text 3" xfId="647" xr:uid="{00000000-0005-0000-0000-000087020000}"/>
    <cellStyle name="Warning Text 4" xfId="648" xr:uid="{00000000-0005-0000-0000-000088020000}"/>
    <cellStyle name="Warning Text 5" xfId="649" xr:uid="{00000000-0005-0000-0000-000089020000}"/>
    <cellStyle name="Warning Text 6" xfId="650" xr:uid="{00000000-0005-0000-0000-00008A020000}"/>
    <cellStyle name="Warning Text 7" xfId="651" xr:uid="{00000000-0005-0000-0000-00008B020000}"/>
    <cellStyle name="Warning Text 8" xfId="652" xr:uid="{00000000-0005-0000-0000-00008C020000}"/>
    <cellStyle name="Warning Text 9" xfId="653" xr:uid="{00000000-0005-0000-0000-00008D020000}"/>
    <cellStyle name="Zlá" xfId="654" builtinId="27" customBuiltin="1"/>
    <cellStyle name="Zvýraznenie1" xfId="655" builtinId="29" customBuiltin="1"/>
    <cellStyle name="Zvýraznenie2" xfId="656" builtinId="33" customBuiltin="1"/>
    <cellStyle name="Zvýraznenie3" xfId="657" builtinId="37" customBuiltin="1"/>
    <cellStyle name="Zvýraznenie4" xfId="658" builtinId="41" customBuiltin="1"/>
    <cellStyle name="Zvýraznenie5" xfId="659" builtinId="45" customBuiltin="1"/>
    <cellStyle name="Zvýraznenie6" xfId="660" builtinId="49" customBuiltin="1"/>
  </cellStyles>
  <dxfs count="0"/>
  <tableStyles count="0" defaultTableStyle="TableStyleMedium2" defaultPivotStyle="PivotStyleLight16"/>
  <colors>
    <mruColors>
      <color rgb="FFFFFFCC"/>
      <color rgb="FFFFFF66"/>
      <color rgb="FFCCFFCC"/>
      <color rgb="FFFFFF00"/>
      <color rgb="FFFFCC99"/>
      <color rgb="FFFF99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o26795\AppData\Local\Temp\N&#225;vrh%20rozpo&#269;tu%2020-21-22-19.11.2019-12.12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jmová časť"/>
      <sheetName val="príjmy"/>
      <sheetName val="Program 1"/>
      <sheetName val="Program 2"/>
      <sheetName val="Program 3"/>
      <sheetName val="Program 4"/>
      <sheetName val="Program 5"/>
      <sheetName val="Program 6"/>
      <sheetName val="Program 7"/>
      <sheetName val="Program 8"/>
      <sheetName val="Program 9"/>
      <sheetName val="Program 10"/>
      <sheetName val="Bilancia"/>
      <sheetName val="výdavky"/>
      <sheetName val="Hárok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0">
          <cell r="D30">
            <v>13924.939999999999</v>
          </cell>
          <cell r="E30">
            <v>14402</v>
          </cell>
          <cell r="F30">
            <v>12650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Červenofialová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2"/>
  <sheetViews>
    <sheetView view="pageLayout" topLeftCell="A135" zoomScaleNormal="100" workbookViewId="0">
      <selection activeCell="M128" sqref="M128"/>
    </sheetView>
  </sheetViews>
  <sheetFormatPr defaultColWidth="8.42578125" defaultRowHeight="12.75" x14ac:dyDescent="0.2"/>
  <cols>
    <col min="1" max="1" width="4.140625" style="1" customWidth="1"/>
    <col min="2" max="8" width="4.140625" customWidth="1"/>
    <col min="9" max="9" width="9.5703125" style="2" customWidth="1"/>
    <col min="10" max="11" width="10" bestFit="1" customWidth="1"/>
    <col min="12" max="12" width="10.42578125" bestFit="1" customWidth="1"/>
    <col min="13" max="13" width="11.28515625" bestFit="1" customWidth="1"/>
    <col min="14" max="15" width="10" bestFit="1" customWidth="1"/>
  </cols>
  <sheetData>
    <row r="1" spans="1:15" ht="18" x14ac:dyDescent="0.25">
      <c r="A1" s="1993" t="s">
        <v>0</v>
      </c>
      <c r="B1" s="1993"/>
      <c r="C1" s="1993"/>
      <c r="D1" s="1993"/>
      <c r="E1" s="1993"/>
      <c r="F1" s="1993"/>
      <c r="G1" s="1993"/>
      <c r="H1" s="1993"/>
      <c r="I1" s="1993"/>
      <c r="J1" s="1993"/>
      <c r="K1" s="1993"/>
      <c r="L1" s="1993"/>
      <c r="M1" s="1993"/>
      <c r="N1" s="1993"/>
      <c r="O1" s="1993"/>
    </row>
    <row r="2" spans="1:15" ht="13.5" thickBot="1" x14ac:dyDescent="0.25"/>
    <row r="3" spans="1:15" ht="15.75" thickBot="1" x14ac:dyDescent="0.25">
      <c r="A3" s="1963" t="s">
        <v>1</v>
      </c>
      <c r="B3" s="1964"/>
      <c r="C3" s="1964"/>
      <c r="D3" s="1964"/>
      <c r="E3" s="1964"/>
      <c r="F3" s="1964"/>
      <c r="G3" s="1964"/>
      <c r="H3" s="1965"/>
      <c r="I3" s="996">
        <f t="shared" ref="I3:O3" si="0">I5+I27+I69</f>
        <v>1587130</v>
      </c>
      <c r="J3" s="992">
        <f t="shared" si="0"/>
        <v>1610436</v>
      </c>
      <c r="K3" s="992">
        <f t="shared" si="0"/>
        <v>1621629</v>
      </c>
      <c r="L3" s="993">
        <f t="shared" si="0"/>
        <v>1823324</v>
      </c>
      <c r="M3" s="994">
        <f t="shared" si="0"/>
        <v>1765829</v>
      </c>
      <c r="N3" s="995">
        <f t="shared" si="0"/>
        <v>1835434</v>
      </c>
      <c r="O3" s="992">
        <f t="shared" si="0"/>
        <v>1955631</v>
      </c>
    </row>
    <row r="4" spans="1:15" ht="15.75" thickBot="1" x14ac:dyDescent="0.25">
      <c r="A4" s="3"/>
      <c r="B4" s="4"/>
      <c r="C4" s="4"/>
      <c r="D4" s="4"/>
      <c r="E4" s="4"/>
      <c r="F4" s="4"/>
      <c r="G4" s="4"/>
      <c r="H4" s="4"/>
      <c r="I4" s="5"/>
    </row>
    <row r="5" spans="1:15" ht="15.75" thickBot="1" x14ac:dyDescent="0.25">
      <c r="A5" s="2003" t="s">
        <v>2</v>
      </c>
      <c r="B5" s="2003"/>
      <c r="C5" s="2003"/>
      <c r="D5" s="2003"/>
      <c r="E5" s="2003"/>
      <c r="F5" s="2003"/>
      <c r="G5" s="2003"/>
      <c r="H5" s="2003"/>
      <c r="I5" s="1351">
        <f t="shared" ref="I5:O5" si="1">I8+I10+I12+I14+I16+I18+I20</f>
        <v>1236563</v>
      </c>
      <c r="J5" s="947">
        <f>J8+J10+J12+J14+J16+J18+J20</f>
        <v>1300537</v>
      </c>
      <c r="K5" s="947">
        <f t="shared" si="1"/>
        <v>1335649</v>
      </c>
      <c r="L5" s="948">
        <f>L8+L10+L12+L14+L16+L18+L20</f>
        <v>1410196</v>
      </c>
      <c r="M5" s="949">
        <f t="shared" si="1"/>
        <v>1412299</v>
      </c>
      <c r="N5" s="950">
        <f t="shared" si="1"/>
        <v>1469634</v>
      </c>
      <c r="O5" s="947">
        <f t="shared" si="1"/>
        <v>1582631</v>
      </c>
    </row>
    <row r="6" spans="1:15" ht="15" x14ac:dyDescent="0.2">
      <c r="A6" s="910"/>
      <c r="B6" s="911"/>
      <c r="C6" s="911"/>
      <c r="D6" s="911"/>
      <c r="E6" s="911"/>
      <c r="F6" s="911"/>
      <c r="G6" s="911"/>
      <c r="H6" s="912"/>
      <c r="I6" s="952">
        <v>2021</v>
      </c>
      <c r="J6" s="952">
        <v>2022</v>
      </c>
      <c r="K6" s="952" t="s">
        <v>998</v>
      </c>
      <c r="L6" s="953" t="s">
        <v>999</v>
      </c>
      <c r="M6" s="991">
        <v>2024</v>
      </c>
      <c r="N6" s="954">
        <v>2025</v>
      </c>
      <c r="O6" s="955">
        <v>2026</v>
      </c>
    </row>
    <row r="7" spans="1:15" x14ac:dyDescent="0.2">
      <c r="A7" s="889" t="s">
        <v>3</v>
      </c>
      <c r="B7" s="878" t="s">
        <v>4</v>
      </c>
      <c r="C7" s="878"/>
      <c r="D7" s="878"/>
      <c r="E7" s="878"/>
      <c r="F7" s="878"/>
      <c r="G7" s="878"/>
      <c r="H7" s="878"/>
      <c r="I7" s="879"/>
      <c r="J7" s="880"/>
      <c r="K7" s="881"/>
      <c r="L7" s="881"/>
      <c r="M7" s="887"/>
      <c r="N7" s="881"/>
      <c r="O7" s="890"/>
    </row>
    <row r="8" spans="1:15" ht="45.2" customHeight="1" x14ac:dyDescent="0.2">
      <c r="A8" s="1990" t="s">
        <v>5</v>
      </c>
      <c r="B8" s="1991"/>
      <c r="C8" s="1991"/>
      <c r="D8" s="1991"/>
      <c r="E8" s="1991"/>
      <c r="F8" s="1991"/>
      <c r="G8" s="1991"/>
      <c r="H8" s="1991"/>
      <c r="I8" s="925">
        <f>príjmy!L10</f>
        <v>989072</v>
      </c>
      <c r="J8" s="925">
        <f>príjmy!M10</f>
        <v>1057646</v>
      </c>
      <c r="K8" s="925">
        <f>príjmy!N10</f>
        <v>1094958</v>
      </c>
      <c r="L8" s="926">
        <f>príjmy!O10</f>
        <v>1162802</v>
      </c>
      <c r="M8" s="1073">
        <f>príjmy!P10</f>
        <v>1158608</v>
      </c>
      <c r="N8" s="927">
        <f>príjmy!Q10</f>
        <v>1209773</v>
      </c>
      <c r="O8" s="928">
        <f>príjmy!R10</f>
        <v>1322770</v>
      </c>
    </row>
    <row r="9" spans="1:15" x14ac:dyDescent="0.2">
      <c r="A9" s="889" t="s">
        <v>6</v>
      </c>
      <c r="B9" s="878" t="s">
        <v>7</v>
      </c>
      <c r="C9" s="878"/>
      <c r="D9" s="878"/>
      <c r="E9" s="878"/>
      <c r="F9" s="878"/>
      <c r="G9" s="878"/>
      <c r="H9" s="878"/>
      <c r="I9" s="882"/>
      <c r="J9" s="881"/>
      <c r="K9" s="881"/>
      <c r="L9" s="881"/>
      <c r="M9" s="888"/>
      <c r="N9" s="881"/>
      <c r="O9" s="890"/>
    </row>
    <row r="10" spans="1:15" ht="119.1" customHeight="1" x14ac:dyDescent="0.2">
      <c r="A10" s="1990" t="s">
        <v>8</v>
      </c>
      <c r="B10" s="1991"/>
      <c r="C10" s="1991"/>
      <c r="D10" s="1991"/>
      <c r="E10" s="1991"/>
      <c r="F10" s="1991"/>
      <c r="G10" s="1991"/>
      <c r="H10" s="1991"/>
      <c r="I10" s="925">
        <f>príjmy!L16</f>
        <v>211200</v>
      </c>
      <c r="J10" s="925">
        <f>príjmy!M16+príjmy!M31</f>
        <v>211300</v>
      </c>
      <c r="K10" s="925">
        <f>príjmy!N16+príjmy!N31</f>
        <v>211300</v>
      </c>
      <c r="L10" s="926">
        <f>príjmy!O16+príjmy!O31</f>
        <v>217313</v>
      </c>
      <c r="M10" s="1073">
        <f>príjmy!P16+príjmy!P31</f>
        <v>223300</v>
      </c>
      <c r="N10" s="929">
        <f>príjmy!Q16+príjmy!Q31</f>
        <v>228000</v>
      </c>
      <c r="O10" s="930">
        <f>príjmy!R16+príjmy!R31</f>
        <v>228000</v>
      </c>
    </row>
    <row r="11" spans="1:15" x14ac:dyDescent="0.2">
      <c r="A11" s="889" t="s">
        <v>9</v>
      </c>
      <c r="B11" s="878" t="s">
        <v>10</v>
      </c>
      <c r="C11" s="878"/>
      <c r="D11" s="878"/>
      <c r="E11" s="878"/>
      <c r="F11" s="878"/>
      <c r="G11" s="878"/>
      <c r="H11" s="878"/>
      <c r="I11" s="883"/>
      <c r="J11" s="881"/>
      <c r="K11" s="881"/>
      <c r="L11" s="881"/>
      <c r="M11" s="888"/>
      <c r="N11" s="881"/>
      <c r="O11" s="890"/>
    </row>
    <row r="12" spans="1:15" ht="99.2" customHeight="1" x14ac:dyDescent="0.2">
      <c r="A12" s="2006" t="s">
        <v>11</v>
      </c>
      <c r="B12" s="2007"/>
      <c r="C12" s="2007"/>
      <c r="D12" s="2007"/>
      <c r="E12" s="2007"/>
      <c r="F12" s="2007"/>
      <c r="G12" s="2007"/>
      <c r="H12" s="2007"/>
      <c r="I12" s="931">
        <f>príjmy!L27+príjmy!L31</f>
        <v>400</v>
      </c>
      <c r="J12" s="932">
        <f>príjmy!M27</f>
        <v>500</v>
      </c>
      <c r="K12" s="932">
        <f>príjmy!N27</f>
        <v>500</v>
      </c>
      <c r="L12" s="933">
        <f>príjmy!O27</f>
        <v>800</v>
      </c>
      <c r="M12" s="1074">
        <f>príjmy!P27</f>
        <v>500</v>
      </c>
      <c r="N12" s="934">
        <f>príjmy!Q27</f>
        <v>1400</v>
      </c>
      <c r="O12" s="935">
        <f>príjmy!R27</f>
        <v>1400</v>
      </c>
    </row>
    <row r="13" spans="1:15" x14ac:dyDescent="0.2">
      <c r="A13" s="889" t="s">
        <v>12</v>
      </c>
      <c r="B13" s="1973" t="s">
        <v>13</v>
      </c>
      <c r="C13" s="1973"/>
      <c r="D13" s="1973"/>
      <c r="E13" s="1973"/>
      <c r="F13" s="1973"/>
      <c r="G13" s="1973"/>
      <c r="H13" s="1973"/>
      <c r="I13" s="882"/>
      <c r="J13" s="881"/>
      <c r="K13" s="881"/>
      <c r="L13" s="881"/>
      <c r="M13" s="888"/>
      <c r="N13" s="881"/>
      <c r="O13" s="890"/>
    </row>
    <row r="14" spans="1:15" ht="56.85" customHeight="1" x14ac:dyDescent="0.2">
      <c r="A14" s="1988" t="s">
        <v>14</v>
      </c>
      <c r="B14" s="1989"/>
      <c r="C14" s="1989"/>
      <c r="D14" s="1989"/>
      <c r="E14" s="1989"/>
      <c r="F14" s="1989"/>
      <c r="G14" s="1989"/>
      <c r="H14" s="1989"/>
      <c r="I14" s="931">
        <f>príjmy!L24+príjmy!L25</f>
        <v>2530</v>
      </c>
      <c r="J14" s="938">
        <f>príjmy!M24+príjmy!M25</f>
        <v>2530</v>
      </c>
      <c r="K14" s="938">
        <f>príjmy!N24+príjmy!N25</f>
        <v>2530</v>
      </c>
      <c r="L14" s="939">
        <f>príjmy!O24+príjmy!O25</f>
        <v>2220</v>
      </c>
      <c r="M14" s="1074">
        <f>príjmy!P24+príjmy!P25</f>
        <v>2530</v>
      </c>
      <c r="N14" s="934">
        <f>príjmy!Q24+príjmy!Q25</f>
        <v>3100</v>
      </c>
      <c r="O14" s="935">
        <f>príjmy!R24+príjmy!R25</f>
        <v>3100</v>
      </c>
    </row>
    <row r="15" spans="1:15" x14ac:dyDescent="0.2">
      <c r="A15" s="889" t="s">
        <v>15</v>
      </c>
      <c r="B15" s="1973" t="s">
        <v>16</v>
      </c>
      <c r="C15" s="1973"/>
      <c r="D15" s="1973"/>
      <c r="E15" s="1973"/>
      <c r="F15" s="1973"/>
      <c r="G15" s="1973"/>
      <c r="H15" s="1973"/>
      <c r="I15" s="882"/>
      <c r="J15" s="881"/>
      <c r="K15" s="881"/>
      <c r="L15" s="881"/>
      <c r="M15" s="888"/>
      <c r="N15" s="877"/>
      <c r="O15" s="891"/>
    </row>
    <row r="16" spans="1:15" ht="48.2" customHeight="1" x14ac:dyDescent="0.2">
      <c r="A16" s="1988" t="s">
        <v>17</v>
      </c>
      <c r="B16" s="1989"/>
      <c r="C16" s="1989"/>
      <c r="D16" s="1989"/>
      <c r="E16" s="1989"/>
      <c r="F16" s="1989"/>
      <c r="G16" s="1989"/>
      <c r="H16" s="1989"/>
      <c r="I16" s="931">
        <f>príjmy!L26</f>
        <v>0</v>
      </c>
      <c r="J16" s="938">
        <f>príjmy!M26</f>
        <v>0</v>
      </c>
      <c r="K16" s="938">
        <f>príjmy!N26</f>
        <v>0</v>
      </c>
      <c r="L16" s="939">
        <f>príjmy!O26</f>
        <v>0</v>
      </c>
      <c r="M16" s="1074">
        <f>príjmy!P26</f>
        <v>0</v>
      </c>
      <c r="N16" s="934">
        <f>príjmy!Q26</f>
        <v>0</v>
      </c>
      <c r="O16" s="935">
        <f>príjmy!R26</f>
        <v>0</v>
      </c>
    </row>
    <row r="17" spans="1:15" x14ac:dyDescent="0.2">
      <c r="A17" s="889" t="s">
        <v>18</v>
      </c>
      <c r="B17" s="884" t="s">
        <v>19</v>
      </c>
      <c r="C17" s="884"/>
      <c r="D17" s="884"/>
      <c r="E17" s="884"/>
      <c r="F17" s="884"/>
      <c r="G17" s="884"/>
      <c r="H17" s="884"/>
      <c r="I17" s="883"/>
      <c r="J17" s="881"/>
      <c r="K17" s="881"/>
      <c r="L17" s="881"/>
      <c r="M17" s="888"/>
      <c r="N17" s="881"/>
      <c r="O17" s="890"/>
    </row>
    <row r="18" spans="1:15" ht="130.35" customHeight="1" x14ac:dyDescent="0.2">
      <c r="A18" s="1954" t="s">
        <v>679</v>
      </c>
      <c r="B18" s="2004"/>
      <c r="C18" s="2004"/>
      <c r="D18" s="2004"/>
      <c r="E18" s="2004"/>
      <c r="F18" s="2004"/>
      <c r="G18" s="2004"/>
      <c r="H18" s="2005"/>
      <c r="I18" s="940">
        <f>príjmy!L30</f>
        <v>26361</v>
      </c>
      <c r="J18" s="940">
        <f>príjmy!M30</f>
        <v>26361</v>
      </c>
      <c r="K18" s="940">
        <f>príjmy!N30</f>
        <v>26361</v>
      </c>
      <c r="L18" s="941">
        <f>príjmy!O30</f>
        <v>26361</v>
      </c>
      <c r="M18" s="1074">
        <f>príjmy!P30</f>
        <v>26361</v>
      </c>
      <c r="N18" s="934">
        <f>príjmy!Q30</f>
        <v>26361</v>
      </c>
      <c r="O18" s="935">
        <f>príjmy!R30</f>
        <v>26361</v>
      </c>
    </row>
    <row r="19" spans="1:15" x14ac:dyDescent="0.2">
      <c r="A19" s="892" t="s">
        <v>20</v>
      </c>
      <c r="B19" s="885" t="s">
        <v>21</v>
      </c>
      <c r="C19" s="878"/>
      <c r="D19" s="878"/>
      <c r="E19" s="878"/>
      <c r="F19" s="878"/>
      <c r="G19" s="878"/>
      <c r="H19" s="878"/>
      <c r="I19" s="886"/>
      <c r="J19" s="881"/>
      <c r="K19" s="881"/>
      <c r="L19" s="881"/>
      <c r="M19" s="888"/>
      <c r="N19" s="881"/>
      <c r="O19" s="890"/>
    </row>
    <row r="20" spans="1:15" ht="79.349999999999994" customHeight="1" thickBot="1" x14ac:dyDescent="0.25">
      <c r="A20" s="1976" t="s">
        <v>22</v>
      </c>
      <c r="B20" s="1977"/>
      <c r="C20" s="1977"/>
      <c r="D20" s="1977"/>
      <c r="E20" s="1977"/>
      <c r="F20" s="1977"/>
      <c r="G20" s="1977"/>
      <c r="H20" s="1977"/>
      <c r="I20" s="942">
        <f>príjmy!L28+príjmy!L29</f>
        <v>7000</v>
      </c>
      <c r="J20" s="943">
        <f>príjmy!M28+príjmy!M29</f>
        <v>2200</v>
      </c>
      <c r="K20" s="943">
        <f>príjmy!N28+príjmy!N29</f>
        <v>0</v>
      </c>
      <c r="L20" s="944">
        <f>príjmy!O28+príjmy!O29</f>
        <v>700</v>
      </c>
      <c r="M20" s="1075">
        <f>príjmy!P28+príjmy!P29</f>
        <v>1000</v>
      </c>
      <c r="N20" s="945">
        <f>príjmy!Q28+príjmy!Q29</f>
        <v>1000</v>
      </c>
      <c r="O20" s="946">
        <f>príjmy!R28+príjmy!R29</f>
        <v>1000</v>
      </c>
    </row>
    <row r="21" spans="1:15" ht="15" x14ac:dyDescent="0.2">
      <c r="A21" s="6"/>
      <c r="B21" s="7"/>
      <c r="C21" s="7"/>
      <c r="D21" s="7"/>
      <c r="E21" s="7"/>
      <c r="F21" s="7"/>
      <c r="G21" s="7"/>
      <c r="H21" s="7"/>
      <c r="I21" s="8"/>
    </row>
    <row r="22" spans="1:15" ht="15" x14ac:dyDescent="0.2">
      <c r="A22" s="6"/>
      <c r="B22" s="7"/>
      <c r="C22" s="7"/>
      <c r="D22" s="7"/>
      <c r="E22" s="7"/>
      <c r="F22" s="7"/>
      <c r="G22" s="7"/>
      <c r="H22" s="7"/>
      <c r="I22" s="8"/>
    </row>
    <row r="23" spans="1:15" ht="15" x14ac:dyDescent="0.2">
      <c r="A23" s="6"/>
      <c r="B23" s="7"/>
      <c r="C23" s="7"/>
      <c r="D23" s="7"/>
      <c r="E23" s="7"/>
      <c r="F23" s="7"/>
      <c r="G23" s="7"/>
      <c r="H23" s="7"/>
      <c r="I23" s="8"/>
    </row>
    <row r="24" spans="1:15" ht="15" x14ac:dyDescent="0.2">
      <c r="A24" s="6"/>
      <c r="B24" s="7"/>
      <c r="C24" s="7"/>
      <c r="D24" s="7"/>
      <c r="E24" s="7"/>
      <c r="F24" s="7"/>
      <c r="G24" s="7"/>
      <c r="H24" s="7"/>
      <c r="I24" s="8"/>
    </row>
    <row r="25" spans="1:15" ht="15" x14ac:dyDescent="0.2">
      <c r="A25" s="6"/>
      <c r="B25" s="7"/>
      <c r="C25" s="7"/>
      <c r="D25" s="7"/>
      <c r="E25" s="7"/>
      <c r="F25" s="7"/>
      <c r="G25" s="7"/>
      <c r="H25" s="7"/>
      <c r="I25" s="8"/>
    </row>
    <row r="26" spans="1:15" ht="15.75" thickBot="1" x14ac:dyDescent="0.25">
      <c r="A26" s="6"/>
      <c r="B26" s="7"/>
      <c r="C26" s="7"/>
      <c r="D26" s="7"/>
      <c r="E26" s="7"/>
      <c r="F26" s="7"/>
      <c r="G26" s="7"/>
      <c r="H26" s="7"/>
      <c r="I26" s="8"/>
    </row>
    <row r="27" spans="1:15" ht="15.75" thickBot="1" x14ac:dyDescent="0.25">
      <c r="A27" s="1978" t="s">
        <v>23</v>
      </c>
      <c r="B27" s="1979"/>
      <c r="C27" s="1979"/>
      <c r="D27" s="1979"/>
      <c r="E27" s="1979"/>
      <c r="F27" s="1979"/>
      <c r="G27" s="1979"/>
      <c r="H27" s="1980"/>
      <c r="I27" s="951">
        <f>I30+I32+I34+I36+I38+I40+I42+I44+I48+I50+I52+I54+I46</f>
        <v>165780</v>
      </c>
      <c r="J27" s="947">
        <f t="shared" ref="J27:O27" si="2">J30+J32+J34+J36+J38+J40+J42+J44+J48+J50+J52+J54+J46</f>
        <v>184535</v>
      </c>
      <c r="K27" s="947">
        <f t="shared" si="2"/>
        <v>169580</v>
      </c>
      <c r="L27" s="948">
        <f t="shared" si="2"/>
        <v>208753</v>
      </c>
      <c r="M27" s="949">
        <f t="shared" si="2"/>
        <v>172580</v>
      </c>
      <c r="N27" s="950">
        <f t="shared" si="2"/>
        <v>180550</v>
      </c>
      <c r="O27" s="947">
        <f t="shared" si="2"/>
        <v>182550</v>
      </c>
    </row>
    <row r="28" spans="1:15" ht="15" x14ac:dyDescent="0.2">
      <c r="A28" s="910"/>
      <c r="B28" s="911"/>
      <c r="C28" s="911"/>
      <c r="D28" s="911"/>
      <c r="E28" s="911"/>
      <c r="F28" s="911"/>
      <c r="G28" s="911"/>
      <c r="H28" s="912"/>
      <c r="I28" s="952">
        <v>2021</v>
      </c>
      <c r="J28" s="952">
        <v>2022</v>
      </c>
      <c r="K28" s="952" t="s">
        <v>998</v>
      </c>
      <c r="L28" s="953" t="s">
        <v>999</v>
      </c>
      <c r="M28" s="991">
        <v>2024</v>
      </c>
      <c r="N28" s="954">
        <v>2025</v>
      </c>
      <c r="O28" s="955">
        <v>2026</v>
      </c>
    </row>
    <row r="29" spans="1:15" x14ac:dyDescent="0.2">
      <c r="A29" s="889" t="s">
        <v>24</v>
      </c>
      <c r="B29" s="1973" t="s">
        <v>25</v>
      </c>
      <c r="C29" s="1973"/>
      <c r="D29" s="1973"/>
      <c r="E29" s="1973"/>
      <c r="F29" s="1973"/>
      <c r="G29" s="1973"/>
      <c r="H29" s="1973"/>
      <c r="I29" s="896"/>
      <c r="J29" s="956"/>
      <c r="K29" s="956"/>
      <c r="L29" s="957"/>
      <c r="M29" s="958"/>
      <c r="N29" s="956"/>
      <c r="O29" s="957"/>
    </row>
    <row r="30" spans="1:15" ht="22.5" customHeight="1" x14ac:dyDescent="0.2">
      <c r="A30" s="1981" t="s">
        <v>26</v>
      </c>
      <c r="B30" s="1982"/>
      <c r="C30" s="1982"/>
      <c r="D30" s="1982"/>
      <c r="E30" s="1982"/>
      <c r="F30" s="1982"/>
      <c r="G30" s="1982"/>
      <c r="H30" s="1983"/>
      <c r="I30" s="963">
        <f>príjmy!L40</f>
        <v>10000</v>
      </c>
      <c r="J30" s="964">
        <f>príjmy!M40</f>
        <v>14000</v>
      </c>
      <c r="K30" s="965">
        <f>príjmy!N40</f>
        <v>14000</v>
      </c>
      <c r="L30" s="964">
        <f>príjmy!O40</f>
        <v>14000</v>
      </c>
      <c r="M30" s="1076">
        <f>príjmy!P40</f>
        <v>14000</v>
      </c>
      <c r="N30" s="964">
        <f>príjmy!Q40</f>
        <v>14000</v>
      </c>
      <c r="O30" s="937">
        <f>príjmy!R40</f>
        <v>14000</v>
      </c>
    </row>
    <row r="31" spans="1:15" x14ac:dyDescent="0.2">
      <c r="A31" s="892" t="s">
        <v>27</v>
      </c>
      <c r="B31" s="1973" t="s">
        <v>28</v>
      </c>
      <c r="C31" s="1973"/>
      <c r="D31" s="1973"/>
      <c r="E31" s="1973"/>
      <c r="F31" s="1973"/>
      <c r="G31" s="1973"/>
      <c r="H31" s="1973"/>
      <c r="I31" s="896"/>
      <c r="J31" s="956"/>
      <c r="K31" s="956"/>
      <c r="L31" s="956"/>
      <c r="M31" s="958"/>
      <c r="N31" s="956"/>
      <c r="O31" s="957"/>
    </row>
    <row r="32" spans="1:15" s="898" customFormat="1" ht="22.5" customHeight="1" x14ac:dyDescent="0.2">
      <c r="A32" s="1984" t="s">
        <v>29</v>
      </c>
      <c r="B32" s="1985"/>
      <c r="C32" s="1985"/>
      <c r="D32" s="1985"/>
      <c r="E32" s="1985"/>
      <c r="F32" s="1985"/>
      <c r="G32" s="1985"/>
      <c r="H32" s="1985"/>
      <c r="I32" s="966">
        <f>príjmy!L41</f>
        <v>20000</v>
      </c>
      <c r="J32" s="967">
        <f>príjmy!M41</f>
        <v>24000</v>
      </c>
      <c r="K32" s="968">
        <f>príjmy!N41</f>
        <v>24000</v>
      </c>
      <c r="L32" s="967">
        <f>príjmy!O41</f>
        <v>24000</v>
      </c>
      <c r="M32" s="1077">
        <f>príjmy!P41</f>
        <v>24000</v>
      </c>
      <c r="N32" s="967">
        <f>príjmy!Q41</f>
        <v>24000</v>
      </c>
      <c r="O32" s="969">
        <f>príjmy!R41</f>
        <v>24000</v>
      </c>
    </row>
    <row r="33" spans="1:15" x14ac:dyDescent="0.2">
      <c r="A33" s="889" t="s">
        <v>30</v>
      </c>
      <c r="B33" s="884" t="s">
        <v>31</v>
      </c>
      <c r="C33" s="884"/>
      <c r="D33" s="884"/>
      <c r="E33" s="884"/>
      <c r="F33" s="884"/>
      <c r="G33" s="884"/>
      <c r="H33" s="884"/>
      <c r="I33" s="896"/>
      <c r="J33" s="956"/>
      <c r="K33" s="956"/>
      <c r="L33" s="956"/>
      <c r="M33" s="958"/>
      <c r="N33" s="956"/>
      <c r="O33" s="957"/>
    </row>
    <row r="34" spans="1:15" ht="15" customHeight="1" x14ac:dyDescent="0.2">
      <c r="A34" s="1959" t="s">
        <v>32</v>
      </c>
      <c r="B34" s="1960"/>
      <c r="C34" s="1960"/>
      <c r="D34" s="1960"/>
      <c r="E34" s="1960"/>
      <c r="F34" s="1960"/>
      <c r="G34" s="1960"/>
      <c r="H34" s="1960"/>
      <c r="I34" s="959">
        <f>príjmy!L42</f>
        <v>10000</v>
      </c>
      <c r="J34" s="961">
        <f>príjmy!M42</f>
        <v>2600</v>
      </c>
      <c r="K34" s="962">
        <f>príjmy!N42</f>
        <v>3000</v>
      </c>
      <c r="L34" s="961">
        <f>príjmy!O42</f>
        <v>2100</v>
      </c>
      <c r="M34" s="1078">
        <f>príjmy!P42</f>
        <v>3000</v>
      </c>
      <c r="N34" s="961">
        <f>príjmy!Q42</f>
        <v>3000</v>
      </c>
      <c r="O34" s="936">
        <f>príjmy!R42</f>
        <v>3000</v>
      </c>
    </row>
    <row r="35" spans="1:15" ht="15" customHeight="1" x14ac:dyDescent="0.2">
      <c r="A35" s="893">
        <v>42096</v>
      </c>
      <c r="B35" s="894" t="s">
        <v>31</v>
      </c>
      <c r="C35" s="894"/>
      <c r="D35" s="894"/>
      <c r="E35" s="894"/>
      <c r="F35" s="894"/>
      <c r="G35" s="894"/>
      <c r="H35" s="894"/>
      <c r="I35" s="960"/>
      <c r="J35" s="956"/>
      <c r="K35" s="956"/>
      <c r="L35" s="956"/>
      <c r="M35" s="958"/>
      <c r="N35" s="956"/>
      <c r="O35" s="957"/>
    </row>
    <row r="36" spans="1:15" ht="15" customHeight="1" x14ac:dyDescent="0.2">
      <c r="A36" s="899" t="s">
        <v>673</v>
      </c>
      <c r="B36" s="895"/>
      <c r="C36" s="895"/>
      <c r="D36" s="895"/>
      <c r="E36" s="895"/>
      <c r="F36" s="895"/>
      <c r="G36" s="895"/>
      <c r="H36" s="895"/>
      <c r="I36" s="959">
        <f>príjmy!L43</f>
        <v>12000</v>
      </c>
      <c r="J36" s="961">
        <f>príjmy!M43</f>
        <v>17500</v>
      </c>
      <c r="K36" s="962">
        <f>príjmy!N43+príjmy!N54</f>
        <v>12000</v>
      </c>
      <c r="L36" s="961">
        <f>príjmy!O43+príjmy!O54</f>
        <v>8500</v>
      </c>
      <c r="M36" s="1078">
        <f>príjmy!P43</f>
        <v>12000</v>
      </c>
      <c r="N36" s="961">
        <f>príjmy!Q43</f>
        <v>12000</v>
      </c>
      <c r="O36" s="936">
        <f>príjmy!R43</f>
        <v>12000</v>
      </c>
    </row>
    <row r="37" spans="1:15" x14ac:dyDescent="0.2">
      <c r="A37" s="889" t="s">
        <v>36</v>
      </c>
      <c r="B37" s="1973" t="s">
        <v>34</v>
      </c>
      <c r="C37" s="1973"/>
      <c r="D37" s="1973"/>
      <c r="E37" s="1973"/>
      <c r="F37" s="1973"/>
      <c r="G37" s="1973"/>
      <c r="H37" s="1973"/>
      <c r="I37" s="896"/>
      <c r="J37" s="956"/>
      <c r="K37" s="956"/>
      <c r="L37" s="956"/>
      <c r="M37" s="958"/>
      <c r="N37" s="956"/>
      <c r="O37" s="957"/>
    </row>
    <row r="38" spans="1:15" ht="99.2" customHeight="1" x14ac:dyDescent="0.2">
      <c r="A38" s="1974" t="s">
        <v>35</v>
      </c>
      <c r="B38" s="1975"/>
      <c r="C38" s="1975"/>
      <c r="D38" s="1975"/>
      <c r="E38" s="1975"/>
      <c r="F38" s="1975"/>
      <c r="G38" s="1975"/>
      <c r="H38" s="1975"/>
      <c r="I38" s="963">
        <f>príjmy!L47+príjmy!L59</f>
        <v>8800</v>
      </c>
      <c r="J38" s="964">
        <f>príjmy!M47+príjmy!M59</f>
        <v>10300</v>
      </c>
      <c r="K38" s="965">
        <f>príjmy!N47+príjmy!N59</f>
        <v>10300</v>
      </c>
      <c r="L38" s="964">
        <f>príjmy!O47+príjmy!O59</f>
        <v>10043</v>
      </c>
      <c r="M38" s="1076">
        <f>príjmy!P47+príjmy!P59</f>
        <v>10300</v>
      </c>
      <c r="N38" s="964">
        <f>príjmy!Q47+príjmy!Q59</f>
        <v>10300</v>
      </c>
      <c r="O38" s="937">
        <f>príjmy!R47+príjmy!R59</f>
        <v>10300</v>
      </c>
    </row>
    <row r="39" spans="1:15" x14ac:dyDescent="0.2">
      <c r="A39" s="889" t="s">
        <v>39</v>
      </c>
      <c r="B39" s="884" t="s">
        <v>37</v>
      </c>
      <c r="C39" s="884"/>
      <c r="D39" s="884"/>
      <c r="E39" s="884"/>
      <c r="F39" s="884"/>
      <c r="G39" s="884"/>
      <c r="H39" s="884"/>
      <c r="I39" s="896"/>
      <c r="J39" s="956"/>
      <c r="K39" s="956"/>
      <c r="L39" s="956"/>
      <c r="M39" s="958"/>
      <c r="N39" s="956"/>
      <c r="O39" s="957"/>
    </row>
    <row r="40" spans="1:15" ht="45.2" customHeight="1" x14ac:dyDescent="0.2">
      <c r="A40" s="1954" t="s">
        <v>38</v>
      </c>
      <c r="B40" s="1955"/>
      <c r="C40" s="1955"/>
      <c r="D40" s="1955"/>
      <c r="E40" s="1955"/>
      <c r="F40" s="1955"/>
      <c r="G40" s="1955"/>
      <c r="H40" s="1955"/>
      <c r="I40" s="963">
        <f>príjmy!L48</f>
        <v>5000</v>
      </c>
      <c r="J40" s="964">
        <f>príjmy!M48</f>
        <v>6400</v>
      </c>
      <c r="K40" s="965">
        <f>príjmy!N48+príjmy!N50</f>
        <v>5000</v>
      </c>
      <c r="L40" s="964">
        <f>príjmy!O48</f>
        <v>5000</v>
      </c>
      <c r="M40" s="1076">
        <f>príjmy!P48</f>
        <v>5000</v>
      </c>
      <c r="N40" s="964">
        <f>príjmy!Q48</f>
        <v>3000</v>
      </c>
      <c r="O40" s="937">
        <f>príjmy!R48</f>
        <v>3000</v>
      </c>
    </row>
    <row r="41" spans="1:15" x14ac:dyDescent="0.2">
      <c r="A41" s="889" t="s">
        <v>41</v>
      </c>
      <c r="B41" s="900" t="s">
        <v>31</v>
      </c>
      <c r="C41" s="900"/>
      <c r="D41" s="900"/>
      <c r="E41" s="900"/>
      <c r="F41" s="900"/>
      <c r="G41" s="900"/>
      <c r="H41" s="900"/>
      <c r="I41" s="896"/>
      <c r="J41" s="956"/>
      <c r="K41" s="956"/>
      <c r="L41" s="956"/>
      <c r="M41" s="958"/>
      <c r="N41" s="956"/>
      <c r="O41" s="957"/>
    </row>
    <row r="42" spans="1:15" x14ac:dyDescent="0.2">
      <c r="A42" s="1956" t="s">
        <v>40</v>
      </c>
      <c r="B42" s="1957"/>
      <c r="C42" s="1957"/>
      <c r="D42" s="1957"/>
      <c r="E42" s="1957"/>
      <c r="F42" s="1957"/>
      <c r="G42" s="1957"/>
      <c r="H42" s="1957"/>
      <c r="I42" s="959">
        <f>príjmy!L52</f>
        <v>4500</v>
      </c>
      <c r="J42" s="961">
        <f>príjmy!M52</f>
        <v>7000</v>
      </c>
      <c r="K42" s="962">
        <f>príjmy!N52</f>
        <v>7000</v>
      </c>
      <c r="L42" s="961">
        <f>príjmy!O52</f>
        <v>7000</v>
      </c>
      <c r="M42" s="1078">
        <f>príjmy!P52</f>
        <v>7000</v>
      </c>
      <c r="N42" s="961">
        <f>príjmy!Q52</f>
        <v>5000</v>
      </c>
      <c r="O42" s="936">
        <f>príjmy!R52</f>
        <v>5000</v>
      </c>
    </row>
    <row r="43" spans="1:15" x14ac:dyDescent="0.2">
      <c r="A43" s="889" t="s">
        <v>44</v>
      </c>
      <c r="B43" s="1958" t="s">
        <v>42</v>
      </c>
      <c r="C43" s="1958"/>
      <c r="D43" s="1958"/>
      <c r="E43" s="1958"/>
      <c r="F43" s="1958"/>
      <c r="G43" s="1958"/>
      <c r="H43" s="1958"/>
      <c r="I43" s="896"/>
      <c r="J43" s="956"/>
      <c r="K43" s="956"/>
      <c r="L43" s="956"/>
      <c r="M43" s="958"/>
      <c r="N43" s="956"/>
      <c r="O43" s="957"/>
    </row>
    <row r="44" spans="1:15" ht="22.5" customHeight="1" x14ac:dyDescent="0.2">
      <c r="A44" s="1959" t="s">
        <v>43</v>
      </c>
      <c r="B44" s="1960"/>
      <c r="C44" s="1960"/>
      <c r="D44" s="1960"/>
      <c r="E44" s="1960"/>
      <c r="F44" s="1960"/>
      <c r="G44" s="1960"/>
      <c r="H44" s="1960"/>
      <c r="I44" s="963">
        <f>príjmy!L51</f>
        <v>230</v>
      </c>
      <c r="J44" s="964">
        <f>príjmy!M51</f>
        <v>230</v>
      </c>
      <c r="K44" s="965">
        <f>príjmy!N51</f>
        <v>230</v>
      </c>
      <c r="L44" s="964">
        <f>príjmy!O51</f>
        <v>550</v>
      </c>
      <c r="M44" s="1076">
        <f>príjmy!P51</f>
        <v>230</v>
      </c>
      <c r="N44" s="964">
        <f>príjmy!Q51</f>
        <v>200</v>
      </c>
      <c r="O44" s="937">
        <f>príjmy!R51</f>
        <v>200</v>
      </c>
    </row>
    <row r="45" spans="1:15" s="1357" customFormat="1" ht="22.5" customHeight="1" x14ac:dyDescent="0.2">
      <c r="A45" s="889" t="s">
        <v>46</v>
      </c>
      <c r="B45" s="1958" t="s">
        <v>42</v>
      </c>
      <c r="C45" s="1958"/>
      <c r="D45" s="1958"/>
      <c r="E45" s="1958"/>
      <c r="F45" s="1958"/>
      <c r="G45" s="1958"/>
      <c r="H45" s="1958"/>
      <c r="I45" s="896"/>
      <c r="J45" s="956"/>
      <c r="K45" s="956"/>
      <c r="L45" s="956"/>
      <c r="M45" s="958"/>
      <c r="N45" s="956"/>
      <c r="O45" s="957"/>
    </row>
    <row r="46" spans="1:15" s="1357" customFormat="1" ht="22.5" customHeight="1" x14ac:dyDescent="0.2">
      <c r="A46" s="1959" t="s">
        <v>938</v>
      </c>
      <c r="B46" s="1970"/>
      <c r="C46" s="1970"/>
      <c r="D46" s="1970"/>
      <c r="E46" s="1970"/>
      <c r="F46" s="1970"/>
      <c r="G46" s="1970"/>
      <c r="H46" s="1970"/>
      <c r="I46" s="1359">
        <f>príjmy!L49+príjmy!L50</f>
        <v>65700</v>
      </c>
      <c r="J46" s="965">
        <f>príjmy!M49+príjmy!M50</f>
        <v>60000</v>
      </c>
      <c r="K46" s="965">
        <f>príjmy!N49</f>
        <v>60000</v>
      </c>
      <c r="L46" s="964">
        <f>príjmy!O49+príjmy!O50</f>
        <v>60000</v>
      </c>
      <c r="M46" s="1076">
        <f>príjmy!P49</f>
        <v>60000</v>
      </c>
      <c r="N46" s="964">
        <f>príjmy!Q49</f>
        <v>70000</v>
      </c>
      <c r="O46" s="937">
        <f>príjmy!R49</f>
        <v>70000</v>
      </c>
    </row>
    <row r="47" spans="1:15" x14ac:dyDescent="0.2">
      <c r="A47" s="889" t="s">
        <v>49</v>
      </c>
      <c r="B47" s="1958" t="s">
        <v>45</v>
      </c>
      <c r="C47" s="1958"/>
      <c r="D47" s="1958"/>
      <c r="E47" s="1958"/>
      <c r="F47" s="1958"/>
      <c r="G47" s="1958"/>
      <c r="H47" s="1958"/>
      <c r="I47" s="896"/>
      <c r="J47" s="956"/>
      <c r="K47" s="956"/>
      <c r="L47" s="956"/>
      <c r="M47" s="958"/>
      <c r="N47" s="956"/>
      <c r="O47" s="957"/>
    </row>
    <row r="48" spans="1:15" ht="15" x14ac:dyDescent="0.2">
      <c r="A48" s="897"/>
      <c r="B48" s="1969"/>
      <c r="C48" s="1969"/>
      <c r="D48" s="1969"/>
      <c r="E48" s="1969"/>
      <c r="F48" s="1969"/>
      <c r="G48" s="1969"/>
      <c r="H48" s="1969"/>
      <c r="I48" s="963">
        <f>príjmy!L62+príjmy!L63</f>
        <v>0</v>
      </c>
      <c r="J48" s="964">
        <f>príjmy!M62+príjmy!M63</f>
        <v>0</v>
      </c>
      <c r="K48" s="965">
        <f>príjmy!N62+príjmy!N63</f>
        <v>0</v>
      </c>
      <c r="L48" s="964">
        <f>príjmy!O62+príjmy!O63</f>
        <v>0</v>
      </c>
      <c r="M48" s="1076">
        <f>príjmy!P62+príjmy!P63</f>
        <v>0</v>
      </c>
      <c r="N48" s="964">
        <f>príjmy!Q62+príjmy!Q63</f>
        <v>0</v>
      </c>
      <c r="O48" s="937">
        <f>príjmy!R62+príjmy!R63</f>
        <v>0</v>
      </c>
    </row>
    <row r="49" spans="1:15" x14ac:dyDescent="0.2">
      <c r="A49" s="889" t="s">
        <v>52</v>
      </c>
      <c r="B49" s="1958" t="s">
        <v>47</v>
      </c>
      <c r="C49" s="1958"/>
      <c r="D49" s="1958"/>
      <c r="E49" s="1958"/>
      <c r="F49" s="1958"/>
      <c r="G49" s="1958"/>
      <c r="H49" s="1958"/>
      <c r="I49" s="896"/>
      <c r="J49" s="956"/>
      <c r="K49" s="956"/>
      <c r="L49" s="956"/>
      <c r="M49" s="958"/>
      <c r="N49" s="956"/>
      <c r="O49" s="957"/>
    </row>
    <row r="50" spans="1:15" ht="24.95" customHeight="1" x14ac:dyDescent="0.2">
      <c r="A50" s="1954" t="s">
        <v>48</v>
      </c>
      <c r="B50" s="1955"/>
      <c r="C50" s="1955"/>
      <c r="D50" s="1955"/>
      <c r="E50" s="1955"/>
      <c r="F50" s="1955"/>
      <c r="G50" s="1955"/>
      <c r="H50" s="1955"/>
      <c r="I50" s="963">
        <f>príjmy!L55+príjmy!L56+príjmy!L58+príjmy!L53</f>
        <v>17000</v>
      </c>
      <c r="J50" s="964">
        <f>príjmy!M55+príjmy!M56+príjmy!M58+príjmy!M53</f>
        <v>34000</v>
      </c>
      <c r="K50" s="965">
        <f>príjmy!N55+príjmy!N56+príjmy!N58+príjmy!N53</f>
        <v>34000</v>
      </c>
      <c r="L50" s="964">
        <f>príjmy!O55+príjmy!O56+príjmy!O58+príjmy!O53</f>
        <v>37000</v>
      </c>
      <c r="M50" s="1076">
        <f>príjmy!P55+príjmy!P56+príjmy!P58+príjmy!P53</f>
        <v>37000</v>
      </c>
      <c r="N50" s="964">
        <f>príjmy!Q55+príjmy!Q56+príjmy!Q58+príjmy!Q53</f>
        <v>39000</v>
      </c>
      <c r="O50" s="937">
        <f>príjmy!R55+príjmy!R56+príjmy!R58+príjmy!R53</f>
        <v>41000</v>
      </c>
    </row>
    <row r="51" spans="1:15" x14ac:dyDescent="0.2">
      <c r="A51" s="892" t="s">
        <v>674</v>
      </c>
      <c r="B51" s="1958" t="s">
        <v>50</v>
      </c>
      <c r="C51" s="1958"/>
      <c r="D51" s="1958"/>
      <c r="E51" s="1958"/>
      <c r="F51" s="1958"/>
      <c r="G51" s="1958"/>
      <c r="H51" s="1958"/>
      <c r="I51" s="896"/>
      <c r="J51" s="956"/>
      <c r="K51" s="956"/>
      <c r="L51" s="956"/>
      <c r="M51" s="958"/>
      <c r="N51" s="956"/>
      <c r="O51" s="957"/>
    </row>
    <row r="52" spans="1:15" x14ac:dyDescent="0.2">
      <c r="A52" s="1986" t="s">
        <v>51</v>
      </c>
      <c r="B52" s="1987"/>
      <c r="C52" s="1987"/>
      <c r="D52" s="1987"/>
      <c r="E52" s="1987"/>
      <c r="F52" s="1987"/>
      <c r="G52" s="1987"/>
      <c r="H52" s="1987"/>
      <c r="I52" s="972">
        <f>príjmy!L57</f>
        <v>0</v>
      </c>
      <c r="J52" s="973">
        <f>príjmy!M57</f>
        <v>0</v>
      </c>
      <c r="K52" s="962">
        <f>príjmy!N57</f>
        <v>0</v>
      </c>
      <c r="L52" s="973">
        <f>príjmy!O57</f>
        <v>0</v>
      </c>
      <c r="M52" s="1079">
        <f>príjmy!P57</f>
        <v>0</v>
      </c>
      <c r="N52" s="973">
        <f>príjmy!Q57</f>
        <v>0</v>
      </c>
      <c r="O52" s="936">
        <f>príjmy!R57</f>
        <v>0</v>
      </c>
    </row>
    <row r="53" spans="1:15" x14ac:dyDescent="0.2">
      <c r="A53" s="889" t="s">
        <v>939</v>
      </c>
      <c r="B53" s="1958" t="s">
        <v>53</v>
      </c>
      <c r="C53" s="1958"/>
      <c r="D53" s="1958"/>
      <c r="E53" s="1958"/>
      <c r="F53" s="1958"/>
      <c r="G53" s="1958"/>
      <c r="H53" s="1958"/>
      <c r="I53" s="896"/>
      <c r="J53" s="956"/>
      <c r="K53" s="956"/>
      <c r="L53" s="956"/>
      <c r="M53" s="958"/>
      <c r="N53" s="956"/>
      <c r="O53" s="957"/>
    </row>
    <row r="54" spans="1:15" ht="33.950000000000003" customHeight="1" thickBot="1" x14ac:dyDescent="0.25">
      <c r="A54" s="1971" t="s">
        <v>54</v>
      </c>
      <c r="B54" s="1972"/>
      <c r="C54" s="1972"/>
      <c r="D54" s="1972"/>
      <c r="E54" s="1972"/>
      <c r="F54" s="1972"/>
      <c r="G54" s="1972"/>
      <c r="H54" s="1972"/>
      <c r="I54" s="974">
        <f>príjmy!L64+príjmy!L65+príjmy!L66+príjmy!L68+príjmy!L67</f>
        <v>12550</v>
      </c>
      <c r="J54" s="975">
        <f>príjmy!M64+príjmy!M65+príjmy!M66+príjmy!M68+príjmy!M67</f>
        <v>8505</v>
      </c>
      <c r="K54" s="976">
        <f>príjmy!N64+príjmy!N65+príjmy!N66+príjmy!N68+príjmy!N67</f>
        <v>50</v>
      </c>
      <c r="L54" s="975">
        <f>príjmy!O64+príjmy!O65+príjmy!O66+príjmy!O68+príjmy!O67</f>
        <v>40560</v>
      </c>
      <c r="M54" s="1080">
        <f>príjmy!P64+príjmy!P65+príjmy!P66+príjmy!P68</f>
        <v>50</v>
      </c>
      <c r="N54" s="975">
        <f>príjmy!Q64+príjmy!Q65+príjmy!Q66+príjmy!Q68</f>
        <v>50</v>
      </c>
      <c r="O54" s="977">
        <f>príjmy!R64+príjmy!R65+príjmy!R66+príjmy!R68</f>
        <v>50</v>
      </c>
    </row>
    <row r="55" spans="1:15" ht="24.95" customHeight="1" x14ac:dyDescent="0.2">
      <c r="A55" s="593"/>
      <c r="B55" s="593"/>
      <c r="C55" s="593"/>
      <c r="D55" s="593"/>
      <c r="E55" s="593"/>
      <c r="F55" s="593"/>
      <c r="G55" s="593"/>
      <c r="H55" s="593"/>
      <c r="I55" s="594"/>
    </row>
    <row r="56" spans="1:15" ht="24.95" customHeight="1" x14ac:dyDescent="0.2">
      <c r="A56" s="593"/>
      <c r="B56" s="593"/>
      <c r="C56" s="593"/>
      <c r="D56" s="593"/>
      <c r="E56" s="593"/>
      <c r="F56" s="593"/>
      <c r="G56" s="593"/>
      <c r="H56" s="593"/>
      <c r="I56" s="594"/>
    </row>
    <row r="57" spans="1:15" ht="24.95" customHeight="1" x14ac:dyDescent="0.2">
      <c r="A57" s="593"/>
      <c r="B57" s="593"/>
      <c r="C57" s="593"/>
      <c r="D57" s="593"/>
      <c r="E57" s="593"/>
      <c r="F57" s="593"/>
      <c r="G57" s="593"/>
      <c r="H57" s="593"/>
      <c r="I57" s="594"/>
    </row>
    <row r="58" spans="1:15" ht="24.95" customHeight="1" x14ac:dyDescent="0.2">
      <c r="A58" s="593"/>
      <c r="B58" s="593"/>
      <c r="C58" s="593"/>
      <c r="D58" s="593"/>
      <c r="E58" s="593"/>
      <c r="F58" s="593"/>
      <c r="G58" s="593"/>
      <c r="H58" s="593"/>
      <c r="I58" s="594"/>
    </row>
    <row r="59" spans="1:15" ht="24.95" customHeight="1" x14ac:dyDescent="0.2">
      <c r="A59" s="593"/>
      <c r="B59" s="593"/>
      <c r="C59" s="593"/>
      <c r="D59" s="593"/>
      <c r="E59" s="593"/>
      <c r="F59" s="593"/>
      <c r="G59" s="593"/>
      <c r="H59" s="593"/>
      <c r="I59" s="594"/>
    </row>
    <row r="60" spans="1:15" ht="24.95" customHeight="1" x14ac:dyDescent="0.2">
      <c r="A60" s="593"/>
      <c r="B60" s="593"/>
      <c r="C60" s="593"/>
      <c r="D60" s="593"/>
      <c r="E60" s="593"/>
      <c r="F60" s="593"/>
      <c r="G60" s="593"/>
      <c r="H60" s="593"/>
      <c r="I60" s="594"/>
    </row>
    <row r="61" spans="1:15" ht="24.95" customHeight="1" x14ac:dyDescent="0.2">
      <c r="A61" s="593"/>
      <c r="B61" s="593"/>
      <c r="C61" s="593"/>
      <c r="D61" s="593"/>
      <c r="E61" s="593"/>
      <c r="F61" s="593"/>
      <c r="G61" s="593"/>
      <c r="H61" s="593"/>
      <c r="I61" s="594"/>
    </row>
    <row r="62" spans="1:15" ht="24.95" customHeight="1" x14ac:dyDescent="0.2">
      <c r="A62" s="593"/>
      <c r="B62" s="593"/>
      <c r="C62" s="593"/>
      <c r="D62" s="593"/>
      <c r="E62" s="593"/>
      <c r="F62" s="593"/>
      <c r="G62" s="593"/>
      <c r="H62" s="593"/>
      <c r="I62" s="594"/>
    </row>
    <row r="63" spans="1:15" ht="24.95" customHeight="1" x14ac:dyDescent="0.2">
      <c r="A63" s="593"/>
      <c r="B63" s="593"/>
      <c r="C63" s="593"/>
      <c r="D63" s="593"/>
      <c r="E63" s="593"/>
      <c r="F63" s="593"/>
      <c r="G63" s="593"/>
      <c r="H63" s="593"/>
      <c r="I63" s="594"/>
    </row>
    <row r="64" spans="1:15" ht="24.95" customHeight="1" x14ac:dyDescent="0.2">
      <c r="A64" s="593"/>
      <c r="B64" s="593"/>
      <c r="C64" s="593"/>
      <c r="D64" s="593"/>
      <c r="E64" s="593"/>
      <c r="F64" s="593"/>
      <c r="G64" s="593"/>
      <c r="H64" s="593"/>
      <c r="I64" s="594"/>
    </row>
    <row r="65" spans="1:15" ht="24.95" customHeight="1" x14ac:dyDescent="0.2">
      <c r="A65" s="593"/>
      <c r="B65" s="593"/>
      <c r="C65" s="593"/>
      <c r="D65" s="593"/>
      <c r="E65" s="593"/>
      <c r="F65" s="593"/>
      <c r="G65" s="593"/>
      <c r="H65" s="593"/>
      <c r="I65" s="594"/>
    </row>
    <row r="66" spans="1:15" ht="24.95" customHeight="1" x14ac:dyDescent="0.2">
      <c r="A66" s="593"/>
      <c r="B66" s="593"/>
      <c r="C66" s="593"/>
      <c r="D66" s="593"/>
      <c r="E66" s="593"/>
      <c r="F66" s="593"/>
      <c r="G66" s="593"/>
      <c r="H66" s="593"/>
      <c r="I66" s="594"/>
    </row>
    <row r="67" spans="1:15" ht="24.95" customHeight="1" thickBot="1" x14ac:dyDescent="0.25">
      <c r="A67" s="593"/>
      <c r="B67" s="593"/>
      <c r="C67" s="593"/>
      <c r="D67" s="593"/>
      <c r="E67" s="593"/>
      <c r="F67" s="593"/>
      <c r="G67" s="593"/>
      <c r="H67" s="593"/>
      <c r="I67" s="594"/>
    </row>
    <row r="68" spans="1:15" ht="8.4499999999999993" customHeight="1" thickBot="1" x14ac:dyDescent="0.25">
      <c r="A68" s="593"/>
      <c r="B68" s="593"/>
      <c r="C68" s="593"/>
      <c r="D68" s="593"/>
      <c r="E68" s="593"/>
      <c r="F68" s="593"/>
      <c r="G68" s="593"/>
      <c r="H68" s="593"/>
      <c r="I68" s="594"/>
    </row>
    <row r="69" spans="1:15" ht="15.75" thickBot="1" x14ac:dyDescent="0.25">
      <c r="A69" s="1961" t="s">
        <v>55</v>
      </c>
      <c r="B69" s="1962"/>
      <c r="C69" s="1962"/>
      <c r="D69" s="1962"/>
      <c r="E69" s="1962"/>
      <c r="F69" s="1962"/>
      <c r="G69" s="1962"/>
      <c r="H69" s="1962"/>
      <c r="I69" s="978">
        <f>I71+I72+I73+I74+I75+I76+I77+I78+I79+I80+I81+I82+I83+I84+I85+I86+I87+I88+I89+I90+I91+I92+I94+I95</f>
        <v>184787</v>
      </c>
      <c r="J69" s="987">
        <f>SUM(J71:J92)+J93+J94+J95</f>
        <v>125364</v>
      </c>
      <c r="K69" s="987">
        <f>SUM(K71:K92)+K95</f>
        <v>116400</v>
      </c>
      <c r="L69" s="988">
        <f>SUM(L71:L92)+L94+L95+L93</f>
        <v>204375</v>
      </c>
      <c r="M69" s="949">
        <f>SUM(M71:M92)+M94+M95</f>
        <v>180950</v>
      </c>
      <c r="N69" s="989">
        <f>SUM(N71:N92)</f>
        <v>185250</v>
      </c>
      <c r="O69" s="990">
        <f>SUM(O71:O92)</f>
        <v>190450</v>
      </c>
    </row>
    <row r="70" spans="1:15" ht="15" x14ac:dyDescent="0.2">
      <c r="A70" s="1030"/>
      <c r="B70" s="1042"/>
      <c r="C70" s="1042"/>
      <c r="D70" s="1042"/>
      <c r="E70" s="1042"/>
      <c r="F70" s="1042"/>
      <c r="G70" s="1042"/>
      <c r="H70" s="1043"/>
      <c r="I70" s="952">
        <v>2021</v>
      </c>
      <c r="J70" s="952">
        <v>2022</v>
      </c>
      <c r="K70" s="952" t="s">
        <v>998</v>
      </c>
      <c r="L70" s="953" t="s">
        <v>999</v>
      </c>
      <c r="M70" s="991">
        <v>2024</v>
      </c>
      <c r="N70" s="954">
        <v>2025</v>
      </c>
      <c r="O70" s="955">
        <v>2026</v>
      </c>
    </row>
    <row r="71" spans="1:15" ht="22.5" customHeight="1" x14ac:dyDescent="0.2">
      <c r="A71" s="904" t="s">
        <v>56</v>
      </c>
      <c r="B71" s="2000" t="s">
        <v>57</v>
      </c>
      <c r="C71" s="2000"/>
      <c r="D71" s="2000"/>
      <c r="E71" s="2000"/>
      <c r="F71" s="2000"/>
      <c r="G71" s="2000"/>
      <c r="H71" s="2001"/>
      <c r="I71" s="921">
        <f>príjmy!L86</f>
        <v>0</v>
      </c>
      <c r="J71" s="970">
        <f>príjmy!M86</f>
        <v>0</v>
      </c>
      <c r="K71" s="970">
        <f>príjmy!N86</f>
        <v>0</v>
      </c>
      <c r="L71" s="971">
        <f>príjmy!O86</f>
        <v>0</v>
      </c>
      <c r="M71" s="1081">
        <f>príjmy!P86</f>
        <v>0</v>
      </c>
      <c r="N71" s="1044">
        <f>príjmy!Q86</f>
        <v>0</v>
      </c>
      <c r="O71" s="983">
        <f>príjmy!R86</f>
        <v>0</v>
      </c>
    </row>
    <row r="72" spans="1:15" ht="22.5" customHeight="1" x14ac:dyDescent="0.2">
      <c r="A72" s="904" t="s">
        <v>58</v>
      </c>
      <c r="B72" s="901" t="s">
        <v>634</v>
      </c>
      <c r="C72" s="901"/>
      <c r="D72" s="901"/>
      <c r="E72" s="901"/>
      <c r="F72" s="901"/>
      <c r="G72" s="901"/>
      <c r="H72" s="901"/>
      <c r="I72" s="921">
        <f>príjmy!L87</f>
        <v>0</v>
      </c>
      <c r="J72" s="970">
        <f>príjmy!M87</f>
        <v>0</v>
      </c>
      <c r="K72" s="970">
        <f>príjmy!N87</f>
        <v>0</v>
      </c>
      <c r="L72" s="971">
        <f>príjmy!O87</f>
        <v>0</v>
      </c>
      <c r="M72" s="1081">
        <f>príjmy!P87</f>
        <v>0</v>
      </c>
      <c r="N72" s="1044">
        <f>príjmy!Q87</f>
        <v>0</v>
      </c>
      <c r="O72" s="983">
        <f>príjmy!R87</f>
        <v>0</v>
      </c>
    </row>
    <row r="73" spans="1:15" ht="22.5" customHeight="1" x14ac:dyDescent="0.2">
      <c r="A73" s="904" t="s">
        <v>60</v>
      </c>
      <c r="B73" s="901" t="s">
        <v>629</v>
      </c>
      <c r="C73" s="901"/>
      <c r="D73" s="901"/>
      <c r="E73" s="901"/>
      <c r="F73" s="901"/>
      <c r="G73" s="901"/>
      <c r="H73" s="901"/>
      <c r="I73" s="921">
        <f>príjmy!L88+príjmy!L118</f>
        <v>2500</v>
      </c>
      <c r="J73" s="970">
        <f>príjmy!M88</f>
        <v>0</v>
      </c>
      <c r="K73" s="970">
        <f>príjmy!N88</f>
        <v>0</v>
      </c>
      <c r="L73" s="971">
        <f>príjmy!O88</f>
        <v>0</v>
      </c>
      <c r="M73" s="1081">
        <f>príjmy!P88</f>
        <v>0</v>
      </c>
      <c r="N73" s="1044">
        <f>príjmy!Q88</f>
        <v>0</v>
      </c>
      <c r="O73" s="983">
        <f>príjmy!R88</f>
        <v>0</v>
      </c>
    </row>
    <row r="74" spans="1:15" ht="22.5" customHeight="1" x14ac:dyDescent="0.2">
      <c r="A74" s="905" t="s">
        <v>62</v>
      </c>
      <c r="B74" s="902" t="s">
        <v>59</v>
      </c>
      <c r="C74" s="902"/>
      <c r="D74" s="902"/>
      <c r="E74" s="902"/>
      <c r="F74" s="902"/>
      <c r="G74" s="902"/>
      <c r="H74" s="902"/>
      <c r="I74" s="922">
        <f>príjmy!L89</f>
        <v>0</v>
      </c>
      <c r="J74" s="970">
        <f>príjmy!M89</f>
        <v>0</v>
      </c>
      <c r="K74" s="970">
        <f>príjmy!N89</f>
        <v>0</v>
      </c>
      <c r="L74" s="971">
        <f>príjmy!O89</f>
        <v>0</v>
      </c>
      <c r="M74" s="1081">
        <f>príjmy!P89</f>
        <v>0</v>
      </c>
      <c r="N74" s="1044">
        <f>príjmy!Q89</f>
        <v>0</v>
      </c>
      <c r="O74" s="983">
        <f>príjmy!R89</f>
        <v>0</v>
      </c>
    </row>
    <row r="75" spans="1:15" ht="22.5" customHeight="1" x14ac:dyDescent="0.2">
      <c r="A75" s="906" t="s">
        <v>64</v>
      </c>
      <c r="B75" s="903" t="s">
        <v>61</v>
      </c>
      <c r="C75" s="903"/>
      <c r="D75" s="903"/>
      <c r="E75" s="903"/>
      <c r="F75" s="903"/>
      <c r="G75" s="903"/>
      <c r="H75" s="903"/>
      <c r="I75" s="923">
        <f>príjmy!L90</f>
        <v>6638</v>
      </c>
      <c r="J75" s="970">
        <f>príjmy!M90</f>
        <v>6638</v>
      </c>
      <c r="K75" s="970">
        <f>príjmy!N90</f>
        <v>7000</v>
      </c>
      <c r="L75" s="971">
        <f>príjmy!O90</f>
        <v>7052</v>
      </c>
      <c r="M75" s="1081">
        <f>príjmy!P90</f>
        <v>7500</v>
      </c>
      <c r="N75" s="1044">
        <f>príjmy!Q90</f>
        <v>7800</v>
      </c>
      <c r="O75" s="983">
        <f>príjmy!R90</f>
        <v>8000</v>
      </c>
    </row>
    <row r="76" spans="1:15" ht="22.5" customHeight="1" x14ac:dyDescent="0.2">
      <c r="A76" s="905" t="s">
        <v>66</v>
      </c>
      <c r="B76" s="2000" t="s">
        <v>63</v>
      </c>
      <c r="C76" s="2000"/>
      <c r="D76" s="2000"/>
      <c r="E76" s="2000"/>
      <c r="F76" s="2000"/>
      <c r="G76" s="2000"/>
      <c r="H76" s="2001"/>
      <c r="I76" s="922">
        <f>príjmy!L91</f>
        <v>0</v>
      </c>
      <c r="J76" s="970">
        <f>príjmy!M91+príjmy!M93+príjmy!M95+príjmy!M109</f>
        <v>0</v>
      </c>
      <c r="K76" s="970">
        <f>príjmy!N91</f>
        <v>0</v>
      </c>
      <c r="L76" s="971">
        <f>príjmy!O91+príjmy!O92</f>
        <v>0</v>
      </c>
      <c r="M76" s="1081">
        <f>príjmy!P91</f>
        <v>0</v>
      </c>
      <c r="N76" s="1044">
        <f>príjmy!Q91</f>
        <v>0</v>
      </c>
      <c r="O76" s="983">
        <f>príjmy!R91</f>
        <v>0</v>
      </c>
    </row>
    <row r="77" spans="1:15" ht="22.5" customHeight="1" x14ac:dyDescent="0.2">
      <c r="A77" s="905" t="s">
        <v>68</v>
      </c>
      <c r="B77" s="2000" t="s">
        <v>65</v>
      </c>
      <c r="C77" s="2000"/>
      <c r="D77" s="2000"/>
      <c r="E77" s="2000"/>
      <c r="F77" s="2000"/>
      <c r="G77" s="2000"/>
      <c r="H77" s="2001"/>
      <c r="I77" s="922">
        <f>príjmy!L97</f>
        <v>0</v>
      </c>
      <c r="J77" s="970">
        <f>príjmy!M97</f>
        <v>0</v>
      </c>
      <c r="K77" s="970">
        <f>príjmy!N97</f>
        <v>0</v>
      </c>
      <c r="L77" s="971">
        <f>príjmy!O97</f>
        <v>25684</v>
      </c>
      <c r="M77" s="1081">
        <f>príjmy!P97</f>
        <v>0</v>
      </c>
      <c r="N77" s="1044">
        <f>príjmy!Q97</f>
        <v>0</v>
      </c>
      <c r="O77" s="983">
        <f>príjmy!R97</f>
        <v>0</v>
      </c>
    </row>
    <row r="78" spans="1:15" ht="22.5" customHeight="1" x14ac:dyDescent="0.2">
      <c r="A78" s="905" t="s">
        <v>70</v>
      </c>
      <c r="B78" s="902" t="s">
        <v>676</v>
      </c>
      <c r="C78" s="902"/>
      <c r="D78" s="902"/>
      <c r="E78" s="902"/>
      <c r="F78" s="902"/>
      <c r="G78" s="902"/>
      <c r="H78" s="902"/>
      <c r="I78" s="922">
        <f>príjmy!L117</f>
        <v>3000</v>
      </c>
      <c r="J78" s="970">
        <f>príjmy!M117</f>
        <v>3000</v>
      </c>
      <c r="K78" s="970">
        <f>príjmy!N117</f>
        <v>3000</v>
      </c>
      <c r="L78" s="971">
        <f>príjmy!O117</f>
        <v>3000</v>
      </c>
      <c r="M78" s="1081">
        <f>príjmy!P117</f>
        <v>3000</v>
      </c>
      <c r="N78" s="1044">
        <f>príjmy!Q117</f>
        <v>3000</v>
      </c>
      <c r="O78" s="983">
        <f>príjmy!R117</f>
        <v>3000</v>
      </c>
    </row>
    <row r="79" spans="1:15" ht="22.5" customHeight="1" x14ac:dyDescent="0.2">
      <c r="A79" s="905" t="s">
        <v>72</v>
      </c>
      <c r="B79" s="902" t="s">
        <v>67</v>
      </c>
      <c r="C79" s="902"/>
      <c r="D79" s="902"/>
      <c r="E79" s="902"/>
      <c r="F79" s="902"/>
      <c r="G79" s="902"/>
      <c r="H79" s="902"/>
      <c r="I79" s="922">
        <f>príjmy!L99</f>
        <v>0</v>
      </c>
      <c r="J79" s="970">
        <f>príjmy!M99</f>
        <v>0</v>
      </c>
      <c r="K79" s="970">
        <f>príjmy!N99</f>
        <v>0</v>
      </c>
      <c r="L79" s="971">
        <f>príjmy!O99+príjmy!O98</f>
        <v>20800</v>
      </c>
      <c r="M79" s="1081">
        <f>príjmy!P99</f>
        <v>0</v>
      </c>
      <c r="N79" s="1044">
        <f>príjmy!Q99</f>
        <v>0</v>
      </c>
      <c r="O79" s="983">
        <f>príjmy!R99</f>
        <v>0</v>
      </c>
    </row>
    <row r="80" spans="1:15" ht="22.5" customHeight="1" x14ac:dyDescent="0.2">
      <c r="A80" s="905" t="s">
        <v>73</v>
      </c>
      <c r="B80" s="902" t="s">
        <v>69</v>
      </c>
      <c r="C80" s="902"/>
      <c r="D80" s="902"/>
      <c r="E80" s="902"/>
      <c r="F80" s="902"/>
      <c r="G80" s="902"/>
      <c r="H80" s="902"/>
      <c r="I80" s="922">
        <f>príjmy!L100</f>
        <v>0</v>
      </c>
      <c r="J80" s="970">
        <f>príjmy!M100</f>
        <v>0</v>
      </c>
      <c r="K80" s="970">
        <f>príjmy!N100</f>
        <v>0</v>
      </c>
      <c r="L80" s="971">
        <f>príjmy!O100</f>
        <v>0</v>
      </c>
      <c r="M80" s="1081">
        <f>príjmy!P100</f>
        <v>0</v>
      </c>
      <c r="N80" s="1044">
        <f>príjmy!Q100</f>
        <v>0</v>
      </c>
      <c r="O80" s="983">
        <f>príjmy!R100</f>
        <v>0</v>
      </c>
    </row>
    <row r="81" spans="1:15" ht="22.5" customHeight="1" x14ac:dyDescent="0.2">
      <c r="A81" s="905" t="s">
        <v>75</v>
      </c>
      <c r="B81" s="902" t="s">
        <v>71</v>
      </c>
      <c r="C81" s="902"/>
      <c r="D81" s="902"/>
      <c r="E81" s="902"/>
      <c r="F81" s="902"/>
      <c r="G81" s="902"/>
      <c r="H81" s="902"/>
      <c r="I81" s="922">
        <f>príjmy!L105</f>
        <v>0</v>
      </c>
      <c r="J81" s="970">
        <f>príjmy!M105</f>
        <v>1820</v>
      </c>
      <c r="K81" s="970">
        <f>príjmy!N105</f>
        <v>0</v>
      </c>
      <c r="L81" s="971">
        <f>príjmy!MO105</f>
        <v>0</v>
      </c>
      <c r="M81" s="1081">
        <f>príjmy!P105</f>
        <v>0</v>
      </c>
      <c r="N81" s="1044">
        <f>príjmy!Q105</f>
        <v>0</v>
      </c>
      <c r="O81" s="983">
        <f>príjmy!R105</f>
        <v>0</v>
      </c>
    </row>
    <row r="82" spans="1:15" ht="22.5" customHeight="1" x14ac:dyDescent="0.2">
      <c r="A82" s="905" t="s">
        <v>77</v>
      </c>
      <c r="B82" s="902" t="s">
        <v>636</v>
      </c>
      <c r="C82" s="902"/>
      <c r="D82" s="902"/>
      <c r="E82" s="902"/>
      <c r="F82" s="902"/>
      <c r="G82" s="902"/>
      <c r="H82" s="902"/>
      <c r="I82" s="922">
        <f>príjmy!L101</f>
        <v>6000</v>
      </c>
      <c r="J82" s="970">
        <f>príjmy!M101</f>
        <v>7000</v>
      </c>
      <c r="K82" s="970">
        <f>príjmy!N101</f>
        <v>7000</v>
      </c>
      <c r="L82" s="971">
        <f>príjmy!O101</f>
        <v>5000</v>
      </c>
      <c r="M82" s="1081">
        <f>príjmy!P101</f>
        <v>5000</v>
      </c>
      <c r="N82" s="1044">
        <f>príjmy!Q101</f>
        <v>5000</v>
      </c>
      <c r="O82" s="983">
        <f>príjmy!R101</f>
        <v>5000</v>
      </c>
    </row>
    <row r="83" spans="1:15" ht="22.5" customHeight="1" x14ac:dyDescent="0.2">
      <c r="A83" s="905" t="s">
        <v>78</v>
      </c>
      <c r="B83" s="902" t="s">
        <v>637</v>
      </c>
      <c r="C83" s="902"/>
      <c r="D83" s="902"/>
      <c r="E83" s="902"/>
      <c r="F83" s="902"/>
      <c r="G83" s="902"/>
      <c r="H83" s="902"/>
      <c r="I83" s="922">
        <f>príjmy!L102</f>
        <v>0</v>
      </c>
      <c r="J83" s="970">
        <f>príjmy!M102</f>
        <v>160</v>
      </c>
      <c r="K83" s="970">
        <f>príjmy!N102</f>
        <v>0</v>
      </c>
      <c r="L83" s="971">
        <f>príjmy!O102</f>
        <v>0</v>
      </c>
      <c r="M83" s="1081">
        <f>príjmy!P102</f>
        <v>0</v>
      </c>
      <c r="N83" s="1044">
        <f>príjmy!Q102</f>
        <v>0</v>
      </c>
      <c r="O83" s="983">
        <f>príjmy!R102</f>
        <v>0</v>
      </c>
    </row>
    <row r="84" spans="1:15" ht="22.5" customHeight="1" x14ac:dyDescent="0.2">
      <c r="A84" s="905" t="s">
        <v>635</v>
      </c>
      <c r="B84" s="2000" t="s">
        <v>74</v>
      </c>
      <c r="C84" s="2000"/>
      <c r="D84" s="2000"/>
      <c r="E84" s="2000"/>
      <c r="F84" s="2000"/>
      <c r="G84" s="2000"/>
      <c r="H84" s="2001"/>
      <c r="I84" s="922">
        <f>príjmy!L103</f>
        <v>32897</v>
      </c>
      <c r="J84" s="970">
        <f>príjmy!M103</f>
        <v>5746</v>
      </c>
      <c r="K84" s="970">
        <f>príjmy!N103+príjmy!N104</f>
        <v>5000</v>
      </c>
      <c r="L84" s="971">
        <f>príjmy!O104+príjmy!O103</f>
        <v>30717</v>
      </c>
      <c r="M84" s="1081">
        <f>príjmy!P104+príjmy!P103</f>
        <v>54000</v>
      </c>
      <c r="N84" s="1044">
        <f>príjmy!Q104+príjmy!Q103</f>
        <v>54000</v>
      </c>
      <c r="O84" s="983">
        <f>príjmy!R104+príjmy!R103</f>
        <v>54000</v>
      </c>
    </row>
    <row r="85" spans="1:15" ht="22.5" customHeight="1" x14ac:dyDescent="0.2">
      <c r="A85" s="905" t="s">
        <v>638</v>
      </c>
      <c r="B85" s="902" t="s">
        <v>76</v>
      </c>
      <c r="C85" s="902"/>
      <c r="D85" s="902"/>
      <c r="E85" s="902"/>
      <c r="F85" s="902"/>
      <c r="G85" s="902"/>
      <c r="H85" s="902"/>
      <c r="I85" s="922">
        <f>príjmy!L85</f>
        <v>0</v>
      </c>
      <c r="J85" s="970">
        <f>príjmy!M85</f>
        <v>0</v>
      </c>
      <c r="K85" s="970">
        <f>príjmy!N85</f>
        <v>0</v>
      </c>
      <c r="L85" s="971">
        <f>príjmy!O85</f>
        <v>0</v>
      </c>
      <c r="M85" s="1081">
        <f>príjmy!P85</f>
        <v>0</v>
      </c>
      <c r="N85" s="1044">
        <f>príjmy!Q85</f>
        <v>0</v>
      </c>
      <c r="O85" s="983">
        <f>príjmy!R85</f>
        <v>0</v>
      </c>
    </row>
    <row r="86" spans="1:15" ht="22.5" customHeight="1" x14ac:dyDescent="0.2">
      <c r="A86" s="905" t="s">
        <v>639</v>
      </c>
      <c r="B86" s="902" t="s">
        <v>777</v>
      </c>
      <c r="C86" s="902"/>
      <c r="D86" s="902"/>
      <c r="E86" s="902"/>
      <c r="F86" s="902"/>
      <c r="G86" s="902"/>
      <c r="H86" s="902"/>
      <c r="I86" s="922">
        <f>príjmy!L106</f>
        <v>0</v>
      </c>
      <c r="J86" s="970">
        <f>príjmy!M106</f>
        <v>4000</v>
      </c>
      <c r="K86" s="970">
        <f>príjmy!N106</f>
        <v>0</v>
      </c>
      <c r="L86" s="971">
        <f>príjmy!O106</f>
        <v>4860</v>
      </c>
      <c r="M86" s="1081">
        <f>príjmy!P106</f>
        <v>0</v>
      </c>
      <c r="N86" s="1044">
        <f>príjmy!Q106</f>
        <v>0</v>
      </c>
      <c r="O86" s="983">
        <f>príjmy!R106</f>
        <v>0</v>
      </c>
    </row>
    <row r="87" spans="1:15" ht="22.5" customHeight="1" x14ac:dyDescent="0.2">
      <c r="A87" s="905" t="s">
        <v>640</v>
      </c>
      <c r="B87" s="1966" t="s">
        <v>760</v>
      </c>
      <c r="C87" s="1966"/>
      <c r="D87" s="1966"/>
      <c r="E87" s="1966"/>
      <c r="F87" s="1966"/>
      <c r="G87" s="1966"/>
      <c r="H87" s="1967"/>
      <c r="I87" s="923">
        <f>príjmy!L111</f>
        <v>380</v>
      </c>
      <c r="J87" s="970">
        <f>príjmy!M111</f>
        <v>400</v>
      </c>
      <c r="K87" s="970">
        <f>príjmy!N107</f>
        <v>0</v>
      </c>
      <c r="L87" s="971">
        <f>príjmy!O111</f>
        <v>434</v>
      </c>
      <c r="M87" s="1081">
        <f>príjmy!P111</f>
        <v>450</v>
      </c>
      <c r="N87" s="1044">
        <f>príjmy!Q111</f>
        <v>450</v>
      </c>
      <c r="O87" s="983">
        <f>príjmy!R111</f>
        <v>450</v>
      </c>
    </row>
    <row r="88" spans="1:15" ht="22.5" customHeight="1" x14ac:dyDescent="0.2">
      <c r="A88" s="907">
        <v>43160</v>
      </c>
      <c r="B88" s="901" t="s">
        <v>915</v>
      </c>
      <c r="C88" s="901"/>
      <c r="D88" s="901"/>
      <c r="E88" s="901"/>
      <c r="F88" s="901"/>
      <c r="G88" s="901"/>
      <c r="H88" s="901"/>
      <c r="I88" s="921">
        <f>príjmy!L108</f>
        <v>5607</v>
      </c>
      <c r="J88" s="970">
        <f>príjmy!M108</f>
        <v>3000</v>
      </c>
      <c r="K88" s="970">
        <f>príjmy!N108</f>
        <v>3000</v>
      </c>
      <c r="L88" s="971">
        <f>príjmy!O108</f>
        <v>6063</v>
      </c>
      <c r="M88" s="1081">
        <f>príjmy!P108</f>
        <v>3000</v>
      </c>
      <c r="N88" s="1044">
        <f>príjmy!Q108</f>
        <v>0</v>
      </c>
      <c r="O88" s="983">
        <f>príjmy!R108</f>
        <v>0</v>
      </c>
    </row>
    <row r="89" spans="1:15" ht="22.5" customHeight="1" x14ac:dyDescent="0.2">
      <c r="A89" s="907">
        <v>43525</v>
      </c>
      <c r="B89" s="901" t="s">
        <v>979</v>
      </c>
      <c r="C89" s="901"/>
      <c r="D89" s="901"/>
      <c r="E89" s="901"/>
      <c r="F89" s="901"/>
      <c r="G89" s="901"/>
      <c r="H89" s="901"/>
      <c r="I89" s="921">
        <f>príjmy!L112</f>
        <v>0</v>
      </c>
      <c r="J89" s="970">
        <v>0</v>
      </c>
      <c r="K89" s="970">
        <f>príjmy!N111</f>
        <v>400</v>
      </c>
      <c r="L89" s="971">
        <f>príjmy!O105</f>
        <v>0</v>
      </c>
      <c r="M89" s="1081">
        <v>0</v>
      </c>
      <c r="N89" s="1044">
        <v>0</v>
      </c>
      <c r="O89" s="983">
        <v>0</v>
      </c>
    </row>
    <row r="90" spans="1:15" ht="22.5" customHeight="1" x14ac:dyDescent="0.2">
      <c r="A90" s="907">
        <v>43891</v>
      </c>
      <c r="B90" s="901" t="s">
        <v>642</v>
      </c>
      <c r="C90" s="901"/>
      <c r="D90" s="901"/>
      <c r="E90" s="901"/>
      <c r="F90" s="901"/>
      <c r="G90" s="901"/>
      <c r="H90" s="901"/>
      <c r="I90" s="921">
        <f>príjmy!L110+príjmy!L119+príjmy!L109</f>
        <v>40475</v>
      </c>
      <c r="J90" s="970">
        <f>príjmy!M110</f>
        <v>62600</v>
      </c>
      <c r="K90" s="970">
        <f>príjmy!N110</f>
        <v>60000</v>
      </c>
      <c r="L90" s="971">
        <f>príjmy!O110</f>
        <v>64675</v>
      </c>
      <c r="M90" s="1081">
        <f>príjmy!P110</f>
        <v>70000</v>
      </c>
      <c r="N90" s="1044">
        <f>príjmy!Q110</f>
        <v>75000</v>
      </c>
      <c r="O90" s="983">
        <f>príjmy!R110</f>
        <v>75000</v>
      </c>
    </row>
    <row r="91" spans="1:15" ht="22.5" customHeight="1" x14ac:dyDescent="0.2">
      <c r="A91" s="907">
        <v>44256</v>
      </c>
      <c r="B91" s="901" t="s">
        <v>631</v>
      </c>
      <c r="C91" s="901"/>
      <c r="D91" s="901"/>
      <c r="E91" s="901"/>
      <c r="F91" s="901"/>
      <c r="G91" s="901"/>
      <c r="H91" s="901"/>
      <c r="I91" s="921">
        <v>0</v>
      </c>
      <c r="J91" s="970">
        <f>príjmy!M118</f>
        <v>0</v>
      </c>
      <c r="K91" s="970">
        <f>príjmy!N118</f>
        <v>0</v>
      </c>
      <c r="L91" s="971">
        <f>príjmy!O109</f>
        <v>0</v>
      </c>
      <c r="M91" s="1081">
        <f>príjmy!P118</f>
        <v>0</v>
      </c>
      <c r="N91" s="1044">
        <f>príjmy!Q118</f>
        <v>0</v>
      </c>
      <c r="O91" s="983">
        <f>príjmy!R118</f>
        <v>0</v>
      </c>
    </row>
    <row r="92" spans="1:15" ht="22.5" customHeight="1" x14ac:dyDescent="0.2">
      <c r="A92" s="1041" t="s">
        <v>641</v>
      </c>
      <c r="B92" s="1038" t="s">
        <v>684</v>
      </c>
      <c r="C92" s="1038"/>
      <c r="D92" s="1038"/>
      <c r="E92" s="1038"/>
      <c r="F92" s="1038"/>
      <c r="G92" s="1038"/>
      <c r="H92" s="1039"/>
      <c r="I92" s="1040">
        <f>príjmy!L114</f>
        <v>26000</v>
      </c>
      <c r="J92" s="970">
        <f>príjmy!M114+príjmy!M112</f>
        <v>31000</v>
      </c>
      <c r="K92" s="970">
        <f>príjmy!N114</f>
        <v>31000</v>
      </c>
      <c r="L92" s="971">
        <f>príjmy!O114</f>
        <v>24563</v>
      </c>
      <c r="M92" s="1081">
        <f>príjmy!P114</f>
        <v>38000</v>
      </c>
      <c r="N92" s="1044">
        <f>príjmy!Q114</f>
        <v>40000</v>
      </c>
      <c r="O92" s="983">
        <f>príjmy!R114</f>
        <v>45000</v>
      </c>
    </row>
    <row r="93" spans="1:15" ht="22.5" customHeight="1" x14ac:dyDescent="0.2">
      <c r="A93" s="924" t="s">
        <v>699</v>
      </c>
      <c r="B93" s="909" t="s">
        <v>1012</v>
      </c>
      <c r="C93" s="909"/>
      <c r="D93" s="909"/>
      <c r="E93" s="909"/>
      <c r="F93" s="909"/>
      <c r="G93" s="909"/>
      <c r="H93" s="980"/>
      <c r="I93" s="918"/>
      <c r="J93" s="970">
        <v>0</v>
      </c>
      <c r="K93" s="970"/>
      <c r="L93" s="971">
        <f>príjmy!O96+príjmy!O112</f>
        <v>6295</v>
      </c>
      <c r="M93" s="1081"/>
      <c r="N93" s="1044"/>
      <c r="O93" s="971"/>
    </row>
    <row r="94" spans="1:15" ht="22.5" customHeight="1" x14ac:dyDescent="0.2">
      <c r="A94" s="1194" t="s">
        <v>700</v>
      </c>
      <c r="B94" s="1196" t="s">
        <v>913</v>
      </c>
      <c r="C94" s="1196"/>
      <c r="D94" s="1196"/>
      <c r="E94" s="1196"/>
      <c r="F94" s="1196"/>
      <c r="G94" s="1196"/>
      <c r="H94" s="1197"/>
      <c r="I94" s="1003">
        <f>príjmy!L113</f>
        <v>61290</v>
      </c>
      <c r="J94" s="1004">
        <f>príjmy!M113</f>
        <v>0</v>
      </c>
      <c r="K94" s="1004">
        <f>príjmy!N113</f>
        <v>0</v>
      </c>
      <c r="L94" s="1007">
        <f>príjmy!O113</f>
        <v>0</v>
      </c>
      <c r="M94" s="1083">
        <f>príjmy!P113</f>
        <v>0</v>
      </c>
      <c r="N94" s="1198"/>
      <c r="O94" s="1007"/>
    </row>
    <row r="95" spans="1:15" ht="22.5" customHeight="1" x14ac:dyDescent="0.2">
      <c r="A95" s="1195" t="s">
        <v>778</v>
      </c>
      <c r="B95" s="979" t="s">
        <v>914</v>
      </c>
      <c r="C95" s="909"/>
      <c r="D95" s="909"/>
      <c r="E95" s="909"/>
      <c r="F95" s="909"/>
      <c r="G95" s="909"/>
      <c r="H95" s="980"/>
      <c r="I95" s="918">
        <f>príjmy!L98</f>
        <v>0</v>
      </c>
      <c r="J95" s="970">
        <f>príjmy!M98</f>
        <v>0</v>
      </c>
      <c r="K95" s="970">
        <f>príjmy!N98</f>
        <v>0</v>
      </c>
      <c r="L95" s="970">
        <f>príjmy!O118</f>
        <v>5232</v>
      </c>
      <c r="M95" s="1199">
        <f>príjmy!P98</f>
        <v>0</v>
      </c>
      <c r="N95" s="970">
        <f>príjmy!Q98</f>
        <v>0</v>
      </c>
      <c r="O95" s="970">
        <f>príjmy!R98</f>
        <v>0</v>
      </c>
    </row>
    <row r="96" spans="1:15" ht="22.5" customHeight="1" x14ac:dyDescent="0.2">
      <c r="A96" s="1035"/>
      <c r="B96" s="903"/>
      <c r="C96" s="903"/>
      <c r="D96" s="903"/>
      <c r="E96" s="903"/>
      <c r="F96" s="903"/>
      <c r="G96" s="903"/>
      <c r="H96" s="903"/>
      <c r="I96" s="1036"/>
      <c r="J96" s="1037"/>
      <c r="K96" s="1037"/>
      <c r="L96" s="1037"/>
      <c r="M96" s="1037"/>
      <c r="N96" s="1037"/>
      <c r="O96" s="1037"/>
    </row>
    <row r="97" spans="1:15" ht="22.5" customHeight="1" x14ac:dyDescent="0.2">
      <c r="A97" s="1035"/>
      <c r="B97" s="903"/>
      <c r="C97" s="903"/>
      <c r="D97" s="903"/>
      <c r="E97" s="903"/>
      <c r="F97" s="903"/>
      <c r="G97" s="903"/>
      <c r="H97" s="903"/>
      <c r="I97" s="1036"/>
      <c r="J97" s="1037"/>
      <c r="K97" s="1037"/>
      <c r="L97" s="1037"/>
      <c r="M97" s="1037"/>
      <c r="N97" s="1037"/>
      <c r="O97" s="1037"/>
    </row>
    <row r="98" spans="1:15" ht="22.5" customHeight="1" x14ac:dyDescent="0.2">
      <c r="A98" s="1035"/>
      <c r="B98" s="903"/>
      <c r="C98" s="903"/>
      <c r="D98" s="903"/>
      <c r="E98" s="903"/>
      <c r="F98" s="903"/>
      <c r="G98" s="903"/>
      <c r="H98" s="903"/>
      <c r="I98" s="1036"/>
      <c r="J98" s="1037"/>
      <c r="K98" s="1037"/>
      <c r="L98" s="1037"/>
      <c r="M98" s="1037"/>
      <c r="N98" s="1037"/>
      <c r="O98" s="1037"/>
    </row>
    <row r="99" spans="1:15" ht="22.5" customHeight="1" x14ac:dyDescent="0.2">
      <c r="A99" s="1035"/>
      <c r="B99" s="903"/>
      <c r="C99" s="903"/>
      <c r="D99" s="903"/>
      <c r="E99" s="903"/>
      <c r="F99" s="903"/>
      <c r="G99" s="903"/>
      <c r="H99" s="903"/>
      <c r="I99" s="1036"/>
      <c r="J99" s="1037"/>
      <c r="K99" s="1037"/>
      <c r="L99" s="1037"/>
      <c r="M99" s="1037"/>
      <c r="N99" s="1037"/>
      <c r="O99" s="1037"/>
    </row>
    <row r="100" spans="1:15" ht="22.5" customHeight="1" x14ac:dyDescent="0.2">
      <c r="A100" s="1035"/>
      <c r="B100" s="903"/>
      <c r="C100" s="903"/>
      <c r="D100" s="903"/>
      <c r="E100" s="903"/>
      <c r="F100" s="903"/>
      <c r="G100" s="903"/>
      <c r="H100" s="903"/>
      <c r="I100" s="1036"/>
      <c r="J100" s="1037"/>
      <c r="K100" s="1037"/>
      <c r="L100" s="1037"/>
      <c r="M100" s="1037"/>
      <c r="N100" s="1037"/>
      <c r="O100" s="1037"/>
    </row>
    <row r="101" spans="1:15" ht="22.5" customHeight="1" x14ac:dyDescent="0.2">
      <c r="A101" s="1035"/>
      <c r="B101" s="903"/>
      <c r="C101" s="903"/>
      <c r="D101" s="903"/>
      <c r="E101" s="903"/>
      <c r="F101" s="903"/>
      <c r="G101" s="903"/>
      <c r="H101" s="903"/>
      <c r="I101" s="1036"/>
      <c r="J101" s="1037"/>
      <c r="K101" s="1037"/>
      <c r="L101" s="1037"/>
      <c r="M101" s="1037"/>
      <c r="N101" s="1037"/>
      <c r="O101" s="1037"/>
    </row>
    <row r="102" spans="1:15" ht="22.5" customHeight="1" x14ac:dyDescent="0.2">
      <c r="A102" s="1035"/>
      <c r="B102" s="903"/>
      <c r="C102" s="903"/>
      <c r="D102" s="903"/>
      <c r="E102" s="903"/>
      <c r="F102" s="903"/>
      <c r="G102" s="903"/>
      <c r="H102" s="903"/>
      <c r="I102" s="1036"/>
      <c r="J102" s="1037"/>
      <c r="K102" s="1037"/>
      <c r="L102" s="1037"/>
      <c r="M102" s="1037"/>
      <c r="N102" s="1037"/>
      <c r="O102" s="1037"/>
    </row>
    <row r="103" spans="1:15" ht="22.5" customHeight="1" x14ac:dyDescent="0.2">
      <c r="A103" s="1035"/>
      <c r="B103" s="903"/>
      <c r="C103" s="903"/>
      <c r="D103" s="903"/>
      <c r="E103" s="903"/>
      <c r="F103" s="903"/>
      <c r="G103" s="903"/>
      <c r="H103" s="903"/>
      <c r="I103" s="1036"/>
      <c r="J103" s="1037"/>
      <c r="K103" s="1037"/>
      <c r="L103" s="1037"/>
      <c r="M103" s="1037"/>
      <c r="N103" s="1037"/>
      <c r="O103" s="1037"/>
    </row>
    <row r="104" spans="1:15" ht="22.5" customHeight="1" x14ac:dyDescent="0.2">
      <c r="A104" s="1035"/>
      <c r="B104" s="903"/>
      <c r="C104" s="903"/>
      <c r="D104" s="903"/>
      <c r="E104" s="903"/>
      <c r="F104" s="903"/>
      <c r="G104" s="903"/>
      <c r="H104" s="903"/>
      <c r="I104" s="1036"/>
      <c r="J104" s="1037"/>
      <c r="K104" s="1037"/>
      <c r="L104" s="1037"/>
      <c r="M104" s="1037"/>
      <c r="N104" s="1037"/>
      <c r="O104" s="1037"/>
    </row>
    <row r="105" spans="1:15" ht="22.5" hidden="1" customHeight="1" x14ac:dyDescent="0.2">
      <c r="A105" s="1035"/>
      <c r="B105" s="903"/>
      <c r="C105" s="903"/>
      <c r="D105" s="903"/>
      <c r="E105" s="903"/>
      <c r="F105" s="903"/>
      <c r="G105" s="903"/>
      <c r="H105" s="903"/>
      <c r="I105" s="1036"/>
      <c r="J105" s="1037"/>
      <c r="K105" s="1037"/>
      <c r="L105" s="1037"/>
      <c r="M105" s="1037"/>
      <c r="N105" s="1037"/>
      <c r="O105" s="1037"/>
    </row>
    <row r="106" spans="1:15" ht="22.5" hidden="1" customHeight="1" x14ac:dyDescent="0.2">
      <c r="A106" s="1035"/>
      <c r="B106" s="903"/>
      <c r="C106" s="903"/>
      <c r="D106" s="903"/>
      <c r="E106" s="903"/>
      <c r="F106" s="903"/>
      <c r="G106" s="903"/>
      <c r="H106" s="903"/>
      <c r="I106" s="1036"/>
      <c r="J106" s="1037"/>
      <c r="K106" s="1037"/>
      <c r="L106" s="1037"/>
      <c r="M106" s="1037"/>
      <c r="N106" s="1037"/>
      <c r="O106" s="1037"/>
    </row>
    <row r="107" spans="1:15" ht="15.75" thickBot="1" x14ac:dyDescent="0.25">
      <c r="A107" s="3"/>
      <c r="B107" s="4"/>
      <c r="C107" s="4"/>
      <c r="D107" s="4"/>
      <c r="E107" s="4"/>
      <c r="F107" s="4"/>
      <c r="G107" s="4"/>
      <c r="H107" s="4"/>
      <c r="I107" s="10"/>
    </row>
    <row r="108" spans="1:15" ht="15.75" thickBot="1" x14ac:dyDescent="0.25">
      <c r="A108" s="1963" t="s">
        <v>79</v>
      </c>
      <c r="B108" s="1964"/>
      <c r="C108" s="1964"/>
      <c r="D108" s="1964"/>
      <c r="E108" s="1964"/>
      <c r="F108" s="1964"/>
      <c r="G108" s="1964"/>
      <c r="H108" s="1965"/>
      <c r="I108" s="1352">
        <f>SUM(I110,I116)</f>
        <v>1696143</v>
      </c>
      <c r="J108" s="992">
        <f t="shared" ref="J108:O108" si="3">J110+J116</f>
        <v>23000</v>
      </c>
      <c r="K108" s="1179">
        <f t="shared" si="3"/>
        <v>77000</v>
      </c>
      <c r="L108" s="993">
        <f t="shared" si="3"/>
        <v>25705</v>
      </c>
      <c r="M108" s="994">
        <f t="shared" si="3"/>
        <v>55000</v>
      </c>
      <c r="N108" s="995">
        <f t="shared" si="3"/>
        <v>30000</v>
      </c>
      <c r="O108" s="992">
        <f t="shared" si="3"/>
        <v>20000</v>
      </c>
    </row>
    <row r="109" spans="1:15" ht="15.75" thickBot="1" x14ac:dyDescent="0.25">
      <c r="A109" s="3"/>
      <c r="B109" s="4"/>
      <c r="C109" s="4"/>
      <c r="D109" s="4"/>
      <c r="E109" s="4"/>
      <c r="F109" s="4"/>
      <c r="G109" s="4"/>
      <c r="H109" s="4"/>
      <c r="I109" s="13"/>
    </row>
    <row r="110" spans="1:15" ht="15" x14ac:dyDescent="0.2">
      <c r="A110" s="1937" t="s">
        <v>80</v>
      </c>
      <c r="B110" s="1938"/>
      <c r="C110" s="1938"/>
      <c r="D110" s="1938"/>
      <c r="E110" s="1938"/>
      <c r="F110" s="1938"/>
      <c r="G110" s="1938"/>
      <c r="H110" s="1968"/>
      <c r="I110" s="915">
        <f>SUM(I112,I114)</f>
        <v>51269</v>
      </c>
      <c r="J110" s="997">
        <f>J112+J114+J113</f>
        <v>23000</v>
      </c>
      <c r="K110" s="997">
        <f t="shared" ref="K110:O110" si="4">K112+K114</f>
        <v>50000</v>
      </c>
      <c r="L110" s="998">
        <f t="shared" si="4"/>
        <v>6716</v>
      </c>
      <c r="M110" s="999">
        <f t="shared" si="4"/>
        <v>50000</v>
      </c>
      <c r="N110" s="1000">
        <f t="shared" si="4"/>
        <v>30000</v>
      </c>
      <c r="O110" s="998">
        <f t="shared" si="4"/>
        <v>20000</v>
      </c>
    </row>
    <row r="111" spans="1:15" ht="15" x14ac:dyDescent="0.2">
      <c r="A111" s="910"/>
      <c r="B111" s="911"/>
      <c r="C111" s="911"/>
      <c r="D111" s="911"/>
      <c r="E111" s="911"/>
      <c r="F111" s="911"/>
      <c r="G111" s="911"/>
      <c r="H111" s="911"/>
      <c r="I111" s="952">
        <v>2021</v>
      </c>
      <c r="J111" s="952">
        <v>2022</v>
      </c>
      <c r="K111" s="952" t="s">
        <v>998</v>
      </c>
      <c r="L111" s="953" t="s">
        <v>999</v>
      </c>
      <c r="M111" s="991">
        <v>2024</v>
      </c>
      <c r="N111" s="954">
        <v>2025</v>
      </c>
      <c r="O111" s="955">
        <v>2026</v>
      </c>
    </row>
    <row r="112" spans="1:15" ht="22.5" customHeight="1" x14ac:dyDescent="0.2">
      <c r="A112" s="904" t="s">
        <v>3</v>
      </c>
      <c r="B112" s="1953" t="s">
        <v>644</v>
      </c>
      <c r="C112" s="1953"/>
      <c r="D112" s="1953"/>
      <c r="E112" s="1953"/>
      <c r="F112" s="1953"/>
      <c r="G112" s="1953"/>
      <c r="H112" s="1953"/>
      <c r="I112" s="918">
        <f>príjmy!L133</f>
        <v>2500</v>
      </c>
      <c r="J112" s="970">
        <f>príjmy!M133</f>
        <v>0</v>
      </c>
      <c r="K112" s="970">
        <f>príjmy!N133</f>
        <v>0</v>
      </c>
      <c r="L112" s="971">
        <f>príjmy!O133</f>
        <v>0</v>
      </c>
      <c r="M112" s="1081">
        <f>príjmy!P133</f>
        <v>0</v>
      </c>
      <c r="N112" s="982">
        <f>príjmy!Q133</f>
        <v>0</v>
      </c>
      <c r="O112" s="971">
        <f>príjmy!R133</f>
        <v>0</v>
      </c>
    </row>
    <row r="113" spans="1:15" s="1748" customFormat="1" ht="22.5" customHeight="1" x14ac:dyDescent="0.2">
      <c r="A113" s="906" t="s">
        <v>6</v>
      </c>
      <c r="B113" s="1970" t="s">
        <v>134</v>
      </c>
      <c r="C113" s="1970"/>
      <c r="D113" s="1970"/>
      <c r="E113" s="1970"/>
      <c r="F113" s="1970"/>
      <c r="G113" s="1970"/>
      <c r="H113" s="1992"/>
      <c r="I113" s="1003"/>
      <c r="J113" s="1004">
        <f>príjmy!M138</f>
        <v>0</v>
      </c>
      <c r="K113" s="1004"/>
      <c r="L113" s="1007"/>
      <c r="M113" s="1083"/>
      <c r="N113" s="1006"/>
      <c r="O113" s="1007"/>
    </row>
    <row r="114" spans="1:15" ht="22.5" customHeight="1" thickBot="1" x14ac:dyDescent="0.25">
      <c r="A114" s="913" t="s">
        <v>9</v>
      </c>
      <c r="B114" s="914" t="s">
        <v>643</v>
      </c>
      <c r="C114" s="914"/>
      <c r="D114" s="914"/>
      <c r="E114" s="914"/>
      <c r="F114" s="914"/>
      <c r="G114" s="914"/>
      <c r="H114" s="914"/>
      <c r="I114" s="920">
        <f>príjmy!L134</f>
        <v>48769</v>
      </c>
      <c r="J114" s="984">
        <f>príjmy!M134</f>
        <v>23000</v>
      </c>
      <c r="K114" s="984">
        <f>príjmy!N134</f>
        <v>50000</v>
      </c>
      <c r="L114" s="1001">
        <f>príjmy!O134</f>
        <v>6716</v>
      </c>
      <c r="M114" s="1082">
        <f>príjmy!P134</f>
        <v>50000</v>
      </c>
      <c r="N114" s="986">
        <f>príjmy!Q134</f>
        <v>30000</v>
      </c>
      <c r="O114" s="1001">
        <f>príjmy!R134</f>
        <v>20000</v>
      </c>
    </row>
    <row r="115" spans="1:15" ht="13.5" thickBot="1" x14ac:dyDescent="0.25">
      <c r="A115" s="11"/>
      <c r="B115" s="12"/>
      <c r="C115" s="12"/>
      <c r="D115" s="12"/>
      <c r="E115" s="12"/>
      <c r="F115" s="12"/>
      <c r="G115" s="12"/>
      <c r="H115" s="12"/>
      <c r="I115" s="13"/>
    </row>
    <row r="116" spans="1:15" ht="15" x14ac:dyDescent="0.2">
      <c r="A116" s="1937" t="s">
        <v>81</v>
      </c>
      <c r="B116" s="1938"/>
      <c r="C116" s="1938"/>
      <c r="D116" s="1938"/>
      <c r="E116" s="1938"/>
      <c r="F116" s="1938"/>
      <c r="G116" s="1938"/>
      <c r="H116" s="1938"/>
      <c r="I116" s="1353">
        <f>SUM(I118,I119,I120,I121,I122,I125,I127)+I126+I124</f>
        <v>1644874</v>
      </c>
      <c r="J116" s="997">
        <f t="shared" ref="J116:O116" si="5">SUM(J118:J127)</f>
        <v>0</v>
      </c>
      <c r="K116" s="1178">
        <f t="shared" si="5"/>
        <v>27000</v>
      </c>
      <c r="L116" s="1002">
        <f t="shared" si="5"/>
        <v>18989</v>
      </c>
      <c r="M116" s="999">
        <f t="shared" si="5"/>
        <v>5000</v>
      </c>
      <c r="N116" s="1000">
        <f t="shared" si="5"/>
        <v>0</v>
      </c>
      <c r="O116" s="998">
        <f t="shared" si="5"/>
        <v>0</v>
      </c>
    </row>
    <row r="117" spans="1:15" ht="15" x14ac:dyDescent="0.2">
      <c r="A117" s="910"/>
      <c r="B117" s="911"/>
      <c r="C117" s="911"/>
      <c r="D117" s="911"/>
      <c r="E117" s="911"/>
      <c r="F117" s="911"/>
      <c r="G117" s="911"/>
      <c r="H117" s="911"/>
      <c r="I117" s="952">
        <v>2021</v>
      </c>
      <c r="J117" s="952">
        <v>2022</v>
      </c>
      <c r="K117" s="952" t="s">
        <v>998</v>
      </c>
      <c r="L117" s="953" t="s">
        <v>999</v>
      </c>
      <c r="M117" s="991">
        <v>2024</v>
      </c>
      <c r="N117" s="954">
        <v>2025</v>
      </c>
      <c r="O117" s="955">
        <v>2026</v>
      </c>
    </row>
    <row r="118" spans="1:15" x14ac:dyDescent="0.2">
      <c r="A118" s="916" t="s">
        <v>24</v>
      </c>
      <c r="B118" s="902" t="s">
        <v>82</v>
      </c>
      <c r="C118" s="902"/>
      <c r="D118" s="902"/>
      <c r="E118" s="902"/>
      <c r="F118" s="902"/>
      <c r="G118" s="902"/>
      <c r="H118" s="902"/>
      <c r="I118" s="918">
        <f>príjmy!L146</f>
        <v>0</v>
      </c>
      <c r="J118" s="970">
        <f>príjmy!M149</f>
        <v>0</v>
      </c>
      <c r="K118" s="970">
        <f>príjmy!N146</f>
        <v>0</v>
      </c>
      <c r="L118" s="981">
        <f>príjmy!O146</f>
        <v>0</v>
      </c>
      <c r="M118" s="1081">
        <f>príjmy!P146</f>
        <v>0</v>
      </c>
      <c r="N118" s="982">
        <f>príjmy!Q146</f>
        <v>0</v>
      </c>
      <c r="O118" s="971">
        <f>príjmy!R146</f>
        <v>0</v>
      </c>
    </row>
    <row r="119" spans="1:15" x14ac:dyDescent="0.2">
      <c r="A119" s="916" t="s">
        <v>27</v>
      </c>
      <c r="B119" s="902" t="s">
        <v>797</v>
      </c>
      <c r="C119" s="902"/>
      <c r="D119" s="902"/>
      <c r="E119" s="902"/>
      <c r="F119" s="902"/>
      <c r="G119" s="902"/>
      <c r="H119" s="902"/>
      <c r="I119" s="918">
        <f>príjmy!L147</f>
        <v>1033074</v>
      </c>
      <c r="J119" s="970">
        <f>príjmy!M147</f>
        <v>0</v>
      </c>
      <c r="K119" s="970">
        <f>príjmy!N147</f>
        <v>0</v>
      </c>
      <c r="L119" s="981">
        <f>príjmy!O147</f>
        <v>0</v>
      </c>
      <c r="M119" s="1081">
        <f>príjmy!P147</f>
        <v>0</v>
      </c>
      <c r="N119" s="982">
        <f>príjmy!Q147</f>
        <v>0</v>
      </c>
      <c r="O119" s="971">
        <f>príjmy!R147</f>
        <v>0</v>
      </c>
    </row>
    <row r="120" spans="1:15" x14ac:dyDescent="0.2">
      <c r="A120" s="916" t="s">
        <v>30</v>
      </c>
      <c r="B120" s="902" t="s">
        <v>798</v>
      </c>
      <c r="C120" s="902"/>
      <c r="D120" s="902"/>
      <c r="E120" s="902"/>
      <c r="F120" s="902"/>
      <c r="G120" s="902"/>
      <c r="H120" s="902"/>
      <c r="I120" s="918">
        <f>príjmy!L149</f>
        <v>0</v>
      </c>
      <c r="J120" s="970">
        <f>príjmy!M148</f>
        <v>0</v>
      </c>
      <c r="K120" s="970">
        <f>príjmy!N148</f>
        <v>0</v>
      </c>
      <c r="L120" s="981">
        <f>príjmy!O149</f>
        <v>0</v>
      </c>
      <c r="M120" s="1081">
        <f>príjmy!P149</f>
        <v>0</v>
      </c>
      <c r="N120" s="982">
        <f>príjmy!Q149</f>
        <v>0</v>
      </c>
      <c r="O120" s="971">
        <f>príjmy!R148</f>
        <v>0</v>
      </c>
    </row>
    <row r="121" spans="1:15" x14ac:dyDescent="0.2">
      <c r="A121" s="916" t="s">
        <v>33</v>
      </c>
      <c r="B121" s="902" t="s">
        <v>916</v>
      </c>
      <c r="C121" s="902"/>
      <c r="D121" s="902"/>
      <c r="E121" s="902"/>
      <c r="F121" s="902"/>
      <c r="G121" s="902"/>
      <c r="H121" s="902"/>
      <c r="I121" s="918">
        <f>príjmy!L138</f>
        <v>1800</v>
      </c>
      <c r="J121" s="970">
        <f>príjmy!ML152</f>
        <v>0</v>
      </c>
      <c r="K121" s="970">
        <f>príjmy!N152</f>
        <v>0</v>
      </c>
      <c r="L121" s="981">
        <f>príjmy!O138</f>
        <v>0</v>
      </c>
      <c r="M121" s="1081">
        <f>príjmy!P138</f>
        <v>0</v>
      </c>
      <c r="N121" s="982">
        <f>príjmy!Q152</f>
        <v>0</v>
      </c>
      <c r="O121" s="971">
        <f>príjmy!R152</f>
        <v>0</v>
      </c>
    </row>
    <row r="122" spans="1:15" x14ac:dyDescent="0.2">
      <c r="A122" s="916" t="s">
        <v>36</v>
      </c>
      <c r="B122" s="902" t="s">
        <v>918</v>
      </c>
      <c r="C122" s="902"/>
      <c r="D122" s="902"/>
      <c r="E122" s="902"/>
      <c r="F122" s="902"/>
      <c r="G122" s="902"/>
      <c r="H122" s="902"/>
      <c r="I122" s="918">
        <f>príjmy!L150</f>
        <v>0</v>
      </c>
      <c r="J122" s="970">
        <f>príjmy!ML150</f>
        <v>0</v>
      </c>
      <c r="K122" s="970">
        <f>príjmy!N150</f>
        <v>0</v>
      </c>
      <c r="L122" s="981">
        <f>príjmy!O148</f>
        <v>14000</v>
      </c>
      <c r="M122" s="1081">
        <f>príjmy!P148</f>
        <v>0</v>
      </c>
      <c r="N122" s="982">
        <f>príjmy!Q150</f>
        <v>0</v>
      </c>
      <c r="O122" s="971">
        <f>príjmy!R150</f>
        <v>0</v>
      </c>
    </row>
    <row r="123" spans="1:15" s="1347" customFormat="1" x14ac:dyDescent="0.2">
      <c r="A123" s="916" t="s">
        <v>39</v>
      </c>
      <c r="B123" s="902" t="s">
        <v>917</v>
      </c>
      <c r="C123" s="902"/>
      <c r="D123" s="902"/>
      <c r="E123" s="902"/>
      <c r="F123" s="902"/>
      <c r="G123" s="902"/>
      <c r="H123" s="902"/>
      <c r="I123" s="918"/>
      <c r="J123" s="970"/>
      <c r="K123" s="970"/>
      <c r="L123" s="1719">
        <f>príjmy!O150</f>
        <v>0</v>
      </c>
      <c r="M123" s="1081">
        <v>0</v>
      </c>
      <c r="N123" s="982"/>
      <c r="O123" s="971"/>
    </row>
    <row r="124" spans="1:15" s="1347" customFormat="1" x14ac:dyDescent="0.2">
      <c r="A124" s="916" t="s">
        <v>41</v>
      </c>
      <c r="B124" s="902" t="s">
        <v>919</v>
      </c>
      <c r="C124" s="902"/>
      <c r="D124" s="902"/>
      <c r="E124" s="902"/>
      <c r="F124" s="902"/>
      <c r="G124" s="902"/>
      <c r="H124" s="902"/>
      <c r="I124" s="918">
        <f>príjmy!L153</f>
        <v>0</v>
      </c>
      <c r="J124" s="970">
        <f>príjmy!M153</f>
        <v>0</v>
      </c>
      <c r="K124" s="970"/>
      <c r="L124" s="981"/>
      <c r="M124" s="1081"/>
      <c r="N124" s="982"/>
      <c r="O124" s="971"/>
    </row>
    <row r="125" spans="1:15" x14ac:dyDescent="0.2">
      <c r="A125" s="916" t="s">
        <v>44</v>
      </c>
      <c r="B125" s="902" t="s">
        <v>796</v>
      </c>
      <c r="C125" s="902"/>
      <c r="D125" s="902"/>
      <c r="E125" s="902"/>
      <c r="F125" s="902"/>
      <c r="G125" s="902"/>
      <c r="H125" s="902"/>
      <c r="I125" s="918">
        <f>príjmy!L151</f>
        <v>0</v>
      </c>
      <c r="J125" s="970">
        <f>príjmy!M151</f>
        <v>0</v>
      </c>
      <c r="K125" s="970">
        <f>príjmy!N153</f>
        <v>0</v>
      </c>
      <c r="L125" s="981">
        <f>príjmy!O151</f>
        <v>0</v>
      </c>
      <c r="M125" s="1081">
        <f>príjmy!P151</f>
        <v>0</v>
      </c>
      <c r="N125" s="982">
        <f>príjmy!Q151</f>
        <v>0</v>
      </c>
      <c r="O125" s="971">
        <f>príjmy!R153</f>
        <v>0</v>
      </c>
    </row>
    <row r="126" spans="1:15" s="1347" customFormat="1" ht="13.5" thickBot="1" x14ac:dyDescent="0.25">
      <c r="A126" s="1354" t="s">
        <v>46</v>
      </c>
      <c r="B126" s="908" t="s">
        <v>786</v>
      </c>
      <c r="C126" s="901"/>
      <c r="D126" s="901"/>
      <c r="E126" s="901"/>
      <c r="F126" s="901"/>
      <c r="G126" s="901"/>
      <c r="H126" s="901"/>
      <c r="I126" s="918">
        <f>príjmy!L154</f>
        <v>610000</v>
      </c>
      <c r="J126" s="1004">
        <f>príjmy!M154</f>
        <v>0</v>
      </c>
      <c r="K126" s="1004"/>
      <c r="L126" s="1005"/>
      <c r="M126" s="1083">
        <f>príjmy!P155</f>
        <v>0</v>
      </c>
      <c r="N126" s="1006"/>
      <c r="O126" s="1007"/>
    </row>
    <row r="127" spans="1:15" ht="13.5" thickBot="1" x14ac:dyDescent="0.25">
      <c r="A127" s="917" t="s">
        <v>46</v>
      </c>
      <c r="B127" s="908" t="s">
        <v>1003</v>
      </c>
      <c r="C127" s="908"/>
      <c r="D127" s="908"/>
      <c r="E127" s="908"/>
      <c r="F127" s="908"/>
      <c r="G127" s="908"/>
      <c r="H127" s="908"/>
      <c r="I127" s="919">
        <f>príjmy!L155+príjmy!L156</f>
        <v>0</v>
      </c>
      <c r="J127" s="984">
        <f>príjmy!M155</f>
        <v>0</v>
      </c>
      <c r="K127" s="984">
        <f>príjmy!N155</f>
        <v>27000</v>
      </c>
      <c r="L127" s="985">
        <f>príjmy!O153</f>
        <v>4989</v>
      </c>
      <c r="M127" s="1082">
        <f>príjmy!P153</f>
        <v>5000</v>
      </c>
      <c r="N127" s="986">
        <f>príjmy!Q154</f>
        <v>0</v>
      </c>
      <c r="O127" s="1001">
        <f>príjmy!R154</f>
        <v>0</v>
      </c>
    </row>
    <row r="128" spans="1:15" x14ac:dyDescent="0.2">
      <c r="A128" s="11"/>
      <c r="B128" s="12"/>
      <c r="C128" s="12"/>
      <c r="D128" s="12"/>
      <c r="E128" s="12"/>
      <c r="F128" s="12"/>
      <c r="G128" s="12"/>
      <c r="H128" s="12"/>
      <c r="I128" s="13"/>
    </row>
    <row r="129" spans="1:15" hidden="1" x14ac:dyDescent="0.2">
      <c r="A129" s="11"/>
      <c r="B129" s="12"/>
      <c r="C129" s="12"/>
      <c r="D129" s="12"/>
      <c r="E129" s="12"/>
      <c r="F129" s="12"/>
      <c r="G129" s="12"/>
      <c r="H129" s="12"/>
      <c r="I129" s="13"/>
    </row>
    <row r="130" spans="1:15" hidden="1" x14ac:dyDescent="0.2">
      <c r="A130" s="11"/>
      <c r="B130" s="12"/>
      <c r="C130" s="12"/>
      <c r="D130" s="12"/>
      <c r="E130" s="12"/>
      <c r="F130" s="12"/>
      <c r="G130" s="12"/>
      <c r="H130" s="12"/>
      <c r="I130" s="13"/>
    </row>
    <row r="131" spans="1:15" hidden="1" x14ac:dyDescent="0.2">
      <c r="A131" s="11"/>
      <c r="B131" s="12"/>
      <c r="C131" s="12"/>
      <c r="D131" s="12"/>
      <c r="E131" s="12"/>
      <c r="F131" s="12"/>
      <c r="G131" s="12"/>
      <c r="H131" s="12"/>
      <c r="I131" s="13"/>
    </row>
    <row r="132" spans="1:15" ht="13.5" thickBot="1" x14ac:dyDescent="0.25">
      <c r="A132" s="11"/>
      <c r="B132" s="12"/>
      <c r="C132" s="12"/>
      <c r="D132" s="12"/>
      <c r="E132" s="12"/>
      <c r="F132" s="12"/>
      <c r="G132" s="12"/>
      <c r="H132" s="12"/>
      <c r="I132" s="13"/>
    </row>
    <row r="133" spans="1:15" ht="15" x14ac:dyDescent="0.2">
      <c r="A133" s="1939" t="s">
        <v>85</v>
      </c>
      <c r="B133" s="1940"/>
      <c r="C133" s="1940"/>
      <c r="D133" s="1940"/>
      <c r="E133" s="1940"/>
      <c r="F133" s="1940"/>
      <c r="G133" s="1940"/>
      <c r="H133" s="1940"/>
      <c r="I133" s="1176">
        <f t="shared" ref="I133:O133" si="6">SUM(I135:I150)</f>
        <v>247358</v>
      </c>
      <c r="J133" s="1008">
        <f>SUM(J135:J150)</f>
        <v>192106</v>
      </c>
      <c r="K133" s="1177">
        <f>SUM(K135:K150)</f>
        <v>0</v>
      </c>
      <c r="L133" s="1009">
        <f t="shared" si="6"/>
        <v>128391</v>
      </c>
      <c r="M133" s="1072">
        <f t="shared" si="6"/>
        <v>10000</v>
      </c>
      <c r="N133" s="1010">
        <f t="shared" si="6"/>
        <v>0</v>
      </c>
      <c r="O133" s="1011">
        <f t="shared" si="6"/>
        <v>0</v>
      </c>
    </row>
    <row r="134" spans="1:15" ht="15" x14ac:dyDescent="0.2">
      <c r="A134" s="910"/>
      <c r="B134" s="911"/>
      <c r="C134" s="911"/>
      <c r="D134" s="911"/>
      <c r="E134" s="911"/>
      <c r="F134" s="911"/>
      <c r="G134" s="911"/>
      <c r="H134" s="911"/>
      <c r="I134" s="952">
        <v>2021</v>
      </c>
      <c r="J134" s="952">
        <v>2022</v>
      </c>
      <c r="K134" s="952" t="s">
        <v>998</v>
      </c>
      <c r="L134" s="953" t="s">
        <v>999</v>
      </c>
      <c r="M134" s="991">
        <v>2024</v>
      </c>
      <c r="N134" s="954">
        <v>2025</v>
      </c>
      <c r="O134" s="955">
        <v>2026</v>
      </c>
    </row>
    <row r="135" spans="1:15" x14ac:dyDescent="0.2">
      <c r="A135" s="1041" t="s">
        <v>3</v>
      </c>
      <c r="B135" s="1355" t="s">
        <v>920</v>
      </c>
      <c r="C135" s="1038"/>
      <c r="D135" s="1038"/>
      <c r="E135" s="1038"/>
      <c r="F135" s="1038"/>
      <c r="G135" s="1038"/>
      <c r="H135" s="1356"/>
      <c r="I135" s="971">
        <f>príjmy!L180</f>
        <v>400</v>
      </c>
      <c r="J135" s="971">
        <f>príjmy!M180</f>
        <v>400</v>
      </c>
      <c r="K135" s="971">
        <f>príjmy!N180</f>
        <v>0</v>
      </c>
      <c r="L135" s="971">
        <f>príjmy!O180</f>
        <v>0</v>
      </c>
      <c r="M135" s="971">
        <f>príjmy!P180</f>
        <v>0</v>
      </c>
      <c r="N135" s="971">
        <f>príjmy!Q180</f>
        <v>0</v>
      </c>
      <c r="O135" s="971">
        <f>príjmy!R180</f>
        <v>0</v>
      </c>
    </row>
    <row r="136" spans="1:15" s="1347" customFormat="1" x14ac:dyDescent="0.2">
      <c r="A136" s="924" t="s">
        <v>6</v>
      </c>
      <c r="B136" s="979" t="s">
        <v>921</v>
      </c>
      <c r="C136" s="909"/>
      <c r="D136" s="909"/>
      <c r="E136" s="909"/>
      <c r="F136" s="909"/>
      <c r="G136" s="909"/>
      <c r="H136" s="980"/>
      <c r="I136" s="971">
        <f>príjmy!L181</f>
        <v>3088</v>
      </c>
      <c r="J136" s="971">
        <f>príjmy!M181</f>
        <v>0</v>
      </c>
      <c r="K136" s="971">
        <f>príjmy!N181</f>
        <v>0</v>
      </c>
      <c r="L136" s="971">
        <f>príjmy!O181</f>
        <v>0</v>
      </c>
      <c r="M136" s="971">
        <f>príjmy!P181</f>
        <v>0</v>
      </c>
      <c r="N136" s="971">
        <f>príjmy!Q181</f>
        <v>0</v>
      </c>
      <c r="O136" s="971">
        <f>príjmy!R181</f>
        <v>0</v>
      </c>
    </row>
    <row r="137" spans="1:15" s="1347" customFormat="1" x14ac:dyDescent="0.2">
      <c r="A137" s="924" t="s">
        <v>9</v>
      </c>
      <c r="B137" s="979" t="s">
        <v>922</v>
      </c>
      <c r="C137" s="909"/>
      <c r="D137" s="909"/>
      <c r="E137" s="909"/>
      <c r="F137" s="909"/>
      <c r="G137" s="909"/>
      <c r="H137" s="980"/>
      <c r="I137" s="971">
        <f>príjmy!L182</f>
        <v>5240</v>
      </c>
      <c r="J137" s="971">
        <f>príjmy!M182</f>
        <v>79686</v>
      </c>
      <c r="K137" s="971">
        <f>príjmy!N182</f>
        <v>0</v>
      </c>
      <c r="L137" s="971">
        <f>príjmy!O182</f>
        <v>0</v>
      </c>
      <c r="M137" s="971">
        <f>príjmy!P182</f>
        <v>0</v>
      </c>
      <c r="N137" s="971">
        <f>príjmy!Q182</f>
        <v>0</v>
      </c>
      <c r="O137" s="971">
        <f>príjmy!R182</f>
        <v>0</v>
      </c>
    </row>
    <row r="138" spans="1:15" s="1347" customFormat="1" x14ac:dyDescent="0.2">
      <c r="A138" s="924" t="s">
        <v>12</v>
      </c>
      <c r="B138" s="979" t="s">
        <v>923</v>
      </c>
      <c r="C138" s="909"/>
      <c r="D138" s="909"/>
      <c r="E138" s="909"/>
      <c r="F138" s="909"/>
      <c r="G138" s="909"/>
      <c r="H138" s="980"/>
      <c r="I138" s="971">
        <f>príjmy!L183</f>
        <v>20683</v>
      </c>
      <c r="J138" s="971">
        <f>príjmy!M183</f>
        <v>23287</v>
      </c>
      <c r="K138" s="971">
        <f>príjmy!N183</f>
        <v>0</v>
      </c>
      <c r="L138" s="971">
        <f>príjmy!O183</f>
        <v>2777</v>
      </c>
      <c r="M138" s="971">
        <f>príjmy!P183</f>
        <v>0</v>
      </c>
      <c r="N138" s="971">
        <f>príjmy!Q183</f>
        <v>0</v>
      </c>
      <c r="O138" s="971">
        <f>príjmy!R183</f>
        <v>0</v>
      </c>
    </row>
    <row r="139" spans="1:15" s="1347" customFormat="1" x14ac:dyDescent="0.2">
      <c r="A139" s="924" t="s">
        <v>15</v>
      </c>
      <c r="B139" s="979" t="s">
        <v>908</v>
      </c>
      <c r="C139" s="909"/>
      <c r="D139" s="909"/>
      <c r="E139" s="909"/>
      <c r="F139" s="909"/>
      <c r="G139" s="909"/>
      <c r="H139" s="980"/>
      <c r="I139" s="971">
        <f>príjmy!L184</f>
        <v>12539</v>
      </c>
      <c r="J139" s="971">
        <f>príjmy!M184</f>
        <v>0</v>
      </c>
      <c r="K139" s="971">
        <f>príjmy!N184</f>
        <v>0</v>
      </c>
      <c r="L139" s="971">
        <f>príjmy!O184</f>
        <v>301</v>
      </c>
      <c r="M139" s="971">
        <f>príjmy!P184</f>
        <v>0</v>
      </c>
      <c r="N139" s="971">
        <f>príjmy!Q184</f>
        <v>0</v>
      </c>
      <c r="O139" s="971">
        <f>príjmy!R184</f>
        <v>0</v>
      </c>
    </row>
    <row r="140" spans="1:15" s="1347" customFormat="1" x14ac:dyDescent="0.2">
      <c r="A140" s="924" t="s">
        <v>18</v>
      </c>
      <c r="B140" s="979" t="s">
        <v>924</v>
      </c>
      <c r="C140" s="909"/>
      <c r="D140" s="909"/>
      <c r="E140" s="909"/>
      <c r="F140" s="909"/>
      <c r="G140" s="909"/>
      <c r="H140" s="980"/>
      <c r="I140" s="971">
        <f>príjmy!L185</f>
        <v>0</v>
      </c>
      <c r="J140" s="971">
        <f>príjmy!M185</f>
        <v>0</v>
      </c>
      <c r="K140" s="971">
        <f>príjmy!N185</f>
        <v>0</v>
      </c>
      <c r="L140" s="971">
        <f>príjmy!O185</f>
        <v>4299</v>
      </c>
      <c r="M140" s="971">
        <f>príjmy!P185</f>
        <v>0</v>
      </c>
      <c r="N140" s="971">
        <f>príjmy!Q185</f>
        <v>0</v>
      </c>
      <c r="O140" s="971">
        <f>príjmy!R185</f>
        <v>0</v>
      </c>
    </row>
    <row r="141" spans="1:15" s="1347" customFormat="1" x14ac:dyDescent="0.2">
      <c r="A141" s="924" t="s">
        <v>20</v>
      </c>
      <c r="B141" s="979" t="s">
        <v>632</v>
      </c>
      <c r="C141" s="909"/>
      <c r="D141" s="909"/>
      <c r="E141" s="909"/>
      <c r="F141" s="909"/>
      <c r="G141" s="909"/>
      <c r="H141" s="980"/>
      <c r="I141" s="971">
        <f>príjmy!L186</f>
        <v>1900</v>
      </c>
      <c r="J141" s="971">
        <f>príjmy!M186</f>
        <v>1000</v>
      </c>
      <c r="K141" s="971">
        <f>príjmy!N186</f>
        <v>0</v>
      </c>
      <c r="L141" s="971">
        <f>príjmy!O186</f>
        <v>2024</v>
      </c>
      <c r="M141" s="971">
        <f>príjmy!P186</f>
        <v>0</v>
      </c>
      <c r="N141" s="971">
        <f>príjmy!Q186</f>
        <v>0</v>
      </c>
      <c r="O141" s="971">
        <f>príjmy!R186</f>
        <v>0</v>
      </c>
    </row>
    <row r="142" spans="1:15" s="1347" customFormat="1" x14ac:dyDescent="0.2">
      <c r="A142" s="924" t="s">
        <v>925</v>
      </c>
      <c r="B142" s="979" t="s">
        <v>926</v>
      </c>
      <c r="C142" s="909"/>
      <c r="D142" s="909"/>
      <c r="E142" s="909"/>
      <c r="F142" s="909"/>
      <c r="G142" s="909"/>
      <c r="H142" s="980"/>
      <c r="I142" s="971">
        <f>príjmy!L187</f>
        <v>6103</v>
      </c>
      <c r="J142" s="971">
        <f>príjmy!M187</f>
        <v>40000</v>
      </c>
      <c r="K142" s="971">
        <f>príjmy!N187</f>
        <v>0</v>
      </c>
      <c r="L142" s="971">
        <f>príjmy!O187</f>
        <v>27000</v>
      </c>
      <c r="M142" s="971">
        <f>príjmy!P187</f>
        <v>0</v>
      </c>
      <c r="N142" s="971">
        <f>príjmy!Q187</f>
        <v>0</v>
      </c>
      <c r="O142" s="971">
        <f>príjmy!R187</f>
        <v>0</v>
      </c>
    </row>
    <row r="143" spans="1:15" s="1347" customFormat="1" x14ac:dyDescent="0.2">
      <c r="A143" s="924" t="s">
        <v>927</v>
      </c>
      <c r="B143" s="979" t="s">
        <v>928</v>
      </c>
      <c r="C143" s="909"/>
      <c r="D143" s="909"/>
      <c r="E143" s="909"/>
      <c r="F143" s="909"/>
      <c r="G143" s="909"/>
      <c r="H143" s="980"/>
      <c r="I143" s="971">
        <f>príjmy!L188</f>
        <v>0</v>
      </c>
      <c r="J143" s="971">
        <f>príjmy!M188</f>
        <v>24878</v>
      </c>
      <c r="K143" s="971">
        <f>príjmy!N188</f>
        <v>0</v>
      </c>
      <c r="L143" s="971">
        <f>príjmy!O188</f>
        <v>0</v>
      </c>
      <c r="M143" s="971">
        <f>príjmy!P188</f>
        <v>0</v>
      </c>
      <c r="N143" s="971">
        <f>príjmy!Q188</f>
        <v>0</v>
      </c>
      <c r="O143" s="971">
        <f>príjmy!R188</f>
        <v>0</v>
      </c>
    </row>
    <row r="144" spans="1:15" s="1347" customFormat="1" x14ac:dyDescent="0.2">
      <c r="A144" s="924" t="s">
        <v>929</v>
      </c>
      <c r="B144" s="979" t="s">
        <v>858</v>
      </c>
      <c r="C144" s="909"/>
      <c r="D144" s="909"/>
      <c r="E144" s="909"/>
      <c r="F144" s="909"/>
      <c r="G144" s="909"/>
      <c r="H144" s="980"/>
      <c r="I144" s="971">
        <f>príjmy!L189</f>
        <v>9955</v>
      </c>
      <c r="J144" s="971">
        <f>príjmy!M189</f>
        <v>2316</v>
      </c>
      <c r="K144" s="971">
        <f>príjmy!N189</f>
        <v>0</v>
      </c>
      <c r="L144" s="971">
        <f>príjmy!O189</f>
        <v>2800</v>
      </c>
      <c r="M144" s="971">
        <f>príjmy!P189</f>
        <v>0</v>
      </c>
      <c r="N144" s="971">
        <f>príjmy!Q189</f>
        <v>0</v>
      </c>
      <c r="O144" s="971">
        <f>príjmy!R189</f>
        <v>0</v>
      </c>
    </row>
    <row r="145" spans="1:15" x14ac:dyDescent="0.2">
      <c r="A145" s="924" t="s">
        <v>930</v>
      </c>
      <c r="B145" s="979" t="s">
        <v>155</v>
      </c>
      <c r="C145" s="909"/>
      <c r="D145" s="909"/>
      <c r="E145" s="909"/>
      <c r="F145" s="909"/>
      <c r="G145" s="909"/>
      <c r="H145" s="909"/>
      <c r="I145" s="971">
        <f>príjmy!L190</f>
        <v>37440</v>
      </c>
      <c r="J145" s="971">
        <f>príjmy!M190</f>
        <v>20539</v>
      </c>
      <c r="K145" s="971">
        <f>príjmy!N192</f>
        <v>0</v>
      </c>
      <c r="L145" s="971">
        <f>príjmy!O192</f>
        <v>10174</v>
      </c>
      <c r="M145" s="971">
        <f>príjmy!P190</f>
        <v>10000</v>
      </c>
      <c r="N145" s="971">
        <f>príjmy!Q192</f>
        <v>0</v>
      </c>
      <c r="O145" s="971">
        <f>príjmy!R192</f>
        <v>0</v>
      </c>
    </row>
    <row r="146" spans="1:15" x14ac:dyDescent="0.2">
      <c r="A146" s="924" t="s">
        <v>931</v>
      </c>
      <c r="B146" s="979" t="s">
        <v>633</v>
      </c>
      <c r="C146" s="909"/>
      <c r="D146" s="909"/>
      <c r="E146" s="909"/>
      <c r="F146" s="909"/>
      <c r="G146" s="909"/>
      <c r="H146" s="980"/>
      <c r="I146" s="1007">
        <f>príjmy!L191</f>
        <v>0</v>
      </c>
      <c r="J146" s="1007">
        <f>príjmy!M191</f>
        <v>0</v>
      </c>
      <c r="K146" s="1007">
        <f>príjmy!N191</f>
        <v>0</v>
      </c>
      <c r="L146" s="1007">
        <f>príjmy!O190</f>
        <v>22434</v>
      </c>
      <c r="M146" s="1007">
        <f>príjmy!P191</f>
        <v>0</v>
      </c>
      <c r="N146" s="1007">
        <f>príjmy!Q191</f>
        <v>0</v>
      </c>
      <c r="O146" s="1007">
        <f>príjmy!R191</f>
        <v>0</v>
      </c>
    </row>
    <row r="147" spans="1:15" s="1347" customFormat="1" x14ac:dyDescent="0.2">
      <c r="A147" s="924" t="s">
        <v>932</v>
      </c>
      <c r="B147" s="979" t="s">
        <v>933</v>
      </c>
      <c r="C147" s="909"/>
      <c r="D147" s="909"/>
      <c r="E147" s="909"/>
      <c r="F147" s="909"/>
      <c r="G147" s="909"/>
      <c r="H147" s="980"/>
      <c r="I147" s="1007">
        <f>príjmy!L192</f>
        <v>0</v>
      </c>
      <c r="J147" s="1007">
        <f>príjmy!M192</f>
        <v>0</v>
      </c>
      <c r="K147" s="1007">
        <f>príjmy!N192</f>
        <v>0</v>
      </c>
      <c r="L147" s="1007">
        <v>0</v>
      </c>
      <c r="M147" s="1007">
        <f>príjmy!P192</f>
        <v>0</v>
      </c>
      <c r="N147" s="1007">
        <f>príjmy!Q192</f>
        <v>0</v>
      </c>
      <c r="O147" s="1007">
        <f>príjmy!R192</f>
        <v>0</v>
      </c>
    </row>
    <row r="148" spans="1:15" s="1347" customFormat="1" x14ac:dyDescent="0.2">
      <c r="A148" s="924" t="s">
        <v>934</v>
      </c>
      <c r="B148" s="979" t="s">
        <v>806</v>
      </c>
      <c r="C148" s="909"/>
      <c r="D148" s="909"/>
      <c r="E148" s="909"/>
      <c r="F148" s="909"/>
      <c r="G148" s="909"/>
      <c r="H148" s="980"/>
      <c r="I148" s="1007">
        <f>príjmy!L193</f>
        <v>10</v>
      </c>
      <c r="J148" s="1007">
        <f>príjmy!M193</f>
        <v>0</v>
      </c>
      <c r="K148" s="1007">
        <f>príjmy!N193</f>
        <v>0</v>
      </c>
      <c r="L148" s="1007">
        <f>príjmy!O193</f>
        <v>0</v>
      </c>
      <c r="M148" s="1007">
        <f>príjmy!P193</f>
        <v>0</v>
      </c>
      <c r="N148" s="1007">
        <f>príjmy!Q193</f>
        <v>0</v>
      </c>
      <c r="O148" s="1007">
        <f>príjmy!R193</f>
        <v>0</v>
      </c>
    </row>
    <row r="149" spans="1:15" x14ac:dyDescent="0.2">
      <c r="A149" s="906" t="s">
        <v>935</v>
      </c>
      <c r="B149" s="1013" t="s">
        <v>685</v>
      </c>
      <c r="C149" s="903"/>
      <c r="D149" s="903"/>
      <c r="E149" s="903"/>
      <c r="F149" s="903"/>
      <c r="G149" s="903"/>
      <c r="H149" s="903"/>
      <c r="I149" s="1007">
        <f>príjmy!L201</f>
        <v>0</v>
      </c>
      <c r="J149" s="1007">
        <f>príjmy!M201</f>
        <v>0</v>
      </c>
      <c r="K149" s="1007">
        <f>príjmy!N201</f>
        <v>0</v>
      </c>
      <c r="L149" s="1007">
        <f>príjmy!O201</f>
        <v>0</v>
      </c>
      <c r="M149" s="1007">
        <f>príjmy!P201</f>
        <v>0</v>
      </c>
      <c r="N149" s="1007">
        <f>príjmy!Q201</f>
        <v>0</v>
      </c>
      <c r="O149" s="1007">
        <f>príjmy!R201</f>
        <v>0</v>
      </c>
    </row>
    <row r="150" spans="1:15" ht="13.5" thickBot="1" x14ac:dyDescent="0.25">
      <c r="A150" s="913" t="s">
        <v>936</v>
      </c>
      <c r="B150" s="834" t="s">
        <v>937</v>
      </c>
      <c r="C150" s="914"/>
      <c r="D150" s="914"/>
      <c r="E150" s="914"/>
      <c r="F150" s="914"/>
      <c r="G150" s="914"/>
      <c r="H150" s="914"/>
      <c r="I150" s="1001">
        <f>príjmy!L202+príjmy!L204</f>
        <v>150000</v>
      </c>
      <c r="J150" s="1001">
        <f>príjmy!M202+príjmy!M204</f>
        <v>0</v>
      </c>
      <c r="K150" s="1001">
        <f>príjmy!N202+príjmy!N204</f>
        <v>0</v>
      </c>
      <c r="L150" s="1001">
        <f>príjmy!O202+príjmy!O203</f>
        <v>56582</v>
      </c>
      <c r="M150" s="1001">
        <f>príjmy!P202+príjmy!P204</f>
        <v>0</v>
      </c>
      <c r="N150" s="1001">
        <f>príjmy!Q202+príjmy!Q204</f>
        <v>0</v>
      </c>
      <c r="O150" s="1001">
        <f>príjmy!R202+príjmy!R204</f>
        <v>0</v>
      </c>
    </row>
    <row r="151" spans="1:15" x14ac:dyDescent="0.2">
      <c r="A151" s="591"/>
      <c r="B151" s="9"/>
      <c r="C151" s="9"/>
      <c r="D151" s="9"/>
      <c r="E151" s="9"/>
      <c r="F151" s="9"/>
      <c r="G151" s="9"/>
      <c r="H151" s="9"/>
      <c r="I151" s="592"/>
    </row>
    <row r="152" spans="1:15" hidden="1" x14ac:dyDescent="0.2">
      <c r="A152" s="591"/>
      <c r="B152" s="9"/>
      <c r="C152" s="9"/>
      <c r="D152" s="9"/>
      <c r="E152" s="9"/>
      <c r="F152" s="9"/>
      <c r="G152" s="9"/>
      <c r="H152" s="9"/>
      <c r="I152" s="592"/>
    </row>
    <row r="153" spans="1:15" ht="15.75" thickBot="1" x14ac:dyDescent="0.25">
      <c r="A153" s="1943" t="s">
        <v>160</v>
      </c>
      <c r="B153" s="1943"/>
      <c r="C153" s="1943"/>
      <c r="D153" s="1943"/>
      <c r="E153" s="1943"/>
      <c r="F153" s="1943"/>
      <c r="G153" s="1943"/>
      <c r="H153" s="1943"/>
      <c r="I153" s="1943"/>
      <c r="J153" s="1943"/>
      <c r="K153" s="1012"/>
    </row>
    <row r="154" spans="1:15" ht="15" x14ac:dyDescent="0.2">
      <c r="A154" s="1019"/>
      <c r="B154" s="1020"/>
      <c r="C154" s="1020"/>
      <c r="D154" s="1020"/>
      <c r="E154" s="1020"/>
      <c r="F154" s="1020"/>
      <c r="G154" s="1020"/>
      <c r="H154" s="1021"/>
      <c r="I154" s="952">
        <v>2021</v>
      </c>
      <c r="J154" s="952">
        <v>2022</v>
      </c>
      <c r="K154" s="952" t="s">
        <v>998</v>
      </c>
      <c r="L154" s="953" t="s">
        <v>999</v>
      </c>
      <c r="M154" s="991">
        <v>2024</v>
      </c>
      <c r="N154" s="954">
        <v>2025</v>
      </c>
      <c r="O154" s="955">
        <v>2026</v>
      </c>
    </row>
    <row r="155" spans="1:15" x14ac:dyDescent="0.2">
      <c r="A155" s="1944" t="s">
        <v>161</v>
      </c>
      <c r="B155" s="1945"/>
      <c r="C155" s="1945"/>
      <c r="D155" s="1945"/>
      <c r="E155" s="1945"/>
      <c r="F155" s="1945"/>
      <c r="G155" s="1945"/>
      <c r="H155" s="1946"/>
      <c r="I155" s="918">
        <f>príjmy!L219</f>
        <v>697854</v>
      </c>
      <c r="J155" s="970">
        <f>príjmy!M219</f>
        <v>684265</v>
      </c>
      <c r="K155" s="970">
        <f>príjmy!N219</f>
        <v>806053</v>
      </c>
      <c r="L155" s="981">
        <f>príjmy!O219</f>
        <v>802057</v>
      </c>
      <c r="M155" s="1081">
        <f>príjmy!P219</f>
        <v>820362</v>
      </c>
      <c r="N155" s="982">
        <f>príjmy!Q219</f>
        <v>820044</v>
      </c>
      <c r="O155" s="971">
        <f>príjmy!R219</f>
        <v>820044</v>
      </c>
    </row>
    <row r="156" spans="1:15" x14ac:dyDescent="0.2">
      <c r="A156" s="1944" t="s">
        <v>162</v>
      </c>
      <c r="B156" s="1945"/>
      <c r="C156" s="1945"/>
      <c r="D156" s="1945"/>
      <c r="E156" s="1945"/>
      <c r="F156" s="1945"/>
      <c r="G156" s="1945"/>
      <c r="H156" s="1946"/>
      <c r="I156" s="918">
        <f>príjmy!L242</f>
        <v>206310</v>
      </c>
      <c r="J156" s="970">
        <f>príjmy!M242</f>
        <v>224939</v>
      </c>
      <c r="K156" s="970">
        <f>príjmy!N242</f>
        <v>219289</v>
      </c>
      <c r="L156" s="981">
        <f>príjmy!O242</f>
        <v>187195</v>
      </c>
      <c r="M156" s="1081">
        <f>príjmy!P242</f>
        <v>124945</v>
      </c>
      <c r="N156" s="982">
        <f>príjmy!Q242</f>
        <v>123945</v>
      </c>
      <c r="O156" s="971">
        <f>príjmy!R242</f>
        <v>123945</v>
      </c>
    </row>
    <row r="157" spans="1:15" x14ac:dyDescent="0.2">
      <c r="A157" s="1944" t="s">
        <v>163</v>
      </c>
      <c r="B157" s="1945"/>
      <c r="C157" s="1945"/>
      <c r="D157" s="1945"/>
      <c r="E157" s="1945"/>
      <c r="F157" s="1945"/>
      <c r="G157" s="1945"/>
      <c r="H157" s="1946"/>
      <c r="I157" s="918">
        <f>príjmy!L258</f>
        <v>60849</v>
      </c>
      <c r="J157" s="970">
        <f>príjmy!M258</f>
        <v>70568</v>
      </c>
      <c r="K157" s="970">
        <f>príjmy!N258</f>
        <v>63672</v>
      </c>
      <c r="L157" s="981">
        <f>príjmy!O258</f>
        <v>94943</v>
      </c>
      <c r="M157" s="1081">
        <f>príjmy!P258</f>
        <v>103544</v>
      </c>
      <c r="N157" s="982">
        <f>príjmy!Q258</f>
        <v>107244</v>
      </c>
      <c r="O157" s="971">
        <f>príjmy!R258</f>
        <v>107444</v>
      </c>
    </row>
    <row r="158" spans="1:15" ht="13.5" thickBot="1" x14ac:dyDescent="0.25">
      <c r="A158" s="1931" t="s">
        <v>160</v>
      </c>
      <c r="B158" s="1932"/>
      <c r="C158" s="1932"/>
      <c r="D158" s="1932"/>
      <c r="E158" s="1932"/>
      <c r="F158" s="1932"/>
      <c r="G158" s="1932"/>
      <c r="H158" s="1933"/>
      <c r="I158" s="1022">
        <f t="shared" ref="I158:O158" si="7">SUM(I155:I157)</f>
        <v>965013</v>
      </c>
      <c r="J158" s="1023">
        <f t="shared" si="7"/>
        <v>979772</v>
      </c>
      <c r="K158" s="1023">
        <f t="shared" si="7"/>
        <v>1089014</v>
      </c>
      <c r="L158" s="1024">
        <f t="shared" si="7"/>
        <v>1084195</v>
      </c>
      <c r="M158" s="1017">
        <f t="shared" si="7"/>
        <v>1048851</v>
      </c>
      <c r="N158" s="1025">
        <f t="shared" si="7"/>
        <v>1051233</v>
      </c>
      <c r="O158" s="1026">
        <f t="shared" si="7"/>
        <v>1051433</v>
      </c>
    </row>
    <row r="159" spans="1:15" x14ac:dyDescent="0.2">
      <c r="A159" s="1045"/>
      <c r="B159" s="1045"/>
      <c r="C159" s="1045"/>
      <c r="D159" s="1045"/>
      <c r="E159" s="1045"/>
      <c r="F159" s="1045"/>
      <c r="G159" s="1045"/>
      <c r="H159" s="1045"/>
      <c r="I159" s="1046"/>
      <c r="J159" s="1047"/>
      <c r="K159" s="1047"/>
      <c r="L159" s="1047"/>
      <c r="M159" s="1047"/>
      <c r="N159" s="1047"/>
      <c r="O159" s="1047"/>
    </row>
    <row r="160" spans="1:15" hidden="1" x14ac:dyDescent="0.2">
      <c r="A160" s="1045"/>
      <c r="B160" s="1045"/>
      <c r="C160" s="1045"/>
      <c r="D160" s="1045"/>
      <c r="E160" s="1045"/>
      <c r="F160" s="1045"/>
      <c r="G160" s="1045"/>
      <c r="H160" s="1045"/>
      <c r="I160" s="1046"/>
      <c r="J160" s="1047"/>
      <c r="K160" s="1047"/>
      <c r="L160" s="1047"/>
      <c r="M160" s="1047"/>
      <c r="N160" s="1047"/>
      <c r="O160" s="1047"/>
    </row>
    <row r="161" spans="1:15" hidden="1" x14ac:dyDescent="0.2">
      <c r="A161" s="1045"/>
      <c r="B161" s="1045"/>
      <c r="C161" s="1045"/>
      <c r="D161" s="1045"/>
      <c r="E161" s="1045"/>
      <c r="F161" s="1045"/>
      <c r="G161" s="1045"/>
      <c r="H161" s="1045"/>
      <c r="I161" s="1046"/>
      <c r="J161" s="1047"/>
      <c r="K161" s="1047"/>
      <c r="L161" s="1047"/>
      <c r="M161" s="1047"/>
      <c r="N161" s="1047"/>
      <c r="O161" s="1047"/>
    </row>
    <row r="162" spans="1:15" hidden="1" x14ac:dyDescent="0.2">
      <c r="A162" s="11"/>
      <c r="B162" s="12"/>
      <c r="C162" s="12"/>
      <c r="D162" s="12"/>
      <c r="E162" s="12"/>
      <c r="F162" s="12"/>
      <c r="G162" s="12"/>
      <c r="H162" s="12"/>
      <c r="I162" s="13"/>
    </row>
    <row r="163" spans="1:15" ht="15.75" thickBot="1" x14ac:dyDescent="0.25">
      <c r="A163" s="2002" t="s">
        <v>87</v>
      </c>
      <c r="B163" s="2002"/>
      <c r="C163" s="2002"/>
      <c r="D163" s="2002"/>
      <c r="E163" s="2002"/>
      <c r="F163" s="2002"/>
      <c r="G163" s="2002"/>
      <c r="H163" s="2002"/>
      <c r="I163" s="2002"/>
      <c r="J163" s="2002"/>
      <c r="K163" s="2002"/>
      <c r="L163" s="2002"/>
      <c r="M163" s="2002"/>
      <c r="N163" s="2002"/>
      <c r="O163" s="2002"/>
    </row>
    <row r="164" spans="1:15" ht="15" x14ac:dyDescent="0.2">
      <c r="A164" s="1947"/>
      <c r="B164" s="1948"/>
      <c r="C164" s="1948"/>
      <c r="D164" s="1948"/>
      <c r="E164" s="1948"/>
      <c r="F164" s="1948"/>
      <c r="G164" s="1948"/>
      <c r="H164" s="1949"/>
      <c r="I164" s="952">
        <v>2021</v>
      </c>
      <c r="J164" s="952">
        <v>2022</v>
      </c>
      <c r="K164" s="952" t="s">
        <v>998</v>
      </c>
      <c r="L164" s="953" t="s">
        <v>999</v>
      </c>
      <c r="M164" s="991">
        <v>2024</v>
      </c>
      <c r="N164" s="954">
        <v>2025</v>
      </c>
      <c r="O164" s="955">
        <v>2026</v>
      </c>
    </row>
    <row r="165" spans="1:15" x14ac:dyDescent="0.2">
      <c r="A165" s="1950" t="s">
        <v>680</v>
      </c>
      <c r="B165" s="1951"/>
      <c r="C165" s="1951"/>
      <c r="D165" s="1951"/>
      <c r="E165" s="1951"/>
      <c r="F165" s="1951"/>
      <c r="G165" s="1951"/>
      <c r="H165" s="1952"/>
      <c r="I165" s="918">
        <f t="shared" ref="I165:O165" si="8">I3</f>
        <v>1587130</v>
      </c>
      <c r="J165" s="1014">
        <f t="shared" si="8"/>
        <v>1610436</v>
      </c>
      <c r="K165" s="1014">
        <f t="shared" si="8"/>
        <v>1621629</v>
      </c>
      <c r="L165" s="1015">
        <f t="shared" si="8"/>
        <v>1823324</v>
      </c>
      <c r="M165" s="1084">
        <f t="shared" si="8"/>
        <v>1765829</v>
      </c>
      <c r="N165" s="1016">
        <f t="shared" si="8"/>
        <v>1835434</v>
      </c>
      <c r="O165" s="1018">
        <f t="shared" si="8"/>
        <v>1955631</v>
      </c>
    </row>
    <row r="166" spans="1:15" x14ac:dyDescent="0.2">
      <c r="A166" s="1934" t="s">
        <v>681</v>
      </c>
      <c r="B166" s="1935"/>
      <c r="C166" s="1935"/>
      <c r="D166" s="1935"/>
      <c r="E166" s="1935"/>
      <c r="F166" s="1935"/>
      <c r="G166" s="1935"/>
      <c r="H166" s="1936"/>
      <c r="I166" s="918">
        <f t="shared" ref="I166:O166" si="9">I108</f>
        <v>1696143</v>
      </c>
      <c r="J166" s="1014">
        <f t="shared" si="9"/>
        <v>23000</v>
      </c>
      <c r="K166" s="1014">
        <f t="shared" si="9"/>
        <v>77000</v>
      </c>
      <c r="L166" s="1015">
        <f t="shared" si="9"/>
        <v>25705</v>
      </c>
      <c r="M166" s="1084">
        <f t="shared" si="9"/>
        <v>55000</v>
      </c>
      <c r="N166" s="1016">
        <f t="shared" si="9"/>
        <v>30000</v>
      </c>
      <c r="O166" s="1018">
        <f t="shared" si="9"/>
        <v>20000</v>
      </c>
    </row>
    <row r="167" spans="1:15" x14ac:dyDescent="0.2">
      <c r="A167" s="1934" t="s">
        <v>682</v>
      </c>
      <c r="B167" s="1935"/>
      <c r="C167" s="1935"/>
      <c r="D167" s="1935"/>
      <c r="E167" s="1935"/>
      <c r="F167" s="1935"/>
      <c r="G167" s="1935"/>
      <c r="H167" s="1936"/>
      <c r="I167" s="918">
        <f t="shared" ref="I167:O167" si="10">I133</f>
        <v>247358</v>
      </c>
      <c r="J167" s="1014">
        <f t="shared" si="10"/>
        <v>192106</v>
      </c>
      <c r="K167" s="1014">
        <f t="shared" si="10"/>
        <v>0</v>
      </c>
      <c r="L167" s="1015">
        <f t="shared" si="10"/>
        <v>128391</v>
      </c>
      <c r="M167" s="1084">
        <f t="shared" si="10"/>
        <v>10000</v>
      </c>
      <c r="N167" s="1016">
        <f t="shared" si="10"/>
        <v>0</v>
      </c>
      <c r="O167" s="1018">
        <f t="shared" si="10"/>
        <v>0</v>
      </c>
    </row>
    <row r="168" spans="1:15" ht="13.5" thickBot="1" x14ac:dyDescent="0.25">
      <c r="A168" s="1994" t="s">
        <v>683</v>
      </c>
      <c r="B168" s="1995"/>
      <c r="C168" s="1995"/>
      <c r="D168" s="1995"/>
      <c r="E168" s="1995"/>
      <c r="F168" s="1995"/>
      <c r="G168" s="1995"/>
      <c r="H168" s="1996"/>
      <c r="I168" s="920">
        <f t="shared" ref="I168:O168" si="11">I158</f>
        <v>965013</v>
      </c>
      <c r="J168" s="1214">
        <f t="shared" si="11"/>
        <v>979772</v>
      </c>
      <c r="K168" s="1214">
        <f t="shared" si="11"/>
        <v>1089014</v>
      </c>
      <c r="L168" s="1222">
        <f t="shared" si="11"/>
        <v>1084195</v>
      </c>
      <c r="M168" s="1223">
        <f t="shared" si="11"/>
        <v>1048851</v>
      </c>
      <c r="N168" s="1224">
        <f t="shared" si="11"/>
        <v>1051233</v>
      </c>
      <c r="O168" s="1215">
        <f t="shared" si="11"/>
        <v>1051433</v>
      </c>
    </row>
    <row r="169" spans="1:15" ht="13.5" thickBot="1" x14ac:dyDescent="0.25">
      <c r="A169" s="1997" t="s">
        <v>88</v>
      </c>
      <c r="B169" s="1998"/>
      <c r="C169" s="1998"/>
      <c r="D169" s="1998"/>
      <c r="E169" s="1998"/>
      <c r="F169" s="1998"/>
      <c r="G169" s="1998"/>
      <c r="H169" s="1999"/>
      <c r="I169" s="1216">
        <f t="shared" ref="I169:O169" si="12">SUM(I165:I168)</f>
        <v>4495644</v>
      </c>
      <c r="J169" s="1217">
        <f t="shared" si="12"/>
        <v>2805314</v>
      </c>
      <c r="K169" s="1217">
        <f t="shared" si="12"/>
        <v>2787643</v>
      </c>
      <c r="L169" s="1218">
        <f t="shared" si="12"/>
        <v>3061615</v>
      </c>
      <c r="M169" s="1219">
        <f t="shared" si="12"/>
        <v>2879680</v>
      </c>
      <c r="N169" s="1220">
        <f t="shared" si="12"/>
        <v>2916667</v>
      </c>
      <c r="O169" s="1221">
        <f t="shared" si="12"/>
        <v>3027064</v>
      </c>
    </row>
    <row r="170" spans="1:15" x14ac:dyDescent="0.2">
      <c r="A170" s="14"/>
      <c r="B170" s="12"/>
      <c r="C170" s="1941"/>
      <c r="D170" s="1941"/>
      <c r="E170" s="1941"/>
      <c r="F170" s="1941"/>
      <c r="G170" s="1942"/>
      <c r="H170" s="1942"/>
      <c r="I170" s="13"/>
    </row>
    <row r="171" spans="1:15" x14ac:dyDescent="0.2">
      <c r="A171" s="14"/>
      <c r="B171" s="12"/>
      <c r="C171" s="12"/>
      <c r="D171" s="12"/>
      <c r="E171" s="12"/>
      <c r="F171" s="12"/>
      <c r="G171" s="12"/>
      <c r="H171" s="12"/>
      <c r="I171" s="15"/>
    </row>
    <row r="172" spans="1:15" x14ac:dyDescent="0.2">
      <c r="A172" s="14"/>
      <c r="B172" s="12"/>
      <c r="C172" s="12"/>
      <c r="D172" s="12"/>
      <c r="E172" s="12"/>
      <c r="F172" s="12"/>
      <c r="G172" s="12"/>
      <c r="H172" s="12"/>
      <c r="I172" s="15"/>
    </row>
  </sheetData>
  <mergeCells count="60">
    <mergeCell ref="B113:H113"/>
    <mergeCell ref="A1:O1"/>
    <mergeCell ref="A167:H167"/>
    <mergeCell ref="A168:H168"/>
    <mergeCell ref="A169:H169"/>
    <mergeCell ref="A8:H8"/>
    <mergeCell ref="B71:H71"/>
    <mergeCell ref="B76:H76"/>
    <mergeCell ref="B77:H77"/>
    <mergeCell ref="B84:H84"/>
    <mergeCell ref="A163:O163"/>
    <mergeCell ref="A3:H3"/>
    <mergeCell ref="A5:H5"/>
    <mergeCell ref="A18:H18"/>
    <mergeCell ref="A12:H12"/>
    <mergeCell ref="B13:H13"/>
    <mergeCell ref="A14:H14"/>
    <mergeCell ref="A10:H10"/>
    <mergeCell ref="B15:H15"/>
    <mergeCell ref="A16:H16"/>
    <mergeCell ref="A34:H34"/>
    <mergeCell ref="A54:H54"/>
    <mergeCell ref="B37:H37"/>
    <mergeCell ref="A38:H38"/>
    <mergeCell ref="A20:H20"/>
    <mergeCell ref="A27:H27"/>
    <mergeCell ref="B29:H29"/>
    <mergeCell ref="A30:H30"/>
    <mergeCell ref="B31:H31"/>
    <mergeCell ref="A32:H32"/>
    <mergeCell ref="A52:H52"/>
    <mergeCell ref="B53:H53"/>
    <mergeCell ref="B112:H112"/>
    <mergeCell ref="A40:H40"/>
    <mergeCell ref="A42:H42"/>
    <mergeCell ref="B43:H43"/>
    <mergeCell ref="A44:H44"/>
    <mergeCell ref="A69:H69"/>
    <mergeCell ref="A108:H108"/>
    <mergeCell ref="B87:H87"/>
    <mergeCell ref="A110:H110"/>
    <mergeCell ref="B47:H47"/>
    <mergeCell ref="B48:H48"/>
    <mergeCell ref="B49:H49"/>
    <mergeCell ref="A50:H50"/>
    <mergeCell ref="B51:H51"/>
    <mergeCell ref="B45:H45"/>
    <mergeCell ref="A46:H46"/>
    <mergeCell ref="A158:H158"/>
    <mergeCell ref="A166:H166"/>
    <mergeCell ref="A116:H116"/>
    <mergeCell ref="A133:H133"/>
    <mergeCell ref="C170:F170"/>
    <mergeCell ref="G170:H170"/>
    <mergeCell ref="A153:J153"/>
    <mergeCell ref="A155:H155"/>
    <mergeCell ref="A156:H156"/>
    <mergeCell ref="A157:H157"/>
    <mergeCell ref="A164:H164"/>
    <mergeCell ref="A165:H165"/>
  </mergeCells>
  <phoneticPr fontId="44" type="noConversion"/>
  <printOptions horizontalCentered="1"/>
  <pageMargins left="0.55118110236220474" right="0.15748031496062992" top="0.59055118110236227" bottom="0.39370078740157483" header="0.51181102362204722" footer="0.51181102362204722"/>
  <pageSetup paperSize="9" scale="94" firstPageNumber="0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06"/>
  <sheetViews>
    <sheetView zoomScaleNormal="100" workbookViewId="0">
      <selection activeCell="K28" sqref="K28"/>
    </sheetView>
  </sheetViews>
  <sheetFormatPr defaultRowHeight="12.75" x14ac:dyDescent="0.2"/>
  <cols>
    <col min="1" max="1" width="3.5703125" style="95" customWidth="1"/>
    <col min="2" max="2" width="4.140625" style="1" customWidth="1"/>
    <col min="3" max="3" width="9.42578125" customWidth="1"/>
    <col min="4" max="4" width="3.42578125" customWidth="1"/>
    <col min="5" max="5" width="31.42578125" customWidth="1"/>
    <col min="6" max="6" width="8.85546875" customWidth="1"/>
    <col min="7" max="7" width="0" hidden="1" customWidth="1"/>
    <col min="9" max="14" width="8.28515625" customWidth="1"/>
  </cols>
  <sheetData>
    <row r="1" spans="1:14" ht="15.75" x14ac:dyDescent="0.25">
      <c r="B1" s="99" t="s">
        <v>339</v>
      </c>
      <c r="E1" s="99" t="s">
        <v>340</v>
      </c>
      <c r="F1" s="97"/>
      <c r="G1" s="254" t="e">
        <f>G2-G7</f>
        <v>#REF!</v>
      </c>
      <c r="H1" s="254"/>
      <c r="I1" s="254"/>
      <c r="J1" s="254"/>
      <c r="K1" s="254"/>
      <c r="L1" s="107">
        <f>L2-L7</f>
        <v>0</v>
      </c>
      <c r="M1" s="107">
        <f>M2-M7</f>
        <v>0</v>
      </c>
      <c r="N1" s="107">
        <f>N2-N7</f>
        <v>0</v>
      </c>
    </row>
    <row r="2" spans="1:14" ht="15.75" x14ac:dyDescent="0.25">
      <c r="B2" s="99"/>
      <c r="F2" s="254"/>
      <c r="G2" s="254" t="e">
        <f>SUM(G8:G10)</f>
        <v>#REF!</v>
      </c>
      <c r="H2" s="254"/>
      <c r="I2" s="254"/>
      <c r="J2" s="254"/>
      <c r="K2" s="254"/>
      <c r="L2" s="107">
        <f>SUM(L8:L10)</f>
        <v>121750</v>
      </c>
      <c r="M2" s="107">
        <f>SUM(M8:M10)</f>
        <v>119250</v>
      </c>
      <c r="N2" s="107">
        <f>SUM(N8:N10)</f>
        <v>120250</v>
      </c>
    </row>
    <row r="3" spans="1:14" ht="15.75" x14ac:dyDescent="0.25">
      <c r="A3" s="108"/>
      <c r="B3" s="109"/>
      <c r="C3" s="110"/>
      <c r="D3" s="110"/>
      <c r="E3" s="111"/>
      <c r="F3" s="112"/>
      <c r="G3" s="2017" t="s">
        <v>168</v>
      </c>
      <c r="H3" s="2017"/>
      <c r="I3" s="2017"/>
      <c r="J3" s="2017"/>
      <c r="K3" s="2017"/>
      <c r="L3" s="2017"/>
      <c r="M3" s="2017"/>
      <c r="N3" s="2017"/>
    </row>
    <row r="4" spans="1:14" ht="15" customHeight="1" x14ac:dyDescent="0.2">
      <c r="A4" s="113"/>
      <c r="B4" s="114" t="s">
        <v>169</v>
      </c>
      <c r="C4" s="115" t="s">
        <v>170</v>
      </c>
      <c r="D4" s="2019" t="s">
        <v>171</v>
      </c>
      <c r="E4" s="2019"/>
      <c r="F4" s="2019"/>
      <c r="G4" s="116"/>
      <c r="H4" s="672">
        <v>2021</v>
      </c>
      <c r="I4" s="117">
        <v>2022</v>
      </c>
      <c r="J4" s="117" t="s">
        <v>998</v>
      </c>
      <c r="K4" s="117" t="s">
        <v>999</v>
      </c>
      <c r="L4" s="117">
        <v>2024</v>
      </c>
      <c r="M4" s="117">
        <v>2025</v>
      </c>
      <c r="N4" s="117">
        <v>2026</v>
      </c>
    </row>
    <row r="5" spans="1:14" ht="12" customHeight="1" x14ac:dyDescent="0.2">
      <c r="A5" s="113"/>
      <c r="B5" s="114" t="s">
        <v>172</v>
      </c>
      <c r="C5" s="115" t="s">
        <v>173</v>
      </c>
      <c r="D5" s="2019"/>
      <c r="E5" s="2019"/>
      <c r="F5" s="2019"/>
      <c r="G5" s="118" t="s">
        <v>174</v>
      </c>
      <c r="H5" s="255" t="s">
        <v>175</v>
      </c>
      <c r="I5" s="119" t="s">
        <v>176</v>
      </c>
      <c r="J5" s="119" t="s">
        <v>175</v>
      </c>
      <c r="K5" s="119" t="s">
        <v>176</v>
      </c>
      <c r="L5" s="375" t="s">
        <v>175</v>
      </c>
      <c r="M5" s="119" t="s">
        <v>176</v>
      </c>
      <c r="N5" s="119" t="s">
        <v>176</v>
      </c>
    </row>
    <row r="6" spans="1:14" ht="13.5" thickBot="1" x14ac:dyDescent="0.25">
      <c r="A6" s="113"/>
      <c r="B6" s="114" t="s">
        <v>177</v>
      </c>
      <c r="C6" s="115" t="s">
        <v>178</v>
      </c>
      <c r="D6" s="2019"/>
      <c r="E6" s="2019"/>
      <c r="F6" s="2019"/>
      <c r="G6" s="121">
        <v>1</v>
      </c>
      <c r="H6" s="121">
        <v>-3</v>
      </c>
      <c r="I6" s="122">
        <v>-2</v>
      </c>
      <c r="J6" s="122">
        <v>-1</v>
      </c>
      <c r="K6" s="122">
        <v>-1</v>
      </c>
      <c r="L6" s="121">
        <v>0</v>
      </c>
      <c r="M6" s="122">
        <v>1</v>
      </c>
      <c r="N6" s="122">
        <v>2</v>
      </c>
    </row>
    <row r="7" spans="1:14" ht="15" x14ac:dyDescent="0.25">
      <c r="A7" s="131">
        <v>1</v>
      </c>
      <c r="B7" s="125" t="s">
        <v>339</v>
      </c>
      <c r="C7" s="376"/>
      <c r="D7" s="377"/>
      <c r="E7" s="127" t="s">
        <v>340</v>
      </c>
      <c r="F7" s="378"/>
      <c r="G7" s="306" t="e">
        <f>G11+#REF!+#REF!+#REF!+#REF!+#REF!+#REF!+#REF!+#REF!</f>
        <v>#REF!</v>
      </c>
      <c r="H7" s="1171">
        <f>H8+H9+H10</f>
        <v>90250</v>
      </c>
      <c r="I7" s="1172">
        <f>SUM(I8:I10)</f>
        <v>123000</v>
      </c>
      <c r="J7" s="1158">
        <f>J8+J9+J10</f>
        <v>96250</v>
      </c>
      <c r="K7" s="1158">
        <f>SUM(K8:K10)</f>
        <v>145520</v>
      </c>
      <c r="L7" s="1158">
        <f>SUM(L8:L10)</f>
        <v>121750</v>
      </c>
      <c r="M7" s="1158">
        <f>SUM(M8:M10)</f>
        <v>119250</v>
      </c>
      <c r="N7" s="1158">
        <f>SUM(N8:N10)</f>
        <v>120250</v>
      </c>
    </row>
    <row r="8" spans="1:14" x14ac:dyDescent="0.2">
      <c r="A8" s="131">
        <f t="shared" ref="A8:A15" si="0">A7+1</f>
        <v>2</v>
      </c>
      <c r="B8" s="132" t="s">
        <v>180</v>
      </c>
      <c r="C8" s="626" t="s">
        <v>181</v>
      </c>
      <c r="D8" s="627"/>
      <c r="E8" s="628"/>
      <c r="F8" s="629"/>
      <c r="G8" s="630" t="e">
        <f>G12+G20+#REF!+#REF!+#REF!+#REF!+#REF!+#REF!</f>
        <v>#REF!</v>
      </c>
      <c r="H8" s="711">
        <f>H12+H20+H30+H44+H48+H57+H66+H71+H52</f>
        <v>90250</v>
      </c>
      <c r="I8" s="693">
        <f>SUM(I12+I20+I30+I44+I48+I57+I66+I71)+I52</f>
        <v>123000</v>
      </c>
      <c r="J8" s="631">
        <f>J12+J20+J30+J44+J48+J57+J66+J71+J52</f>
        <v>96250</v>
      </c>
      <c r="K8" s="631">
        <f>SUM(K12+K20+K30+K44+K48+K57+K66+K71)+K52</f>
        <v>140524</v>
      </c>
      <c r="L8" s="631">
        <f>SUM(L12+L20+L30+L44+L48+L57+L66+L71)+L52</f>
        <v>121750</v>
      </c>
      <c r="M8" s="631">
        <f>SUM(M12+M20+M30+M44+M48+M57+M66+M71)+M52</f>
        <v>119250</v>
      </c>
      <c r="N8" s="631">
        <f>SUM(N12+N20+N30+N44+N48+N57+N66+N71)+N52</f>
        <v>120250</v>
      </c>
    </row>
    <row r="9" spans="1:14" x14ac:dyDescent="0.2">
      <c r="A9" s="131">
        <f t="shared" si="0"/>
        <v>3</v>
      </c>
      <c r="B9" s="132" t="s">
        <v>182</v>
      </c>
      <c r="C9" s="701" t="s">
        <v>183</v>
      </c>
      <c r="D9" s="702"/>
      <c r="E9" s="703"/>
      <c r="F9" s="704"/>
      <c r="G9" s="705" t="e">
        <f>G25+#REF!+#REF!+#REF!+#REF!</f>
        <v>#REF!</v>
      </c>
      <c r="H9" s="718">
        <f>H25+H41+H62</f>
        <v>0</v>
      </c>
      <c r="I9" s="706">
        <f>SUM(I25+I41+I62)</f>
        <v>0</v>
      </c>
      <c r="J9" s="707">
        <f>J25+J41+J62</f>
        <v>0</v>
      </c>
      <c r="K9" s="707">
        <f>SUM(K25+K41+K62)</f>
        <v>4996</v>
      </c>
      <c r="L9" s="708">
        <f>SUM(L25+L41+L62)</f>
        <v>0</v>
      </c>
      <c r="M9" s="707">
        <f>SUM(M25+M41+M62)</f>
        <v>0</v>
      </c>
      <c r="N9" s="707">
        <f>SUM(N25+N41+N62)</f>
        <v>0</v>
      </c>
    </row>
    <row r="10" spans="1:14" ht="13.5" thickBot="1" x14ac:dyDescent="0.25">
      <c r="A10" s="131">
        <f t="shared" si="0"/>
        <v>4</v>
      </c>
      <c r="B10" s="135"/>
      <c r="C10" s="650" t="s">
        <v>184</v>
      </c>
      <c r="D10" s="651"/>
      <c r="E10" s="652"/>
      <c r="F10" s="653"/>
      <c r="G10" s="729" t="e">
        <f>#REF!+#REF!</f>
        <v>#REF!</v>
      </c>
      <c r="H10" s="773">
        <v>0</v>
      </c>
      <c r="I10" s="745">
        <v>0</v>
      </c>
      <c r="J10" s="746"/>
      <c r="K10" s="746">
        <v>0</v>
      </c>
      <c r="L10" s="730">
        <v>0</v>
      </c>
      <c r="M10" s="746">
        <v>0</v>
      </c>
      <c r="N10" s="746">
        <v>0</v>
      </c>
    </row>
    <row r="11" spans="1:14" ht="13.5" thickTop="1" x14ac:dyDescent="0.2">
      <c r="A11" s="131">
        <f t="shared" si="0"/>
        <v>5</v>
      </c>
      <c r="B11" s="136">
        <v>1</v>
      </c>
      <c r="C11" s="237" t="s">
        <v>341</v>
      </c>
      <c r="D11" s="138"/>
      <c r="E11" s="138"/>
      <c r="F11" s="139"/>
      <c r="G11" s="140" t="e">
        <f>SUM(G13)</f>
        <v>#REF!</v>
      </c>
      <c r="H11" s="408">
        <f>H12</f>
        <v>16000</v>
      </c>
      <c r="I11" s="141">
        <f t="shared" ref="I11:N12" si="1">I12</f>
        <v>29430</v>
      </c>
      <c r="J11" s="141">
        <f>J12</f>
        <v>18500</v>
      </c>
      <c r="K11" s="141">
        <f t="shared" si="1"/>
        <v>31917</v>
      </c>
      <c r="L11" s="271">
        <f t="shared" si="1"/>
        <v>24000</v>
      </c>
      <c r="M11" s="141">
        <f t="shared" si="1"/>
        <v>21500</v>
      </c>
      <c r="N11" s="141">
        <f t="shared" si="1"/>
        <v>21500</v>
      </c>
    </row>
    <row r="12" spans="1:14" x14ac:dyDescent="0.2">
      <c r="A12" s="131">
        <f t="shared" si="0"/>
        <v>6</v>
      </c>
      <c r="B12" s="151"/>
      <c r="C12" s="152"/>
      <c r="D12" s="134" t="s">
        <v>181</v>
      </c>
      <c r="E12" s="153"/>
      <c r="F12" s="154"/>
      <c r="G12" s="155" t="e">
        <f>G13</f>
        <v>#REF!</v>
      </c>
      <c r="H12" s="410">
        <f>H13</f>
        <v>16000</v>
      </c>
      <c r="I12" s="156">
        <f t="shared" si="1"/>
        <v>29430</v>
      </c>
      <c r="J12" s="156">
        <f>J13</f>
        <v>18500</v>
      </c>
      <c r="K12" s="156">
        <f t="shared" si="1"/>
        <v>31917</v>
      </c>
      <c r="L12" s="156">
        <f t="shared" si="1"/>
        <v>24000</v>
      </c>
      <c r="M12" s="156">
        <f t="shared" si="1"/>
        <v>21500</v>
      </c>
      <c r="N12" s="156">
        <f t="shared" si="1"/>
        <v>21500</v>
      </c>
    </row>
    <row r="13" spans="1:14" x14ac:dyDescent="0.2">
      <c r="A13" s="131">
        <f t="shared" si="0"/>
        <v>7</v>
      </c>
      <c r="B13" s="151"/>
      <c r="C13" s="235" t="s">
        <v>342</v>
      </c>
      <c r="D13" s="159" t="s">
        <v>343</v>
      </c>
      <c r="E13" s="160"/>
      <c r="F13" s="161"/>
      <c r="G13" s="207" t="e">
        <f>SUM(#REF!)</f>
        <v>#REF!</v>
      </c>
      <c r="H13" s="578">
        <f>SUM(H14:H18)</f>
        <v>16000</v>
      </c>
      <c r="I13" s="208">
        <f>SUM(I14:I18)</f>
        <v>29430</v>
      </c>
      <c r="J13" s="208">
        <f>SUM(J14:J18)</f>
        <v>18500</v>
      </c>
      <c r="K13" s="208">
        <f>SUM(K14:K18)</f>
        <v>31917</v>
      </c>
      <c r="L13" s="208">
        <f>SUM(L14,L15,L16,L17,L18)</f>
        <v>24000</v>
      </c>
      <c r="M13" s="208">
        <f>SUM(M14:M18)</f>
        <v>21500</v>
      </c>
      <c r="N13" s="208">
        <f>SUM(N14:N18)</f>
        <v>21500</v>
      </c>
    </row>
    <row r="14" spans="1:14" x14ac:dyDescent="0.2">
      <c r="A14" s="131">
        <f t="shared" si="0"/>
        <v>8</v>
      </c>
      <c r="B14" s="151"/>
      <c r="C14" s="195" t="s">
        <v>196</v>
      </c>
      <c r="D14" s="209" t="s">
        <v>215</v>
      </c>
      <c r="E14" s="197" t="s">
        <v>344</v>
      </c>
      <c r="F14" s="379"/>
      <c r="G14" s="380"/>
      <c r="H14" s="821">
        <f>výdavky!F322</f>
        <v>7500</v>
      </c>
      <c r="I14" s="212">
        <f>výdavky!G322</f>
        <v>19050</v>
      </c>
      <c r="J14" s="212">
        <f>výdavky!H322</f>
        <v>10000</v>
      </c>
      <c r="K14" s="212">
        <f>výdavky!I322</f>
        <v>14600</v>
      </c>
      <c r="L14" s="381">
        <f>výdavky!J322</f>
        <v>12500</v>
      </c>
      <c r="M14" s="212">
        <f>výdavky!K322</f>
        <v>12000</v>
      </c>
      <c r="N14" s="212">
        <f>výdavky!L322</f>
        <v>12000</v>
      </c>
    </row>
    <row r="15" spans="1:14" x14ac:dyDescent="0.2">
      <c r="A15" s="131">
        <f t="shared" si="0"/>
        <v>9</v>
      </c>
      <c r="B15" s="151"/>
      <c r="C15" s="195" t="s">
        <v>198</v>
      </c>
      <c r="D15" s="214" t="s">
        <v>217</v>
      </c>
      <c r="E15" s="201" t="s">
        <v>345</v>
      </c>
      <c r="F15" s="382"/>
      <c r="G15" s="383"/>
      <c r="H15" s="820">
        <f>výdavky!F323</f>
        <v>2000</v>
      </c>
      <c r="I15" s="206">
        <f>výdavky!G323</f>
        <v>3880</v>
      </c>
      <c r="J15" s="206">
        <f>výdavky!H323</f>
        <v>2000</v>
      </c>
      <c r="K15" s="206">
        <f>výdavky!I323</f>
        <v>9500</v>
      </c>
      <c r="L15" s="384">
        <f>výdavky!J323</f>
        <v>5000</v>
      </c>
      <c r="M15" s="206">
        <f>výdavky!K323</f>
        <v>3000</v>
      </c>
      <c r="N15" s="206">
        <f>výdavky!L323</f>
        <v>3000</v>
      </c>
    </row>
    <row r="16" spans="1:14" x14ac:dyDescent="0.2">
      <c r="A16" s="131">
        <v>10</v>
      </c>
      <c r="B16" s="151"/>
      <c r="C16" s="195" t="s">
        <v>200</v>
      </c>
      <c r="D16" s="209" t="s">
        <v>228</v>
      </c>
      <c r="E16" s="197" t="s">
        <v>346</v>
      </c>
      <c r="F16" s="379"/>
      <c r="G16" s="380"/>
      <c r="H16" s="821">
        <f>výdavky!F324</f>
        <v>5000</v>
      </c>
      <c r="I16" s="212">
        <f>výdavky!G324</f>
        <v>5000</v>
      </c>
      <c r="J16" s="212">
        <f>výdavky!H324</f>
        <v>5000</v>
      </c>
      <c r="K16" s="212">
        <f>výdavky!I324</f>
        <v>5617</v>
      </c>
      <c r="L16" s="381">
        <f>výdavky!J324</f>
        <v>5000</v>
      </c>
      <c r="M16" s="212">
        <f>výdavky!K324</f>
        <v>5000</v>
      </c>
      <c r="N16" s="212">
        <f>výdavky!L324</f>
        <v>5000</v>
      </c>
    </row>
    <row r="17" spans="1:14" x14ac:dyDescent="0.2">
      <c r="A17" s="131">
        <v>11</v>
      </c>
      <c r="B17" s="151"/>
      <c r="C17" s="195" t="s">
        <v>202</v>
      </c>
      <c r="D17" s="214" t="s">
        <v>230</v>
      </c>
      <c r="E17" s="201" t="s">
        <v>278</v>
      </c>
      <c r="F17" s="382"/>
      <c r="G17" s="383"/>
      <c r="H17" s="820">
        <f>výdavky!F325</f>
        <v>500</v>
      </c>
      <c r="I17" s="206">
        <f>výdavky!G325</f>
        <v>500</v>
      </c>
      <c r="J17" s="206">
        <f>výdavky!H325</f>
        <v>500</v>
      </c>
      <c r="K17" s="206">
        <f>výdavky!I325</f>
        <v>500</v>
      </c>
      <c r="L17" s="384">
        <f>výdavky!J325</f>
        <v>500</v>
      </c>
      <c r="M17" s="206">
        <f>výdavky!K325</f>
        <v>500</v>
      </c>
      <c r="N17" s="206">
        <f>výdavky!L325</f>
        <v>500</v>
      </c>
    </row>
    <row r="18" spans="1:14" x14ac:dyDescent="0.2">
      <c r="A18" s="131">
        <v>12</v>
      </c>
      <c r="B18" s="151"/>
      <c r="C18" s="195" t="s">
        <v>206</v>
      </c>
      <c r="D18" s="214" t="s">
        <v>232</v>
      </c>
      <c r="E18" s="201" t="s">
        <v>207</v>
      </c>
      <c r="F18" s="382"/>
      <c r="G18" s="383"/>
      <c r="H18" s="820">
        <f>výdavky!F326</f>
        <v>1000</v>
      </c>
      <c r="I18" s="206">
        <f>výdavky!G326</f>
        <v>1000</v>
      </c>
      <c r="J18" s="206">
        <f>výdavky!H326</f>
        <v>1000</v>
      </c>
      <c r="K18" s="206">
        <f>výdavky!I326</f>
        <v>1700</v>
      </c>
      <c r="L18" s="384">
        <f>výdavky!J326+výdavky!J327</f>
        <v>1000</v>
      </c>
      <c r="M18" s="206">
        <f>výdavky!K326+výdavky!K327</f>
        <v>1000</v>
      </c>
      <c r="N18" s="206">
        <f>výdavky!L326+výdavky!L327</f>
        <v>1000</v>
      </c>
    </row>
    <row r="19" spans="1:14" x14ac:dyDescent="0.2">
      <c r="A19" s="131">
        <f t="shared" ref="A19:A27" si="2">A18+1</f>
        <v>13</v>
      </c>
      <c r="B19" s="136">
        <v>2</v>
      </c>
      <c r="C19" s="237" t="s">
        <v>347</v>
      </c>
      <c r="D19" s="138"/>
      <c r="E19" s="138"/>
      <c r="F19" s="139"/>
      <c r="G19" s="140">
        <f>SUM(G21)</f>
        <v>1240.5</v>
      </c>
      <c r="H19" s="408">
        <f>H20+H25</f>
        <v>10500</v>
      </c>
      <c r="I19" s="142">
        <f>SUM(I20+I25)</f>
        <v>16000</v>
      </c>
      <c r="J19" s="142">
        <f>J20+J25</f>
        <v>16000</v>
      </c>
      <c r="K19" s="142">
        <f>SUM(K20+K25)</f>
        <v>35551</v>
      </c>
      <c r="L19" s="271">
        <f>SUM(L20+L25)</f>
        <v>26000</v>
      </c>
      <c r="M19" s="142">
        <f>SUM(M20+M25)</f>
        <v>26500</v>
      </c>
      <c r="N19" s="142">
        <f>SUM(N20+N25)</f>
        <v>27000</v>
      </c>
    </row>
    <row r="20" spans="1:14" x14ac:dyDescent="0.2">
      <c r="A20" s="131">
        <f t="shared" si="2"/>
        <v>14</v>
      </c>
      <c r="B20" s="151"/>
      <c r="C20" s="152"/>
      <c r="D20" s="134" t="s">
        <v>181</v>
      </c>
      <c r="E20" s="153"/>
      <c r="F20" s="154"/>
      <c r="G20" s="155">
        <f t="shared" ref="G20:N20" si="3">G21</f>
        <v>1240.5</v>
      </c>
      <c r="H20" s="410">
        <f>H21</f>
        <v>10500</v>
      </c>
      <c r="I20" s="156">
        <f t="shared" si="3"/>
        <v>16000</v>
      </c>
      <c r="J20" s="156">
        <f>J21</f>
        <v>16000</v>
      </c>
      <c r="K20" s="156">
        <f t="shared" si="3"/>
        <v>30555</v>
      </c>
      <c r="L20" s="273">
        <f t="shared" si="3"/>
        <v>26000</v>
      </c>
      <c r="M20" s="156">
        <f t="shared" si="3"/>
        <v>26500</v>
      </c>
      <c r="N20" s="156">
        <f t="shared" si="3"/>
        <v>27000</v>
      </c>
    </row>
    <row r="21" spans="1:14" x14ac:dyDescent="0.2">
      <c r="A21" s="131">
        <f t="shared" si="2"/>
        <v>15</v>
      </c>
      <c r="B21" s="184"/>
      <c r="C21" s="235" t="s">
        <v>342</v>
      </c>
      <c r="D21" s="159" t="s">
        <v>343</v>
      </c>
      <c r="E21" s="160"/>
      <c r="F21" s="161"/>
      <c r="G21" s="194">
        <f>SUM(G22:G23)</f>
        <v>1240.5</v>
      </c>
      <c r="H21" s="278">
        <f t="shared" ref="H21:N21" si="4">SUM(H22:H24)</f>
        <v>10500</v>
      </c>
      <c r="I21" s="163">
        <f t="shared" si="4"/>
        <v>16000</v>
      </c>
      <c r="J21" s="163">
        <f t="shared" si="4"/>
        <v>16000</v>
      </c>
      <c r="K21" s="163">
        <f t="shared" si="4"/>
        <v>30555</v>
      </c>
      <c r="L21" s="163">
        <f t="shared" si="4"/>
        <v>26000</v>
      </c>
      <c r="M21" s="163">
        <f t="shared" si="4"/>
        <v>26500</v>
      </c>
      <c r="N21" s="163">
        <f t="shared" si="4"/>
        <v>27000</v>
      </c>
    </row>
    <row r="22" spans="1:14" x14ac:dyDescent="0.2">
      <c r="A22" s="131">
        <f t="shared" si="2"/>
        <v>16</v>
      </c>
      <c r="B22" s="184"/>
      <c r="C22" s="215" t="s">
        <v>214</v>
      </c>
      <c r="D22" s="209" t="s">
        <v>215</v>
      </c>
      <c r="E22" s="167" t="s">
        <v>348</v>
      </c>
      <c r="F22" s="210"/>
      <c r="G22" s="385">
        <f>ROUND(M22/30.126,1)</f>
        <v>829.8</v>
      </c>
      <c r="H22" s="824">
        <f>výdavky!F329</f>
        <v>10000</v>
      </c>
      <c r="I22" s="229">
        <f>výdavky!G329+výdavky!G330</f>
        <v>15000</v>
      </c>
      <c r="J22" s="229">
        <f>výdavky!H329</f>
        <v>15000</v>
      </c>
      <c r="K22" s="229">
        <f>výdavky!I329</f>
        <v>28355</v>
      </c>
      <c r="L22" s="298">
        <f>výdavky!J329</f>
        <v>25000</v>
      </c>
      <c r="M22" s="229">
        <f>výdavky!K329</f>
        <v>25000</v>
      </c>
      <c r="N22" s="229">
        <f>výdavky!L329</f>
        <v>25000</v>
      </c>
    </row>
    <row r="23" spans="1:14" x14ac:dyDescent="0.2">
      <c r="A23" s="131">
        <f t="shared" si="2"/>
        <v>17</v>
      </c>
      <c r="B23" s="184"/>
      <c r="C23" s="213" t="s">
        <v>214</v>
      </c>
      <c r="D23" s="214" t="s">
        <v>217</v>
      </c>
      <c r="E23" s="176" t="s">
        <v>349</v>
      </c>
      <c r="F23" s="182"/>
      <c r="G23" s="386">
        <f>397.4+13.3</f>
        <v>410.7</v>
      </c>
      <c r="H23" s="825">
        <f>výdavky!F331</f>
        <v>500</v>
      </c>
      <c r="I23" s="231">
        <f>výdavky!G331</f>
        <v>1000</v>
      </c>
      <c r="J23" s="231">
        <f>výdavky!H331</f>
        <v>1000</v>
      </c>
      <c r="K23" s="231">
        <f>výdavky!I331</f>
        <v>500</v>
      </c>
      <c r="L23" s="279">
        <f>výdavky!J331</f>
        <v>1000</v>
      </c>
      <c r="M23" s="231">
        <f>výdavky!K331</f>
        <v>1500</v>
      </c>
      <c r="N23" s="231">
        <f>výdavky!L331</f>
        <v>2000</v>
      </c>
    </row>
    <row r="24" spans="1:14" x14ac:dyDescent="0.2">
      <c r="A24" s="131">
        <f t="shared" si="2"/>
        <v>18</v>
      </c>
      <c r="B24" s="184"/>
      <c r="C24" s="213" t="s">
        <v>214</v>
      </c>
      <c r="D24" s="214" t="s">
        <v>228</v>
      </c>
      <c r="E24" s="176" t="s">
        <v>350</v>
      </c>
      <c r="F24" s="182"/>
      <c r="G24" s="386"/>
      <c r="H24" s="825">
        <f>výdavky!F327</f>
        <v>0</v>
      </c>
      <c r="I24" s="231">
        <f>výdavky!G327</f>
        <v>0</v>
      </c>
      <c r="J24" s="231">
        <f>výdavky!H332</f>
        <v>0</v>
      </c>
      <c r="K24" s="231">
        <f>výdavky!I327</f>
        <v>1700</v>
      </c>
      <c r="L24" s="279">
        <f>výdavky!J332</f>
        <v>0</v>
      </c>
      <c r="M24" s="231">
        <f>výdavky!K332</f>
        <v>0</v>
      </c>
      <c r="N24" s="231">
        <f>výdavky!L332</f>
        <v>0</v>
      </c>
    </row>
    <row r="25" spans="1:14" x14ac:dyDescent="0.2">
      <c r="A25" s="131">
        <f t="shared" si="2"/>
        <v>19</v>
      </c>
      <c r="B25" s="184"/>
      <c r="C25" s="213"/>
      <c r="D25" s="605" t="s">
        <v>183</v>
      </c>
      <c r="E25" s="606"/>
      <c r="F25" s="610"/>
      <c r="G25" s="632" t="e">
        <f t="shared" ref="G25:N25" si="5">G26</f>
        <v>#REF!</v>
      </c>
      <c r="H25" s="829">
        <f>H26</f>
        <v>0</v>
      </c>
      <c r="I25" s="633">
        <f t="shared" si="5"/>
        <v>0</v>
      </c>
      <c r="J25" s="633">
        <f>J26</f>
        <v>0</v>
      </c>
      <c r="K25" s="633">
        <f t="shared" si="5"/>
        <v>4996</v>
      </c>
      <c r="L25" s="634">
        <f t="shared" si="5"/>
        <v>0</v>
      </c>
      <c r="M25" s="633">
        <f t="shared" si="5"/>
        <v>0</v>
      </c>
      <c r="N25" s="633">
        <f t="shared" si="5"/>
        <v>0</v>
      </c>
    </row>
    <row r="26" spans="1:14" x14ac:dyDescent="0.2">
      <c r="A26" s="131">
        <f t="shared" si="2"/>
        <v>20</v>
      </c>
      <c r="B26" s="184"/>
      <c r="C26" s="235" t="s">
        <v>342</v>
      </c>
      <c r="D26" s="159" t="s">
        <v>343</v>
      </c>
      <c r="E26" s="160"/>
      <c r="F26" s="161"/>
      <c r="G26" s="194" t="e">
        <f>SUM(#REF!)</f>
        <v>#REF!</v>
      </c>
      <c r="H26" s="278">
        <f>H27</f>
        <v>0</v>
      </c>
      <c r="I26" s="163">
        <f>SUM(I27:I27)</f>
        <v>0</v>
      </c>
      <c r="J26" s="163">
        <f>J27</f>
        <v>0</v>
      </c>
      <c r="K26" s="163">
        <f>SUM(K27:K27)</f>
        <v>4996</v>
      </c>
      <c r="L26" s="387">
        <f>SUM(L27:L27)</f>
        <v>0</v>
      </c>
      <c r="M26" s="163">
        <f>SUM(M27:M27)</f>
        <v>0</v>
      </c>
      <c r="N26" s="163">
        <f>SUM(N27:N27)</f>
        <v>0</v>
      </c>
    </row>
    <row r="27" spans="1:14" x14ac:dyDescent="0.2">
      <c r="A27" s="131">
        <f t="shared" si="2"/>
        <v>21</v>
      </c>
      <c r="B27" s="184"/>
      <c r="C27" s="213" t="s">
        <v>291</v>
      </c>
      <c r="D27" s="214" t="s">
        <v>230</v>
      </c>
      <c r="E27" s="172" t="s">
        <v>949</v>
      </c>
      <c r="F27" s="382"/>
      <c r="G27" s="203"/>
      <c r="H27" s="415">
        <f>výdavky!F736</f>
        <v>0</v>
      </c>
      <c r="I27" s="175">
        <f>výdavky!G736</f>
        <v>0</v>
      </c>
      <c r="J27" s="175">
        <f>výdavky!H736</f>
        <v>0</v>
      </c>
      <c r="K27" s="175">
        <f>výdavky!I736+výdavky!I738</f>
        <v>4996</v>
      </c>
      <c r="L27" s="279">
        <f>výdavky!J736</f>
        <v>0</v>
      </c>
      <c r="M27" s="175">
        <f>výdavky!K736</f>
        <v>0</v>
      </c>
      <c r="N27" s="175">
        <f>výdavky!L736</f>
        <v>0</v>
      </c>
    </row>
    <row r="28" spans="1:14" x14ac:dyDescent="0.2">
      <c r="A28" s="131">
        <v>22</v>
      </c>
      <c r="B28" s="136">
        <v>3</v>
      </c>
      <c r="C28" s="237" t="s">
        <v>351</v>
      </c>
      <c r="D28" s="138"/>
      <c r="E28" s="138"/>
      <c r="F28" s="139"/>
      <c r="G28" s="140">
        <f>G31+G67</f>
        <v>663.9</v>
      </c>
      <c r="H28" s="408">
        <f>H29+H43+H47+H51</f>
        <v>56250</v>
      </c>
      <c r="I28" s="142">
        <f>SUM(I29,I43,I47)+I51</f>
        <v>63820</v>
      </c>
      <c r="J28" s="142">
        <f>J29+J43+J47+J51</f>
        <v>54250</v>
      </c>
      <c r="K28" s="142">
        <f>SUM(K29,K43,K47)+K51</f>
        <v>53821</v>
      </c>
      <c r="L28" s="271">
        <f>SUM(L29,L43,L47)+L51</f>
        <v>56250</v>
      </c>
      <c r="M28" s="142">
        <f>SUM(M29,M43,M47)+M51</f>
        <v>56750</v>
      </c>
      <c r="N28" s="142">
        <f>SUM(N29,N43,N47)+N51</f>
        <v>56750</v>
      </c>
    </row>
    <row r="29" spans="1:14" x14ac:dyDescent="0.2">
      <c r="A29" s="131">
        <f t="shared" ref="A29:A36" si="6">A28+1</f>
        <v>23</v>
      </c>
      <c r="B29" s="184"/>
      <c r="C29" s="144" t="s">
        <v>186</v>
      </c>
      <c r="D29" s="145" t="s">
        <v>352</v>
      </c>
      <c r="E29" s="146"/>
      <c r="F29" s="147"/>
      <c r="G29" s="148">
        <f>F85</f>
        <v>0</v>
      </c>
      <c r="H29" s="817">
        <f>H30+H41</f>
        <v>44600</v>
      </c>
      <c r="I29" s="149">
        <f>SUM(I30+I41)</f>
        <v>48900</v>
      </c>
      <c r="J29" s="149">
        <f>J30+J41</f>
        <v>42600</v>
      </c>
      <c r="K29" s="149">
        <f>SUM(K30+K41)</f>
        <v>41500</v>
      </c>
      <c r="L29" s="388">
        <f>SUM(L30+L41)</f>
        <v>43600</v>
      </c>
      <c r="M29" s="149">
        <f>SUM(M30+M41)</f>
        <v>44100</v>
      </c>
      <c r="N29" s="149">
        <f>SUM(N30+N41)</f>
        <v>44100</v>
      </c>
    </row>
    <row r="30" spans="1:14" x14ac:dyDescent="0.2">
      <c r="A30" s="131">
        <f t="shared" si="6"/>
        <v>24</v>
      </c>
      <c r="B30" s="151"/>
      <c r="C30" s="152"/>
      <c r="D30" s="134" t="s">
        <v>181</v>
      </c>
      <c r="E30" s="153"/>
      <c r="F30" s="154"/>
      <c r="G30" s="155">
        <f>G31+G67</f>
        <v>663.9</v>
      </c>
      <c r="H30" s="410">
        <f t="shared" ref="H30:N30" si="7">H31</f>
        <v>44600</v>
      </c>
      <c r="I30" s="156">
        <f t="shared" si="7"/>
        <v>48900</v>
      </c>
      <c r="J30" s="156">
        <f t="shared" si="7"/>
        <v>42600</v>
      </c>
      <c r="K30" s="156">
        <f t="shared" si="7"/>
        <v>41500</v>
      </c>
      <c r="L30" s="273">
        <f t="shared" si="7"/>
        <v>43600</v>
      </c>
      <c r="M30" s="156">
        <f t="shared" si="7"/>
        <v>44100</v>
      </c>
      <c r="N30" s="156">
        <f t="shared" si="7"/>
        <v>44100</v>
      </c>
    </row>
    <row r="31" spans="1:14" x14ac:dyDescent="0.2">
      <c r="A31" s="131">
        <f t="shared" si="6"/>
        <v>25</v>
      </c>
      <c r="B31" s="184"/>
      <c r="C31" s="235" t="s">
        <v>353</v>
      </c>
      <c r="D31" s="159" t="s">
        <v>352</v>
      </c>
      <c r="E31" s="160"/>
      <c r="F31" s="161"/>
      <c r="G31" s="194">
        <f>SUM(G32:G42)</f>
        <v>663.9</v>
      </c>
      <c r="H31" s="278">
        <f t="shared" ref="H31:N31" si="8">SUM(H32:H40)</f>
        <v>44600</v>
      </c>
      <c r="I31" s="163">
        <f t="shared" si="8"/>
        <v>48900</v>
      </c>
      <c r="J31" s="163">
        <f>SUM(J32:J40)</f>
        <v>42600</v>
      </c>
      <c r="K31" s="163">
        <f t="shared" si="8"/>
        <v>41500</v>
      </c>
      <c r="L31" s="163">
        <f t="shared" si="8"/>
        <v>43600</v>
      </c>
      <c r="M31" s="163">
        <f t="shared" si="8"/>
        <v>44100</v>
      </c>
      <c r="N31" s="163">
        <f t="shared" si="8"/>
        <v>44100</v>
      </c>
    </row>
    <row r="32" spans="1:14" x14ac:dyDescent="0.2">
      <c r="A32" s="131">
        <f t="shared" si="6"/>
        <v>26</v>
      </c>
      <c r="B32" s="389"/>
      <c r="C32" s="195" t="s">
        <v>190</v>
      </c>
      <c r="D32" s="209" t="s">
        <v>215</v>
      </c>
      <c r="E32" s="236" t="s">
        <v>354</v>
      </c>
      <c r="F32" s="210"/>
      <c r="G32" s="216">
        <f>ROUND(M32/30.126,1)</f>
        <v>663.9</v>
      </c>
      <c r="H32" s="577">
        <f>výdavky!F335</f>
        <v>22000</v>
      </c>
      <c r="I32" s="170">
        <f>výdavky!G335</f>
        <v>18500</v>
      </c>
      <c r="J32" s="170">
        <f>výdavky!H335</f>
        <v>20000</v>
      </c>
      <c r="K32" s="170">
        <f>výdavky!I335</f>
        <v>19300</v>
      </c>
      <c r="L32" s="298">
        <f>výdavky!J335</f>
        <v>20000</v>
      </c>
      <c r="M32" s="170">
        <f>výdavky!K335</f>
        <v>20000</v>
      </c>
      <c r="N32" s="170">
        <f>výdavky!L335</f>
        <v>20000</v>
      </c>
    </row>
    <row r="33" spans="1:14" x14ac:dyDescent="0.2">
      <c r="A33" s="131">
        <f t="shared" si="6"/>
        <v>27</v>
      </c>
      <c r="B33" s="389"/>
      <c r="C33" s="195" t="s">
        <v>192</v>
      </c>
      <c r="D33" s="214" t="s">
        <v>217</v>
      </c>
      <c r="E33" s="172" t="s">
        <v>193</v>
      </c>
      <c r="F33" s="182"/>
      <c r="G33" s="183"/>
      <c r="H33" s="415">
        <f>výdavky!F336</f>
        <v>8000</v>
      </c>
      <c r="I33" s="175">
        <f>výdavky!G336</f>
        <v>7800</v>
      </c>
      <c r="J33" s="175">
        <f>výdavky!H336</f>
        <v>7000</v>
      </c>
      <c r="K33" s="175">
        <f>výdavky!I336</f>
        <v>7000</v>
      </c>
      <c r="L33" s="279">
        <f>výdavky!J336</f>
        <v>7000</v>
      </c>
      <c r="M33" s="175">
        <f>výdavky!K336</f>
        <v>8000</v>
      </c>
      <c r="N33" s="175">
        <f>výdavky!L336</f>
        <v>8000</v>
      </c>
    </row>
    <row r="34" spans="1:14" x14ac:dyDescent="0.2">
      <c r="A34" s="131">
        <f t="shared" si="6"/>
        <v>28</v>
      </c>
      <c r="B34" s="389"/>
      <c r="C34" s="195" t="s">
        <v>196</v>
      </c>
      <c r="D34" s="209" t="s">
        <v>228</v>
      </c>
      <c r="E34" s="236" t="s">
        <v>344</v>
      </c>
      <c r="F34" s="210"/>
      <c r="G34" s="216"/>
      <c r="H34" s="577">
        <f>výdavky!F339</f>
        <v>10000</v>
      </c>
      <c r="I34" s="170">
        <f>výdavky!G339</f>
        <v>18000</v>
      </c>
      <c r="J34" s="170">
        <f>výdavky!H339</f>
        <v>10000</v>
      </c>
      <c r="K34" s="170">
        <f>výdavky!I339</f>
        <v>11000</v>
      </c>
      <c r="L34" s="298">
        <f>výdavky!J339</f>
        <v>11000</v>
      </c>
      <c r="M34" s="170">
        <f>výdavky!K339</f>
        <v>10000</v>
      </c>
      <c r="N34" s="170">
        <f>výdavky!L339</f>
        <v>10000</v>
      </c>
    </row>
    <row r="35" spans="1:14" x14ac:dyDescent="0.2">
      <c r="A35" s="131">
        <f t="shared" si="6"/>
        <v>29</v>
      </c>
      <c r="B35" s="389"/>
      <c r="C35" s="195" t="s">
        <v>198</v>
      </c>
      <c r="D35" s="214" t="s">
        <v>230</v>
      </c>
      <c r="E35" s="172" t="s">
        <v>355</v>
      </c>
      <c r="F35" s="182"/>
      <c r="G35" s="183"/>
      <c r="H35" s="415">
        <f>výdavky!F340+výdavky!F341</f>
        <v>800</v>
      </c>
      <c r="I35" s="175">
        <f>výdavky!G340+výdavky!G338+výdavky!G341</f>
        <v>900</v>
      </c>
      <c r="J35" s="175">
        <f>výdavky!H340+výdavky!H341</f>
        <v>800</v>
      </c>
      <c r="K35" s="175">
        <f>výdavky!I340+výdavky!I341</f>
        <v>500</v>
      </c>
      <c r="L35" s="279">
        <f>výdavky!J340+výdavky!J341</f>
        <v>800</v>
      </c>
      <c r="M35" s="175">
        <f>výdavky!K340+výdavky!K341</f>
        <v>2300</v>
      </c>
      <c r="N35" s="175">
        <f>výdavky!L340+výdavky!L341</f>
        <v>2300</v>
      </c>
    </row>
    <row r="36" spans="1:14" x14ac:dyDescent="0.2">
      <c r="A36" s="131">
        <f t="shared" si="6"/>
        <v>30</v>
      </c>
      <c r="B36" s="389"/>
      <c r="C36" s="195" t="s">
        <v>198</v>
      </c>
      <c r="D36" s="209" t="s">
        <v>232</v>
      </c>
      <c r="E36" s="236" t="s">
        <v>356</v>
      </c>
      <c r="F36" s="210"/>
      <c r="G36" s="216"/>
      <c r="H36" s="577">
        <f>výdavky!F342</f>
        <v>500</v>
      </c>
      <c r="I36" s="170">
        <f>výdavky!G342+výdavky!G343</f>
        <v>500</v>
      </c>
      <c r="J36" s="170">
        <f>výdavky!H342+výdavky!H343+výdavky!H348</f>
        <v>2000</v>
      </c>
      <c r="K36" s="170">
        <f>výdavky!I342+výdavky!I343+výdavky!I344</f>
        <v>1700</v>
      </c>
      <c r="L36" s="298">
        <f>výdavky!J342+výdavky!J343+výdavky!J344</f>
        <v>1500</v>
      </c>
      <c r="M36" s="170">
        <f>výdavky!K342</f>
        <v>500</v>
      </c>
      <c r="N36" s="170">
        <f>výdavky!L342</f>
        <v>500</v>
      </c>
    </row>
    <row r="37" spans="1:14" x14ac:dyDescent="0.2">
      <c r="A37" s="131">
        <v>30</v>
      </c>
      <c r="B37" s="389"/>
      <c r="C37" s="195" t="s">
        <v>200</v>
      </c>
      <c r="D37" s="214" t="s">
        <v>236</v>
      </c>
      <c r="E37" s="172" t="s">
        <v>201</v>
      </c>
      <c r="F37" s="182"/>
      <c r="G37" s="183"/>
      <c r="H37" s="415">
        <f>výdavky!F347+výdavky!F348+výdavky!F338</f>
        <v>1800</v>
      </c>
      <c r="I37" s="175">
        <f>výdavky!G347+výdavky!G348</f>
        <v>1700</v>
      </c>
      <c r="J37" s="175">
        <f>výdavky!H347+výdavky!H344+výdavky!H338</f>
        <v>1300</v>
      </c>
      <c r="K37" s="175">
        <f>výdavky!I347+výdavky!I348+výdavky!I338</f>
        <v>300</v>
      </c>
      <c r="L37" s="279">
        <f>výdavky!J347+výdavky!J348+výdavky!J338</f>
        <v>1800</v>
      </c>
      <c r="M37" s="175">
        <f>výdavky!K347+výdavky!K348+výdavky!K338</f>
        <v>1800</v>
      </c>
      <c r="N37" s="175">
        <f>výdavky!L347+výdavky!L348+výdavky!L338</f>
        <v>1800</v>
      </c>
    </row>
    <row r="38" spans="1:14" x14ac:dyDescent="0.2">
      <c r="A38" s="131">
        <f t="shared" ref="A38:A46" si="9">A37+1</f>
        <v>31</v>
      </c>
      <c r="B38" s="389"/>
      <c r="C38" s="195" t="s">
        <v>202</v>
      </c>
      <c r="D38" s="209" t="s">
        <v>238</v>
      </c>
      <c r="E38" s="236" t="s">
        <v>278</v>
      </c>
      <c r="F38" s="210"/>
      <c r="G38" s="216"/>
      <c r="H38" s="577">
        <f>výdavky!F349</f>
        <v>1000</v>
      </c>
      <c r="I38" s="170">
        <f>výdavky!G349</f>
        <v>1000</v>
      </c>
      <c r="J38" s="170">
        <f>výdavky!H349</f>
        <v>1000</v>
      </c>
      <c r="K38" s="170">
        <f>výdavky!I349</f>
        <v>1000</v>
      </c>
      <c r="L38" s="298">
        <f>výdavky!J349</f>
        <v>1000</v>
      </c>
      <c r="M38" s="170">
        <f>výdavky!K349</f>
        <v>1000</v>
      </c>
      <c r="N38" s="170">
        <f>výdavky!L349</f>
        <v>1000</v>
      </c>
    </row>
    <row r="39" spans="1:14" x14ac:dyDescent="0.2">
      <c r="A39" s="131">
        <f t="shared" si="9"/>
        <v>32</v>
      </c>
      <c r="B39" s="389"/>
      <c r="C39" s="195" t="s">
        <v>206</v>
      </c>
      <c r="D39" s="214" t="s">
        <v>266</v>
      </c>
      <c r="E39" s="172" t="s">
        <v>207</v>
      </c>
      <c r="F39" s="182"/>
      <c r="G39" s="183"/>
      <c r="H39" s="415">
        <f>výdavky!F352</f>
        <v>500</v>
      </c>
      <c r="I39" s="175">
        <f>výdavky!G352+výdavky!G351</f>
        <v>500</v>
      </c>
      <c r="J39" s="175">
        <f>výdavky!H351+výdavky!H352</f>
        <v>500</v>
      </c>
      <c r="K39" s="175">
        <f>výdavky!I352+výdavky!I351</f>
        <v>700</v>
      </c>
      <c r="L39" s="279">
        <f>výdavky!J352+výdavky!J351</f>
        <v>500</v>
      </c>
      <c r="M39" s="175">
        <f>výdavky!K352+výdavky!K351</f>
        <v>500</v>
      </c>
      <c r="N39" s="175">
        <f>výdavky!L352+výdavky!L351</f>
        <v>500</v>
      </c>
    </row>
    <row r="40" spans="1:14" x14ac:dyDescent="0.2">
      <c r="A40" s="131">
        <f t="shared" si="9"/>
        <v>33</v>
      </c>
      <c r="B40" s="389"/>
      <c r="C40" s="195" t="s">
        <v>214</v>
      </c>
      <c r="D40" s="214" t="s">
        <v>268</v>
      </c>
      <c r="E40" s="172" t="s">
        <v>950</v>
      </c>
      <c r="F40" s="182"/>
      <c r="G40" s="183"/>
      <c r="H40" s="415"/>
      <c r="I40" s="175">
        <v>0</v>
      </c>
      <c r="J40" s="175">
        <v>0</v>
      </c>
      <c r="K40" s="175">
        <v>0</v>
      </c>
      <c r="L40" s="279">
        <v>0</v>
      </c>
      <c r="M40" s="175">
        <v>0</v>
      </c>
      <c r="N40" s="175">
        <v>0</v>
      </c>
    </row>
    <row r="41" spans="1:14" x14ac:dyDescent="0.2">
      <c r="A41" s="131">
        <f t="shared" si="9"/>
        <v>34</v>
      </c>
      <c r="B41" s="189"/>
      <c r="C41" s="213"/>
      <c r="D41" s="605" t="s">
        <v>183</v>
      </c>
      <c r="E41" s="606"/>
      <c r="F41" s="610"/>
      <c r="G41" s="632">
        <f t="shared" ref="G41:N41" si="10">G42</f>
        <v>0</v>
      </c>
      <c r="H41" s="829">
        <f>H42</f>
        <v>0</v>
      </c>
      <c r="I41" s="633">
        <f t="shared" si="10"/>
        <v>0</v>
      </c>
      <c r="J41" s="633">
        <f>J42</f>
        <v>0</v>
      </c>
      <c r="K41" s="633">
        <f t="shared" si="10"/>
        <v>0</v>
      </c>
      <c r="L41" s="634">
        <f t="shared" si="10"/>
        <v>0</v>
      </c>
      <c r="M41" s="633">
        <f t="shared" si="10"/>
        <v>0</v>
      </c>
      <c r="N41" s="633">
        <f t="shared" si="10"/>
        <v>0</v>
      </c>
    </row>
    <row r="42" spans="1:14" x14ac:dyDescent="0.2">
      <c r="A42" s="131">
        <f t="shared" si="9"/>
        <v>35</v>
      </c>
      <c r="B42" s="184"/>
      <c r="C42" s="215" t="s">
        <v>291</v>
      </c>
      <c r="D42" s="214" t="s">
        <v>270</v>
      </c>
      <c r="E42" s="299" t="s">
        <v>702</v>
      </c>
      <c r="F42" s="182"/>
      <c r="G42" s="183">
        <f>ROUND(M42/30.126,1)</f>
        <v>0</v>
      </c>
      <c r="H42" s="415">
        <f>výdavky!E740</f>
        <v>0</v>
      </c>
      <c r="I42" s="175">
        <f>výdavky!G742</f>
        <v>0</v>
      </c>
      <c r="J42" s="175">
        <f>výdavky!H742</f>
        <v>0</v>
      </c>
      <c r="K42" s="175">
        <f>výdavky!I742</f>
        <v>0</v>
      </c>
      <c r="L42" s="279">
        <f>výdavky!J740</f>
        <v>0</v>
      </c>
      <c r="M42" s="175">
        <f>výdavky!K740</f>
        <v>0</v>
      </c>
      <c r="N42" s="175">
        <f>výdavky!L740</f>
        <v>0</v>
      </c>
    </row>
    <row r="43" spans="1:14" x14ac:dyDescent="0.2">
      <c r="A43" s="131">
        <f t="shared" si="9"/>
        <v>36</v>
      </c>
      <c r="B43" s="184"/>
      <c r="C43" s="144" t="s">
        <v>209</v>
      </c>
      <c r="D43" s="145" t="s">
        <v>357</v>
      </c>
      <c r="E43" s="146"/>
      <c r="F43" s="147"/>
      <c r="G43" s="148">
        <f>F97</f>
        <v>0</v>
      </c>
      <c r="H43" s="817">
        <f>H44</f>
        <v>650</v>
      </c>
      <c r="I43" s="149">
        <f t="shared" ref="I43:N45" si="11">I44</f>
        <v>1470</v>
      </c>
      <c r="J43" s="149">
        <f>J44</f>
        <v>650</v>
      </c>
      <c r="K43" s="149">
        <f t="shared" si="11"/>
        <v>1521</v>
      </c>
      <c r="L43" s="388">
        <f t="shared" si="11"/>
        <v>1650</v>
      </c>
      <c r="M43" s="149">
        <f t="shared" si="11"/>
        <v>1650</v>
      </c>
      <c r="N43" s="149">
        <f t="shared" si="11"/>
        <v>1650</v>
      </c>
    </row>
    <row r="44" spans="1:14" x14ac:dyDescent="0.2">
      <c r="A44" s="131">
        <f t="shared" si="9"/>
        <v>37</v>
      </c>
      <c r="B44" s="151"/>
      <c r="C44" s="152"/>
      <c r="D44" s="134" t="s">
        <v>181</v>
      </c>
      <c r="E44" s="153"/>
      <c r="F44" s="154"/>
      <c r="G44" s="155">
        <f>G45+G73</f>
        <v>3171.3999999999996</v>
      </c>
      <c r="H44" s="410">
        <f>H45</f>
        <v>650</v>
      </c>
      <c r="I44" s="156">
        <f t="shared" si="11"/>
        <v>1470</v>
      </c>
      <c r="J44" s="156">
        <f>J45</f>
        <v>650</v>
      </c>
      <c r="K44" s="156">
        <f t="shared" si="11"/>
        <v>1521</v>
      </c>
      <c r="L44" s="273">
        <f t="shared" si="11"/>
        <v>1650</v>
      </c>
      <c r="M44" s="156">
        <f t="shared" si="11"/>
        <v>1650</v>
      </c>
      <c r="N44" s="156">
        <f t="shared" si="11"/>
        <v>1650</v>
      </c>
    </row>
    <row r="45" spans="1:14" x14ac:dyDescent="0.2">
      <c r="A45" s="131">
        <f t="shared" si="9"/>
        <v>38</v>
      </c>
      <c r="B45" s="184"/>
      <c r="C45" s="235" t="s">
        <v>358</v>
      </c>
      <c r="D45" s="159" t="s">
        <v>359</v>
      </c>
      <c r="E45" s="160"/>
      <c r="F45" s="161"/>
      <c r="G45" s="194">
        <f>SUM(G46:G69)</f>
        <v>3104.9999999999995</v>
      </c>
      <c r="H45" s="278">
        <f>H46</f>
        <v>650</v>
      </c>
      <c r="I45" s="163">
        <f t="shared" si="11"/>
        <v>1470</v>
      </c>
      <c r="J45" s="163">
        <f>J46</f>
        <v>650</v>
      </c>
      <c r="K45" s="163">
        <f t="shared" si="11"/>
        <v>1521</v>
      </c>
      <c r="L45" s="387">
        <f t="shared" si="11"/>
        <v>1650</v>
      </c>
      <c r="M45" s="163">
        <f t="shared" si="11"/>
        <v>1650</v>
      </c>
      <c r="N45" s="163">
        <f t="shared" si="11"/>
        <v>1650</v>
      </c>
    </row>
    <row r="46" spans="1:14" x14ac:dyDescent="0.2">
      <c r="A46" s="131">
        <f t="shared" si="9"/>
        <v>39</v>
      </c>
      <c r="B46" s="184"/>
      <c r="C46" s="215" t="s">
        <v>226</v>
      </c>
      <c r="D46" s="214" t="s">
        <v>215</v>
      </c>
      <c r="E46" s="299" t="s">
        <v>361</v>
      </c>
      <c r="F46" s="182"/>
      <c r="G46" s="183"/>
      <c r="H46" s="415">
        <f>výdavky!F359</f>
        <v>650</v>
      </c>
      <c r="I46" s="175">
        <f>výdavky!G359</f>
        <v>1470</v>
      </c>
      <c r="J46" s="175">
        <f>výdavky!H359</f>
        <v>650</v>
      </c>
      <c r="K46" s="175">
        <f>výdavky!I359</f>
        <v>1521</v>
      </c>
      <c r="L46" s="279">
        <f>výdavky!J359</f>
        <v>1650</v>
      </c>
      <c r="M46" s="175">
        <f>výdavky!K359</f>
        <v>1650</v>
      </c>
      <c r="N46" s="175">
        <f>výdavky!L359</f>
        <v>1650</v>
      </c>
    </row>
    <row r="47" spans="1:14" x14ac:dyDescent="0.2">
      <c r="A47" s="131">
        <v>40</v>
      </c>
      <c r="B47" s="184"/>
      <c r="C47" s="390" t="s">
        <v>362</v>
      </c>
      <c r="D47" s="2036" t="s">
        <v>363</v>
      </c>
      <c r="E47" s="2036"/>
      <c r="F47" s="391"/>
      <c r="G47" s="392"/>
      <c r="H47" s="830">
        <f>H48</f>
        <v>1000</v>
      </c>
      <c r="I47" s="149">
        <f t="shared" ref="I47:N49" si="12">SUM(I48)</f>
        <v>1100</v>
      </c>
      <c r="J47" s="149">
        <f>J48</f>
        <v>1000</v>
      </c>
      <c r="K47" s="149">
        <f t="shared" si="12"/>
        <v>800</v>
      </c>
      <c r="L47" s="388">
        <f t="shared" si="12"/>
        <v>1000</v>
      </c>
      <c r="M47" s="149">
        <f t="shared" si="12"/>
        <v>1000</v>
      </c>
      <c r="N47" s="149">
        <f t="shared" si="12"/>
        <v>1000</v>
      </c>
    </row>
    <row r="48" spans="1:14" x14ac:dyDescent="0.2">
      <c r="A48" s="131">
        <v>41</v>
      </c>
      <c r="B48" s="184"/>
      <c r="C48" s="213"/>
      <c r="D48" s="2031" t="s">
        <v>181</v>
      </c>
      <c r="E48" s="2031"/>
      <c r="F48" s="314"/>
      <c r="G48" s="315"/>
      <c r="H48" s="419">
        <f>H49</f>
        <v>1000</v>
      </c>
      <c r="I48" s="393">
        <f t="shared" si="12"/>
        <v>1100</v>
      </c>
      <c r="J48" s="393">
        <f>J49</f>
        <v>1000</v>
      </c>
      <c r="K48" s="393">
        <f t="shared" si="12"/>
        <v>800</v>
      </c>
      <c r="L48" s="394">
        <f t="shared" si="12"/>
        <v>1000</v>
      </c>
      <c r="M48" s="393">
        <f t="shared" si="12"/>
        <v>1000</v>
      </c>
      <c r="N48" s="393">
        <f t="shared" si="12"/>
        <v>1000</v>
      </c>
    </row>
    <row r="49" spans="1:14" s="321" customFormat="1" x14ac:dyDescent="0.2">
      <c r="A49" s="131">
        <v>42</v>
      </c>
      <c r="B49" s="395"/>
      <c r="C49" s="343" t="s">
        <v>364</v>
      </c>
      <c r="D49" s="2033" t="s">
        <v>365</v>
      </c>
      <c r="E49" s="2033"/>
      <c r="F49" s="193"/>
      <c r="G49" s="194"/>
      <c r="H49" s="278">
        <f>H50</f>
        <v>1000</v>
      </c>
      <c r="I49" s="163">
        <f t="shared" si="12"/>
        <v>1100</v>
      </c>
      <c r="J49" s="163">
        <f>J50</f>
        <v>1000</v>
      </c>
      <c r="K49" s="163">
        <f t="shared" si="12"/>
        <v>800</v>
      </c>
      <c r="L49" s="387">
        <f t="shared" si="12"/>
        <v>1000</v>
      </c>
      <c r="M49" s="163">
        <f t="shared" si="12"/>
        <v>1000</v>
      </c>
      <c r="N49" s="163">
        <f t="shared" si="12"/>
        <v>1000</v>
      </c>
    </row>
    <row r="50" spans="1:14" x14ac:dyDescent="0.2">
      <c r="A50" s="131">
        <v>43</v>
      </c>
      <c r="B50" s="184"/>
      <c r="C50" s="213" t="s">
        <v>206</v>
      </c>
      <c r="D50" s="396" t="s">
        <v>215</v>
      </c>
      <c r="E50" s="299" t="s">
        <v>367</v>
      </c>
      <c r="F50" s="182"/>
      <c r="G50" s="183"/>
      <c r="H50" s="415">
        <f>výdavky!F370</f>
        <v>1000</v>
      </c>
      <c r="I50" s="175">
        <f>výdavky!G370</f>
        <v>1100</v>
      </c>
      <c r="J50" s="175">
        <f>výdavky!H370</f>
        <v>1000</v>
      </c>
      <c r="K50" s="175">
        <f>výdavky!I370</f>
        <v>800</v>
      </c>
      <c r="L50" s="279">
        <f>výdavky!J370</f>
        <v>1000</v>
      </c>
      <c r="M50" s="175">
        <f>výdavky!K370</f>
        <v>1000</v>
      </c>
      <c r="N50" s="175">
        <f>výdavky!L370</f>
        <v>1000</v>
      </c>
    </row>
    <row r="51" spans="1:14" s="1470" customFormat="1" x14ac:dyDescent="0.2">
      <c r="A51" s="131">
        <v>44</v>
      </c>
      <c r="B51" s="184"/>
      <c r="C51" s="390" t="s">
        <v>951</v>
      </c>
      <c r="D51" s="2036" t="s">
        <v>952</v>
      </c>
      <c r="E51" s="2036"/>
      <c r="F51" s="391"/>
      <c r="G51" s="216"/>
      <c r="H51" s="1472">
        <f t="shared" ref="H51:N52" si="13">H52</f>
        <v>10000</v>
      </c>
      <c r="I51" s="1473">
        <f t="shared" si="13"/>
        <v>12350</v>
      </c>
      <c r="J51" s="1473">
        <f t="shared" si="13"/>
        <v>10000</v>
      </c>
      <c r="K51" s="1473">
        <f t="shared" si="13"/>
        <v>10000</v>
      </c>
      <c r="L51" s="1474">
        <f t="shared" si="13"/>
        <v>10000</v>
      </c>
      <c r="M51" s="1473">
        <f t="shared" si="13"/>
        <v>10000</v>
      </c>
      <c r="N51" s="1473">
        <f t="shared" si="13"/>
        <v>10000</v>
      </c>
    </row>
    <row r="52" spans="1:14" s="1470" customFormat="1" x14ac:dyDescent="0.2">
      <c r="A52" s="131">
        <v>45</v>
      </c>
      <c r="B52" s="184"/>
      <c r="C52" s="213"/>
      <c r="D52" s="2031" t="s">
        <v>181</v>
      </c>
      <c r="E52" s="2031"/>
      <c r="F52" s="314"/>
      <c r="G52" s="216"/>
      <c r="H52" s="1481">
        <f t="shared" si="13"/>
        <v>10000</v>
      </c>
      <c r="I52" s="1482">
        <f t="shared" si="13"/>
        <v>12350</v>
      </c>
      <c r="J52" s="1482">
        <f t="shared" si="13"/>
        <v>10000</v>
      </c>
      <c r="K52" s="1482">
        <f t="shared" si="13"/>
        <v>10000</v>
      </c>
      <c r="L52" s="1483">
        <f t="shared" si="13"/>
        <v>10000</v>
      </c>
      <c r="M52" s="1482">
        <f t="shared" si="13"/>
        <v>10000</v>
      </c>
      <c r="N52" s="1482">
        <f t="shared" si="13"/>
        <v>10000</v>
      </c>
    </row>
    <row r="53" spans="1:14" s="1470" customFormat="1" x14ac:dyDescent="0.2">
      <c r="A53" s="131">
        <v>46</v>
      </c>
      <c r="B53" s="184"/>
      <c r="C53" s="343" t="s">
        <v>953</v>
      </c>
      <c r="D53" s="2032" t="s">
        <v>952</v>
      </c>
      <c r="E53" s="2033"/>
      <c r="F53" s="193"/>
      <c r="G53" s="216"/>
      <c r="H53" s="1475">
        <f t="shared" ref="H53:N53" si="14">H54+H55</f>
        <v>10000</v>
      </c>
      <c r="I53" s="1476">
        <f t="shared" si="14"/>
        <v>12350</v>
      </c>
      <c r="J53" s="1476">
        <f t="shared" si="14"/>
        <v>10000</v>
      </c>
      <c r="K53" s="1476">
        <f t="shared" si="14"/>
        <v>10000</v>
      </c>
      <c r="L53" s="1477">
        <f t="shared" si="14"/>
        <v>10000</v>
      </c>
      <c r="M53" s="1476">
        <f t="shared" si="14"/>
        <v>10000</v>
      </c>
      <c r="N53" s="1476">
        <f t="shared" si="14"/>
        <v>10000</v>
      </c>
    </row>
    <row r="54" spans="1:14" s="1470" customFormat="1" x14ac:dyDescent="0.2">
      <c r="A54" s="131">
        <v>47</v>
      </c>
      <c r="B54" s="184"/>
      <c r="C54" s="213" t="s">
        <v>202</v>
      </c>
      <c r="D54" s="1487" t="s">
        <v>215</v>
      </c>
      <c r="E54" s="2034" t="s">
        <v>293</v>
      </c>
      <c r="F54" s="2035"/>
      <c r="G54" s="1478"/>
      <c r="H54" s="1479">
        <f>výdavky!F373</f>
        <v>0</v>
      </c>
      <c r="I54" s="1480">
        <f>výdavky!G373</f>
        <v>2350</v>
      </c>
      <c r="J54" s="1480">
        <f>výdavky!H373</f>
        <v>0</v>
      </c>
      <c r="K54" s="1480">
        <f>výdavky!I373</f>
        <v>0</v>
      </c>
      <c r="L54" s="1468">
        <f>výdavky!J373</f>
        <v>0</v>
      </c>
      <c r="M54" s="1480">
        <f>výdavky!K373</f>
        <v>0</v>
      </c>
      <c r="N54" s="1480">
        <f>výdavky!L373</f>
        <v>0</v>
      </c>
    </row>
    <row r="55" spans="1:14" s="1470" customFormat="1" x14ac:dyDescent="0.2">
      <c r="A55" s="131">
        <v>48</v>
      </c>
      <c r="B55" s="184"/>
      <c r="C55" s="213" t="s">
        <v>206</v>
      </c>
      <c r="D55" s="1486" t="s">
        <v>217</v>
      </c>
      <c r="E55" s="1486" t="s">
        <v>818</v>
      </c>
      <c r="F55" s="1484"/>
      <c r="G55" s="1485"/>
      <c r="H55" s="580">
        <f>výdavky!F374</f>
        <v>10000</v>
      </c>
      <c r="I55" s="575">
        <f>výdavky!G374</f>
        <v>10000</v>
      </c>
      <c r="J55" s="575">
        <f>výdavky!H374</f>
        <v>10000</v>
      </c>
      <c r="K55" s="575">
        <f>výdavky!I374</f>
        <v>10000</v>
      </c>
      <c r="L55" s="576">
        <f>výdavky!J374</f>
        <v>10000</v>
      </c>
      <c r="M55" s="575">
        <f>výdavky!K374</f>
        <v>10000</v>
      </c>
      <c r="N55" s="575">
        <f>výdavky!L374</f>
        <v>10000</v>
      </c>
    </row>
    <row r="56" spans="1:14" x14ac:dyDescent="0.2">
      <c r="A56" s="131">
        <v>49</v>
      </c>
      <c r="B56" s="136">
        <v>4</v>
      </c>
      <c r="C56" s="237" t="s">
        <v>368</v>
      </c>
      <c r="D56" s="138"/>
      <c r="E56" s="138"/>
      <c r="F56" s="139"/>
      <c r="G56" s="140">
        <f>SUM(G58)</f>
        <v>775.8</v>
      </c>
      <c r="H56" s="408">
        <f>H57+H62</f>
        <v>4500</v>
      </c>
      <c r="I56" s="142">
        <f>SUM(I57+I62)</f>
        <v>4500</v>
      </c>
      <c r="J56" s="142">
        <f>J57+J62</f>
        <v>4500</v>
      </c>
      <c r="K56" s="142">
        <f>SUM(K57+K62)</f>
        <v>13780</v>
      </c>
      <c r="L56" s="271">
        <f>SUM(L57+L62)</f>
        <v>10500</v>
      </c>
      <c r="M56" s="142">
        <f>SUM(M57+M62)</f>
        <v>11500</v>
      </c>
      <c r="N56" s="142">
        <f>SUM(N57+N62)</f>
        <v>12000</v>
      </c>
    </row>
    <row r="57" spans="1:14" x14ac:dyDescent="0.2">
      <c r="A57" s="131">
        <f>A56+1</f>
        <v>50</v>
      </c>
      <c r="B57" s="151"/>
      <c r="C57" s="152"/>
      <c r="D57" s="134" t="s">
        <v>181</v>
      </c>
      <c r="E57" s="153"/>
      <c r="F57" s="154"/>
      <c r="G57" s="155">
        <f t="shared" ref="G57:N57" si="15">G58</f>
        <v>775.8</v>
      </c>
      <c r="H57" s="410">
        <f>H58</f>
        <v>4500</v>
      </c>
      <c r="I57" s="156">
        <f t="shared" si="15"/>
        <v>4500</v>
      </c>
      <c r="J57" s="156">
        <f>J58</f>
        <v>4500</v>
      </c>
      <c r="K57" s="156">
        <f t="shared" si="15"/>
        <v>13780</v>
      </c>
      <c r="L57" s="273">
        <f t="shared" si="15"/>
        <v>10500</v>
      </c>
      <c r="M57" s="156">
        <f t="shared" si="15"/>
        <v>11500</v>
      </c>
      <c r="N57" s="156">
        <f t="shared" si="15"/>
        <v>12000</v>
      </c>
    </row>
    <row r="58" spans="1:14" x14ac:dyDescent="0.2">
      <c r="A58" s="131">
        <f>A57+1</f>
        <v>51</v>
      </c>
      <c r="B58" s="184"/>
      <c r="C58" s="296" t="s">
        <v>353</v>
      </c>
      <c r="D58" s="159" t="s">
        <v>352</v>
      </c>
      <c r="E58" s="160"/>
      <c r="F58" s="161"/>
      <c r="G58" s="194">
        <f t="shared" ref="G58:N58" si="16">SUM(G59:G61)</f>
        <v>775.8</v>
      </c>
      <c r="H58" s="278">
        <f>SUM(H59:H61)</f>
        <v>4500</v>
      </c>
      <c r="I58" s="163">
        <f t="shared" si="16"/>
        <v>4500</v>
      </c>
      <c r="J58" s="163">
        <f>SUM(J59:J61)</f>
        <v>4500</v>
      </c>
      <c r="K58" s="163">
        <f t="shared" si="16"/>
        <v>13780</v>
      </c>
      <c r="L58" s="163">
        <f t="shared" si="16"/>
        <v>10500</v>
      </c>
      <c r="M58" s="163">
        <f t="shared" si="16"/>
        <v>11500</v>
      </c>
      <c r="N58" s="163">
        <f t="shared" si="16"/>
        <v>12000</v>
      </c>
    </row>
    <row r="59" spans="1:14" x14ac:dyDescent="0.2">
      <c r="A59" s="131">
        <f>A58+1</f>
        <v>52</v>
      </c>
      <c r="B59" s="184"/>
      <c r="C59" s="215" t="s">
        <v>369</v>
      </c>
      <c r="D59" s="214" t="s">
        <v>215</v>
      </c>
      <c r="E59" s="176" t="s">
        <v>370</v>
      </c>
      <c r="F59" s="182"/>
      <c r="G59" s="386">
        <f>ROUND(M59/30.126,1)</f>
        <v>33.200000000000003</v>
      </c>
      <c r="H59" s="825">
        <f>výdavky!F345+výdavky!F344+výdavky!F351</f>
        <v>1000</v>
      </c>
      <c r="I59" s="231">
        <f>výdavky!G345+výdavky!G344</f>
        <v>1000</v>
      </c>
      <c r="J59" s="231">
        <f>výdavky!H344+výdavky!H345</f>
        <v>1000</v>
      </c>
      <c r="K59" s="231">
        <f>výdavky!I345</f>
        <v>280</v>
      </c>
      <c r="L59" s="279">
        <f>výdavky!J345</f>
        <v>0</v>
      </c>
      <c r="M59" s="231">
        <f>výdavky!K345+výdavky!K344</f>
        <v>1000</v>
      </c>
      <c r="N59" s="231">
        <f>výdavky!L345+výdavky!L344</f>
        <v>1000</v>
      </c>
    </row>
    <row r="60" spans="1:14" x14ac:dyDescent="0.2">
      <c r="A60" s="131">
        <f>A59+1</f>
        <v>53</v>
      </c>
      <c r="B60" s="184"/>
      <c r="C60" s="215" t="s">
        <v>369</v>
      </c>
      <c r="D60" s="214" t="s">
        <v>217</v>
      </c>
      <c r="E60" s="176" t="s">
        <v>371</v>
      </c>
      <c r="F60" s="182"/>
      <c r="G60" s="386">
        <f>ROUND(M60/30.126,1)</f>
        <v>331.9</v>
      </c>
      <c r="H60" s="825">
        <f>výdavky!F353</f>
        <v>3000</v>
      </c>
      <c r="I60" s="231">
        <f>výdavky!G353</f>
        <v>3000</v>
      </c>
      <c r="J60" s="231">
        <f>výdavky!H353+výdavky!H355</f>
        <v>3000</v>
      </c>
      <c r="K60" s="231">
        <f>výdavky!I353</f>
        <v>13000</v>
      </c>
      <c r="L60" s="279">
        <f>výdavky!J353</f>
        <v>10000</v>
      </c>
      <c r="M60" s="231">
        <f>+výdavky!K355+výdavky!K353</f>
        <v>10000</v>
      </c>
      <c r="N60" s="231">
        <f>výdavky!L353+výdavky!L355</f>
        <v>10000</v>
      </c>
    </row>
    <row r="61" spans="1:14" x14ac:dyDescent="0.2">
      <c r="A61" s="131">
        <f>A60+1</f>
        <v>54</v>
      </c>
      <c r="B61" s="184"/>
      <c r="C61" s="213" t="s">
        <v>214</v>
      </c>
      <c r="D61" s="214" t="s">
        <v>228</v>
      </c>
      <c r="E61" s="176" t="s">
        <v>571</v>
      </c>
      <c r="F61" s="182"/>
      <c r="G61" s="386">
        <f>397.4+13.3</f>
        <v>410.7</v>
      </c>
      <c r="H61" s="825">
        <f>výdavky!F356</f>
        <v>500</v>
      </c>
      <c r="I61" s="231">
        <f>výdavky!G356</f>
        <v>500</v>
      </c>
      <c r="J61" s="231">
        <f>výdavky!H356</f>
        <v>500</v>
      </c>
      <c r="K61" s="231">
        <f>výdavky!I356</f>
        <v>500</v>
      </c>
      <c r="L61" s="279">
        <f>výdavky!J356</f>
        <v>500</v>
      </c>
      <c r="M61" s="231">
        <f>výdavky!K356</f>
        <v>500</v>
      </c>
      <c r="N61" s="231">
        <f>výdavky!L356</f>
        <v>1000</v>
      </c>
    </row>
    <row r="62" spans="1:14" x14ac:dyDescent="0.2">
      <c r="A62" s="131">
        <v>55</v>
      </c>
      <c r="B62" s="189"/>
      <c r="C62" s="213"/>
      <c r="D62" s="605" t="s">
        <v>183</v>
      </c>
      <c r="E62" s="606"/>
      <c r="F62" s="610"/>
      <c r="G62" s="632">
        <f t="shared" ref="G62:N62" si="17">G63</f>
        <v>0</v>
      </c>
      <c r="H62" s="829">
        <f>H63</f>
        <v>0</v>
      </c>
      <c r="I62" s="633">
        <f t="shared" si="17"/>
        <v>0</v>
      </c>
      <c r="J62" s="633">
        <f>J63</f>
        <v>0</v>
      </c>
      <c r="K62" s="633">
        <f t="shared" si="17"/>
        <v>0</v>
      </c>
      <c r="L62" s="634">
        <f t="shared" si="17"/>
        <v>0</v>
      </c>
      <c r="M62" s="633">
        <f t="shared" si="17"/>
        <v>0</v>
      </c>
      <c r="N62" s="633">
        <f t="shared" si="17"/>
        <v>0</v>
      </c>
    </row>
    <row r="63" spans="1:14" x14ac:dyDescent="0.2">
      <c r="A63" s="131">
        <f>A62+1</f>
        <v>56</v>
      </c>
      <c r="B63" s="184"/>
      <c r="C63" s="296" t="s">
        <v>364</v>
      </c>
      <c r="D63" s="159" t="s">
        <v>365</v>
      </c>
      <c r="E63" s="160"/>
      <c r="F63" s="161"/>
      <c r="G63" s="194">
        <f t="shared" ref="G63:N63" si="18">SUM(G64:G64)</f>
        <v>0</v>
      </c>
      <c r="H63" s="278">
        <f>H64</f>
        <v>0</v>
      </c>
      <c r="I63" s="163">
        <f t="shared" si="18"/>
        <v>0</v>
      </c>
      <c r="J63" s="163">
        <f>J64</f>
        <v>0</v>
      </c>
      <c r="K63" s="163">
        <f t="shared" si="18"/>
        <v>0</v>
      </c>
      <c r="L63" s="387">
        <f t="shared" si="18"/>
        <v>0</v>
      </c>
      <c r="M63" s="163">
        <f t="shared" si="18"/>
        <v>0</v>
      </c>
      <c r="N63" s="163">
        <f t="shared" si="18"/>
        <v>0</v>
      </c>
    </row>
    <row r="64" spans="1:14" x14ac:dyDescent="0.2">
      <c r="A64" s="131">
        <f>A63+1</f>
        <v>57</v>
      </c>
      <c r="B64" s="184"/>
      <c r="C64" s="215" t="s">
        <v>291</v>
      </c>
      <c r="D64" s="214" t="s">
        <v>230</v>
      </c>
      <c r="E64" s="176" t="s">
        <v>948</v>
      </c>
      <c r="F64" s="182"/>
      <c r="G64" s="183"/>
      <c r="H64" s="415">
        <f>výdavky!F741</f>
        <v>0</v>
      </c>
      <c r="I64" s="175">
        <f>výdavky!G741</f>
        <v>0</v>
      </c>
      <c r="J64" s="175">
        <f>výdavky!H741</f>
        <v>0</v>
      </c>
      <c r="K64" s="175">
        <f>výdavky!I741</f>
        <v>0</v>
      </c>
      <c r="L64" s="279">
        <f>výdavky!J741</f>
        <v>0</v>
      </c>
      <c r="M64" s="175">
        <f>výdavky!K741</f>
        <v>0</v>
      </c>
      <c r="N64" s="175">
        <f>výdavky!L741</f>
        <v>0</v>
      </c>
    </row>
    <row r="65" spans="1:14" x14ac:dyDescent="0.2">
      <c r="A65" s="131">
        <v>58</v>
      </c>
      <c r="B65" s="136">
        <v>5</v>
      </c>
      <c r="C65" s="237" t="s">
        <v>372</v>
      </c>
      <c r="D65" s="138"/>
      <c r="E65" s="138"/>
      <c r="F65" s="139"/>
      <c r="G65" s="140">
        <f>SUM(G68)</f>
        <v>0</v>
      </c>
      <c r="H65" s="408">
        <f>H66</f>
        <v>0</v>
      </c>
      <c r="I65" s="142">
        <f>I67</f>
        <v>5250</v>
      </c>
      <c r="J65" s="142">
        <f>J66</f>
        <v>0</v>
      </c>
      <c r="K65" s="142">
        <f>K67</f>
        <v>651</v>
      </c>
      <c r="L65" s="271">
        <f>L67</f>
        <v>0</v>
      </c>
      <c r="M65" s="142">
        <f>M67</f>
        <v>0</v>
      </c>
      <c r="N65" s="142">
        <f>N67</f>
        <v>0</v>
      </c>
    </row>
    <row r="66" spans="1:14" x14ac:dyDescent="0.2">
      <c r="A66" s="131">
        <f t="shared" ref="A66:A74" si="19">A65+1</f>
        <v>59</v>
      </c>
      <c r="B66" s="151"/>
      <c r="C66" s="152"/>
      <c r="D66" s="134" t="s">
        <v>181</v>
      </c>
      <c r="E66" s="153"/>
      <c r="F66" s="154"/>
      <c r="G66" s="155">
        <f t="shared" ref="G66:N66" si="20">G67</f>
        <v>0</v>
      </c>
      <c r="H66" s="410">
        <f>H67</f>
        <v>0</v>
      </c>
      <c r="I66" s="156">
        <f t="shared" si="20"/>
        <v>5250</v>
      </c>
      <c r="J66" s="156">
        <f>J67</f>
        <v>0</v>
      </c>
      <c r="K66" s="156">
        <f t="shared" si="20"/>
        <v>651</v>
      </c>
      <c r="L66" s="273">
        <f t="shared" si="20"/>
        <v>0</v>
      </c>
      <c r="M66" s="156">
        <f t="shared" si="20"/>
        <v>0</v>
      </c>
      <c r="N66" s="156">
        <f t="shared" si="20"/>
        <v>0</v>
      </c>
    </row>
    <row r="67" spans="1:14" ht="12" customHeight="1" x14ac:dyDescent="0.2">
      <c r="A67" s="131">
        <f t="shared" si="19"/>
        <v>60</v>
      </c>
      <c r="B67" s="189"/>
      <c r="C67" s="296" t="s">
        <v>373</v>
      </c>
      <c r="D67" s="159" t="s">
        <v>374</v>
      </c>
      <c r="E67" s="160"/>
      <c r="F67" s="161"/>
      <c r="G67" s="194">
        <f>SUM(G68:G68)</f>
        <v>0</v>
      </c>
      <c r="H67" s="278">
        <f>H68+H69</f>
        <v>0</v>
      </c>
      <c r="I67" s="163">
        <f>SUM(I68:I69)</f>
        <v>5250</v>
      </c>
      <c r="J67" s="163">
        <f>J68+J69</f>
        <v>0</v>
      </c>
      <c r="K67" s="163">
        <f>SUM(K68:K69)</f>
        <v>651</v>
      </c>
      <c r="L67" s="163">
        <f>SUM(L68:L69)</f>
        <v>0</v>
      </c>
      <c r="M67" s="163">
        <f>SUM(M68:M69)</f>
        <v>0</v>
      </c>
      <c r="N67" s="163">
        <f>SUM(N68:N69)</f>
        <v>0</v>
      </c>
    </row>
    <row r="68" spans="1:14" x14ac:dyDescent="0.2">
      <c r="A68" s="131">
        <f t="shared" si="19"/>
        <v>61</v>
      </c>
      <c r="B68" s="189"/>
      <c r="C68" s="215" t="s">
        <v>369</v>
      </c>
      <c r="D68" s="214" t="s">
        <v>215</v>
      </c>
      <c r="E68" s="172" t="s">
        <v>375</v>
      </c>
      <c r="F68" s="202"/>
      <c r="G68" s="183">
        <f>ROUND(M68/30.126,1)</f>
        <v>0</v>
      </c>
      <c r="H68" s="415">
        <v>0</v>
      </c>
      <c r="I68" s="175"/>
      <c r="J68" s="175">
        <v>0</v>
      </c>
      <c r="K68" s="175">
        <v>0</v>
      </c>
      <c r="L68" s="279">
        <v>0</v>
      </c>
      <c r="M68" s="175">
        <v>0</v>
      </c>
      <c r="N68" s="175">
        <v>0</v>
      </c>
    </row>
    <row r="69" spans="1:14" x14ac:dyDescent="0.2">
      <c r="A69" s="131">
        <f t="shared" si="19"/>
        <v>62</v>
      </c>
      <c r="B69" s="184"/>
      <c r="C69" s="215" t="s">
        <v>369</v>
      </c>
      <c r="D69" s="214" t="s">
        <v>217</v>
      </c>
      <c r="E69" s="172" t="s">
        <v>376</v>
      </c>
      <c r="F69" s="202"/>
      <c r="G69" s="183">
        <v>1.8</v>
      </c>
      <c r="H69" s="415">
        <f>výdavky!F378</f>
        <v>0</v>
      </c>
      <c r="I69" s="175">
        <f>výdavky!G378</f>
        <v>5250</v>
      </c>
      <c r="J69" s="175">
        <f>výdavky!H378</f>
        <v>0</v>
      </c>
      <c r="K69" s="175">
        <f>výdavky!I378</f>
        <v>651</v>
      </c>
      <c r="L69" s="279">
        <f>výdavky!J378</f>
        <v>0</v>
      </c>
      <c r="M69" s="175">
        <f>výdavky!K378</f>
        <v>0</v>
      </c>
      <c r="N69" s="175">
        <f>výdavky!L378</f>
        <v>0</v>
      </c>
    </row>
    <row r="70" spans="1:14" s="96" customFormat="1" x14ac:dyDescent="0.2">
      <c r="A70" s="131">
        <f t="shared" si="19"/>
        <v>63</v>
      </c>
      <c r="B70" s="232">
        <v>6</v>
      </c>
      <c r="C70" s="233" t="s">
        <v>377</v>
      </c>
      <c r="D70" s="138"/>
      <c r="E70" s="138"/>
      <c r="F70" s="139"/>
      <c r="G70" s="140">
        <f>G72+F75</f>
        <v>99.600000000000009</v>
      </c>
      <c r="H70" s="408">
        <f>H71</f>
        <v>3000</v>
      </c>
      <c r="I70" s="142">
        <f t="shared" ref="I70:N71" si="21">I71</f>
        <v>4000</v>
      </c>
      <c r="J70" s="142">
        <f>J71</f>
        <v>3000</v>
      </c>
      <c r="K70" s="142">
        <f t="shared" si="21"/>
        <v>9800</v>
      </c>
      <c r="L70" s="271">
        <f t="shared" si="21"/>
        <v>5000</v>
      </c>
      <c r="M70" s="142">
        <f t="shared" si="21"/>
        <v>3000</v>
      </c>
      <c r="N70" s="142">
        <f t="shared" si="21"/>
        <v>3000</v>
      </c>
    </row>
    <row r="71" spans="1:14" x14ac:dyDescent="0.2">
      <c r="A71" s="131">
        <f t="shared" si="19"/>
        <v>64</v>
      </c>
      <c r="B71" s="234"/>
      <c r="C71" s="224"/>
      <c r="D71" s="133" t="s">
        <v>181</v>
      </c>
      <c r="E71" s="153"/>
      <c r="F71" s="154"/>
      <c r="G71" s="155">
        <f>G72+F75</f>
        <v>99.600000000000009</v>
      </c>
      <c r="H71" s="410">
        <f>H72</f>
        <v>3000</v>
      </c>
      <c r="I71" s="156">
        <f t="shared" si="21"/>
        <v>4000</v>
      </c>
      <c r="J71" s="156">
        <f>J72</f>
        <v>3000</v>
      </c>
      <c r="K71" s="156">
        <f t="shared" si="21"/>
        <v>9800</v>
      </c>
      <c r="L71" s="273">
        <f t="shared" si="21"/>
        <v>5000</v>
      </c>
      <c r="M71" s="156">
        <f t="shared" si="21"/>
        <v>3000</v>
      </c>
      <c r="N71" s="156">
        <f t="shared" si="21"/>
        <v>3000</v>
      </c>
    </row>
    <row r="72" spans="1:14" x14ac:dyDescent="0.2">
      <c r="A72" s="131">
        <f t="shared" si="19"/>
        <v>65</v>
      </c>
      <c r="B72" s="157"/>
      <c r="C72" s="296" t="s">
        <v>373</v>
      </c>
      <c r="D72" s="192" t="s">
        <v>374</v>
      </c>
      <c r="E72" s="160"/>
      <c r="F72" s="161"/>
      <c r="G72" s="194">
        <f t="shared" ref="G72:N72" si="22">SUM(G73:G74)</f>
        <v>99.600000000000009</v>
      </c>
      <c r="H72" s="278">
        <f>H73+H74</f>
        <v>3000</v>
      </c>
      <c r="I72" s="163">
        <f t="shared" si="22"/>
        <v>4000</v>
      </c>
      <c r="J72" s="163">
        <f>J73+J74</f>
        <v>3000</v>
      </c>
      <c r="K72" s="163">
        <f t="shared" si="22"/>
        <v>9800</v>
      </c>
      <c r="L72" s="163">
        <f t="shared" si="22"/>
        <v>5000</v>
      </c>
      <c r="M72" s="163">
        <f t="shared" si="22"/>
        <v>3000</v>
      </c>
      <c r="N72" s="163">
        <f t="shared" si="22"/>
        <v>3000</v>
      </c>
    </row>
    <row r="73" spans="1:14" x14ac:dyDescent="0.2">
      <c r="A73" s="131">
        <f t="shared" si="19"/>
        <v>66</v>
      </c>
      <c r="B73" s="157"/>
      <c r="C73" s="215" t="s">
        <v>196</v>
      </c>
      <c r="D73" s="214" t="s">
        <v>215</v>
      </c>
      <c r="E73" s="176" t="s">
        <v>344</v>
      </c>
      <c r="F73" s="182"/>
      <c r="G73" s="183">
        <f>ROUND(M73/30.126,1)</f>
        <v>66.400000000000006</v>
      </c>
      <c r="H73" s="415">
        <f>výdavky!F376</f>
        <v>2000</v>
      </c>
      <c r="I73" s="175">
        <f>výdavky!G376</f>
        <v>3000</v>
      </c>
      <c r="J73" s="175">
        <f>výdavky!H376</f>
        <v>2000</v>
      </c>
      <c r="K73" s="175">
        <f>výdavky!I376</f>
        <v>2500</v>
      </c>
      <c r="L73" s="279">
        <f>výdavky!J376</f>
        <v>2000</v>
      </c>
      <c r="M73" s="175">
        <f>výdavky!K376</f>
        <v>2000</v>
      </c>
      <c r="N73" s="175">
        <f>výdavky!L376</f>
        <v>2000</v>
      </c>
    </row>
    <row r="74" spans="1:14" x14ac:dyDescent="0.2">
      <c r="A74" s="244">
        <f t="shared" si="19"/>
        <v>67</v>
      </c>
      <c r="B74" s="332"/>
      <c r="C74" s="333" t="s">
        <v>202</v>
      </c>
      <c r="D74" s="282" t="s">
        <v>217</v>
      </c>
      <c r="E74" s="334" t="s">
        <v>377</v>
      </c>
      <c r="F74" s="335"/>
      <c r="G74" s="336">
        <f>ROUND(M74/30.126,1)</f>
        <v>33.200000000000003</v>
      </c>
      <c r="H74" s="425">
        <f>výdavky!F377</f>
        <v>1000</v>
      </c>
      <c r="I74" s="287">
        <f>výdavky!G377</f>
        <v>1000</v>
      </c>
      <c r="J74" s="287">
        <f>výdavky!H377</f>
        <v>1000</v>
      </c>
      <c r="K74" s="287">
        <f>výdavky!I377</f>
        <v>7300</v>
      </c>
      <c r="L74" s="286">
        <f>výdavky!J377</f>
        <v>3000</v>
      </c>
      <c r="M74" s="287">
        <f>výdavky!K377</f>
        <v>1000</v>
      </c>
      <c r="N74" s="287">
        <f>výdavky!L377</f>
        <v>1000</v>
      </c>
    </row>
    <row r="75" spans="1:14" x14ac:dyDescent="0.2">
      <c r="A75" s="1"/>
      <c r="B75"/>
      <c r="D75" s="397"/>
      <c r="N75" s="398"/>
    </row>
    <row r="76" spans="1:14" x14ac:dyDescent="0.2">
      <c r="A76" s="1"/>
      <c r="B76"/>
      <c r="N76" s="398"/>
    </row>
    <row r="77" spans="1:14" x14ac:dyDescent="0.2">
      <c r="A77" s="1"/>
      <c r="B77"/>
      <c r="N77" s="398"/>
    </row>
    <row r="78" spans="1:14" x14ac:dyDescent="0.2">
      <c r="A78" s="1"/>
      <c r="B78"/>
      <c r="N78" s="398"/>
    </row>
    <row r="79" spans="1:14" x14ac:dyDescent="0.2">
      <c r="A79" s="1"/>
      <c r="B79"/>
      <c r="N79" s="398"/>
    </row>
    <row r="80" spans="1:14" x14ac:dyDescent="0.2">
      <c r="A80" s="1"/>
      <c r="B80"/>
      <c r="N80" s="398"/>
    </row>
    <row r="81" spans="1:14" x14ac:dyDescent="0.2">
      <c r="A81" s="1"/>
      <c r="B81"/>
      <c r="N81" s="398"/>
    </row>
    <row r="82" spans="1:14" x14ac:dyDescent="0.2">
      <c r="A82" s="1"/>
      <c r="B82"/>
      <c r="N82" s="398"/>
    </row>
    <row r="83" spans="1:14" x14ac:dyDescent="0.2">
      <c r="A83" s="1"/>
      <c r="B83"/>
      <c r="N83" s="398"/>
    </row>
    <row r="84" spans="1:14" x14ac:dyDescent="0.2">
      <c r="A84" s="1"/>
      <c r="B84"/>
      <c r="N84" s="398"/>
    </row>
    <row r="85" spans="1:14" x14ac:dyDescent="0.2">
      <c r="A85" s="1"/>
      <c r="B85"/>
      <c r="N85" s="398"/>
    </row>
    <row r="86" spans="1:14" x14ac:dyDescent="0.2">
      <c r="A86" s="1"/>
      <c r="B86"/>
      <c r="N86" s="398"/>
    </row>
    <row r="87" spans="1:14" x14ac:dyDescent="0.2">
      <c r="A87" s="1"/>
      <c r="B87"/>
      <c r="N87" s="398"/>
    </row>
    <row r="88" spans="1:14" x14ac:dyDescent="0.2">
      <c r="A88" s="1"/>
      <c r="B88"/>
      <c r="N88" s="398"/>
    </row>
    <row r="89" spans="1:14" x14ac:dyDescent="0.2">
      <c r="A89" s="1"/>
      <c r="B89"/>
      <c r="N89" s="398"/>
    </row>
    <row r="90" spans="1:14" x14ac:dyDescent="0.2">
      <c r="A90" s="1"/>
      <c r="B90"/>
      <c r="N90" s="398"/>
    </row>
    <row r="91" spans="1:14" x14ac:dyDescent="0.2">
      <c r="A91" s="1"/>
      <c r="B91"/>
      <c r="N91" s="398"/>
    </row>
    <row r="92" spans="1:14" x14ac:dyDescent="0.2">
      <c r="A92" s="1"/>
      <c r="B92"/>
      <c r="N92" s="398"/>
    </row>
    <row r="93" spans="1:14" x14ac:dyDescent="0.2">
      <c r="A93" s="1"/>
      <c r="B93"/>
      <c r="N93" s="398"/>
    </row>
    <row r="94" spans="1:14" x14ac:dyDescent="0.2">
      <c r="A94" s="1"/>
      <c r="B94"/>
      <c r="N94" s="398"/>
    </row>
    <row r="95" spans="1:14" x14ac:dyDescent="0.2">
      <c r="A95" s="1"/>
      <c r="B95"/>
      <c r="N95" s="398"/>
    </row>
    <row r="96" spans="1:14" x14ac:dyDescent="0.2">
      <c r="A96" s="1"/>
      <c r="B96"/>
      <c r="N96" s="398"/>
    </row>
    <row r="97" spans="1:14" x14ac:dyDescent="0.2">
      <c r="A97" s="1"/>
      <c r="B97"/>
      <c r="N97" s="398"/>
    </row>
    <row r="98" spans="1:14" x14ac:dyDescent="0.2">
      <c r="A98" s="1"/>
      <c r="B98"/>
      <c r="N98" s="398"/>
    </row>
    <row r="99" spans="1:14" x14ac:dyDescent="0.2">
      <c r="A99" s="1"/>
      <c r="B99"/>
      <c r="N99" s="398"/>
    </row>
    <row r="100" spans="1:14" x14ac:dyDescent="0.2">
      <c r="A100" s="1"/>
      <c r="B100"/>
      <c r="N100" s="398"/>
    </row>
    <row r="101" spans="1:14" x14ac:dyDescent="0.2">
      <c r="A101" s="1"/>
      <c r="B101"/>
      <c r="N101" s="398"/>
    </row>
    <row r="102" spans="1:14" x14ac:dyDescent="0.2">
      <c r="A102" s="1"/>
      <c r="B102"/>
      <c r="N102" s="398"/>
    </row>
    <row r="103" spans="1:14" x14ac:dyDescent="0.2">
      <c r="A103" s="1"/>
      <c r="B103"/>
      <c r="N103" s="398"/>
    </row>
    <row r="104" spans="1:14" x14ac:dyDescent="0.2">
      <c r="A104" s="1"/>
      <c r="B104"/>
      <c r="N104" s="398"/>
    </row>
    <row r="105" spans="1:14" x14ac:dyDescent="0.2">
      <c r="A105" s="1"/>
      <c r="B105"/>
      <c r="N105" s="398"/>
    </row>
    <row r="106" spans="1:14" x14ac:dyDescent="0.2">
      <c r="A106" s="1"/>
      <c r="B106"/>
      <c r="N106" s="398"/>
    </row>
  </sheetData>
  <mergeCells count="9">
    <mergeCell ref="D52:E52"/>
    <mergeCell ref="D53:E53"/>
    <mergeCell ref="E54:F54"/>
    <mergeCell ref="D49:E49"/>
    <mergeCell ref="G3:N3"/>
    <mergeCell ref="D4:F6"/>
    <mergeCell ref="D47:E47"/>
    <mergeCell ref="D48:E48"/>
    <mergeCell ref="D51:E51"/>
  </mergeCells>
  <phoneticPr fontId="44" type="noConversion"/>
  <pageMargins left="0.25" right="0.25" top="0.75" bottom="0.75" header="0.3" footer="0.3"/>
  <pageSetup paperSize="9" scale="7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3"/>
  <sheetViews>
    <sheetView topLeftCell="A7" zoomScaleNormal="100" workbookViewId="0">
      <selection activeCell="N10" sqref="N10"/>
    </sheetView>
  </sheetViews>
  <sheetFormatPr defaultRowHeight="12.75" x14ac:dyDescent="0.2"/>
  <cols>
    <col min="1" max="1" width="3.5703125" style="95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7" max="7" width="0" hidden="1" customWidth="1"/>
    <col min="8" max="9" width="8" customWidth="1"/>
    <col min="10" max="10" width="8.140625" customWidth="1"/>
    <col min="11" max="11" width="7.5703125" customWidth="1"/>
    <col min="12" max="12" width="8.5703125" customWidth="1"/>
    <col min="13" max="13" width="8.42578125" customWidth="1"/>
    <col min="14" max="14" width="9.7109375" customWidth="1"/>
  </cols>
  <sheetData>
    <row r="1" spans="1:15" ht="15.75" x14ac:dyDescent="0.25">
      <c r="B1" s="99" t="s">
        <v>378</v>
      </c>
      <c r="E1" s="99" t="s">
        <v>379</v>
      </c>
      <c r="F1" s="97"/>
      <c r="G1" s="254" t="e">
        <f>G2-G7</f>
        <v>#REF!</v>
      </c>
      <c r="H1" s="254"/>
      <c r="I1" s="254"/>
      <c r="J1" s="254"/>
      <c r="K1" s="254"/>
      <c r="L1" s="253">
        <f>L2-L7</f>
        <v>0</v>
      </c>
      <c r="M1" s="253">
        <f>M2-M7</f>
        <v>0</v>
      </c>
      <c r="N1" s="253">
        <f>N2-N7</f>
        <v>0</v>
      </c>
      <c r="O1" s="399"/>
    </row>
    <row r="2" spans="1:15" ht="15.75" x14ac:dyDescent="0.25">
      <c r="B2" s="99"/>
      <c r="F2" s="97"/>
      <c r="G2" s="254" t="e">
        <f>SUM(G8:G10)</f>
        <v>#REF!</v>
      </c>
      <c r="H2" s="254"/>
      <c r="I2" s="254"/>
      <c r="J2" s="254"/>
      <c r="K2" s="254"/>
      <c r="L2" s="253">
        <f>SUM(L8:L10)</f>
        <v>1629768</v>
      </c>
      <c r="M2" s="253">
        <f>SUM(M8:M10)</f>
        <v>1646464</v>
      </c>
      <c r="N2" s="253">
        <f>SUM(N8:N10)</f>
        <v>1661790</v>
      </c>
      <c r="O2" s="399"/>
    </row>
    <row r="3" spans="1:15" ht="15.75" x14ac:dyDescent="0.25">
      <c r="A3" s="1841"/>
      <c r="B3" s="1842"/>
      <c r="C3" s="1843"/>
      <c r="D3" s="1843"/>
      <c r="E3" s="1844"/>
      <c r="F3" s="1844"/>
      <c r="G3" s="2037" t="s">
        <v>168</v>
      </c>
      <c r="H3" s="2037"/>
      <c r="I3" s="2037"/>
      <c r="J3" s="2037"/>
      <c r="K3" s="2037"/>
      <c r="L3" s="2037"/>
      <c r="M3" s="2037"/>
      <c r="N3" s="2037"/>
    </row>
    <row r="4" spans="1:15" ht="12" customHeight="1" x14ac:dyDescent="0.2">
      <c r="A4" s="1841"/>
      <c r="B4" s="1841" t="s">
        <v>169</v>
      </c>
      <c r="C4" s="1845" t="s">
        <v>170</v>
      </c>
      <c r="D4" s="2038" t="s">
        <v>171</v>
      </c>
      <c r="E4" s="2038"/>
      <c r="F4" s="2038"/>
      <c r="G4" s="1846"/>
      <c r="H4" s="1847">
        <v>2021</v>
      </c>
      <c r="I4" s="1847">
        <v>2022</v>
      </c>
      <c r="J4" s="1847" t="s">
        <v>998</v>
      </c>
      <c r="K4" s="1847" t="s">
        <v>999</v>
      </c>
      <c r="L4" s="1847">
        <v>2024</v>
      </c>
      <c r="M4" s="1847">
        <v>2025</v>
      </c>
      <c r="N4" s="1847">
        <v>2026</v>
      </c>
    </row>
    <row r="5" spans="1:15" ht="12" customHeight="1" x14ac:dyDescent="0.2">
      <c r="A5" s="1841"/>
      <c r="B5" s="1841" t="s">
        <v>172</v>
      </c>
      <c r="C5" s="1845" t="s">
        <v>173</v>
      </c>
      <c r="D5" s="2038"/>
      <c r="E5" s="2038"/>
      <c r="F5" s="2038"/>
      <c r="G5" s="1848" t="s">
        <v>174</v>
      </c>
      <c r="H5" s="1848" t="s">
        <v>175</v>
      </c>
      <c r="I5" s="1848" t="s">
        <v>176</v>
      </c>
      <c r="J5" s="1848" t="s">
        <v>175</v>
      </c>
      <c r="K5" s="1848" t="s">
        <v>176</v>
      </c>
      <c r="L5" s="1848" t="s">
        <v>175</v>
      </c>
      <c r="M5" s="1848" t="s">
        <v>176</v>
      </c>
      <c r="N5" s="1848" t="s">
        <v>176</v>
      </c>
    </row>
    <row r="6" spans="1:15" x14ac:dyDescent="0.2">
      <c r="A6" s="1841"/>
      <c r="B6" s="1841" t="s">
        <v>177</v>
      </c>
      <c r="C6" s="1845" t="s">
        <v>178</v>
      </c>
      <c r="D6" s="2038"/>
      <c r="E6" s="2038"/>
      <c r="F6" s="2038"/>
      <c r="G6" s="1849">
        <v>1</v>
      </c>
      <c r="H6" s="1849">
        <v>-3</v>
      </c>
      <c r="I6" s="1849">
        <v>-2</v>
      </c>
      <c r="J6" s="1849">
        <v>-1</v>
      </c>
      <c r="K6" s="1849">
        <v>-1</v>
      </c>
      <c r="L6" s="1849">
        <v>0</v>
      </c>
      <c r="M6" s="1849">
        <v>1</v>
      </c>
      <c r="N6" s="1849">
        <v>2</v>
      </c>
    </row>
    <row r="7" spans="1:15" ht="15" x14ac:dyDescent="0.25">
      <c r="A7" s="1850">
        <v>1</v>
      </c>
      <c r="B7" s="1851" t="s">
        <v>378</v>
      </c>
      <c r="C7" s="1852"/>
      <c r="D7" s="1853"/>
      <c r="E7" s="1854" t="s">
        <v>379</v>
      </c>
      <c r="F7" s="1853"/>
      <c r="G7" s="1855" t="e">
        <f>G11+G24+G44+#REF!+#REF!+#REF!+#REF!+#REF!</f>
        <v>#REF!</v>
      </c>
      <c r="H7" s="1856">
        <f>H8+H9+H10</f>
        <v>1349675</v>
      </c>
      <c r="I7" s="1856">
        <f>SUM(I8:I10)</f>
        <v>1411899</v>
      </c>
      <c r="J7" s="1856">
        <f>J8+J9+J10</f>
        <v>1580496</v>
      </c>
      <c r="K7" s="1856">
        <f>SUM(K8:K10)</f>
        <v>1580496</v>
      </c>
      <c r="L7" s="1857">
        <f>SUM(L8:L10)</f>
        <v>1629768</v>
      </c>
      <c r="M7" s="1856">
        <f>SUM(M8:M10)</f>
        <v>1646464</v>
      </c>
      <c r="N7" s="1856">
        <f>SUM(N8:N10)</f>
        <v>1661790</v>
      </c>
    </row>
    <row r="8" spans="1:15" x14ac:dyDescent="0.2">
      <c r="A8" s="1850">
        <f>A7+1</f>
        <v>2</v>
      </c>
      <c r="B8" s="1858" t="s">
        <v>180</v>
      </c>
      <c r="C8" s="1858" t="s">
        <v>181</v>
      </c>
      <c r="D8" s="1859"/>
      <c r="E8" s="1858"/>
      <c r="F8" s="1858"/>
      <c r="G8" s="1860" t="e">
        <f>G12+#REF!+#REF!+#REF!+#REF!+#REF!+#REF!+#REF!</f>
        <v>#REF!</v>
      </c>
      <c r="H8" s="1861">
        <f>H12+H25+H45+H61</f>
        <v>1349675</v>
      </c>
      <c r="I8" s="1861">
        <f>SUM(I12,I25,I45)+I61</f>
        <v>1387736</v>
      </c>
      <c r="J8" s="1861">
        <f>J12+J25+J45+J61</f>
        <v>1580496</v>
      </c>
      <c r="K8" s="1861">
        <f>SUM(K12,K25,K45)+K61</f>
        <v>1578538</v>
      </c>
      <c r="L8" s="1862">
        <f>SUM(L12,L25,L45,L61)</f>
        <v>1629768</v>
      </c>
      <c r="M8" s="1861">
        <f>SUM(M12,M25,M45,M61)</f>
        <v>1646464</v>
      </c>
      <c r="N8" s="1861">
        <f>SUM(N12,N25,N45,N61)</f>
        <v>1661790</v>
      </c>
    </row>
    <row r="9" spans="1:15" x14ac:dyDescent="0.2">
      <c r="A9" s="1850">
        <f>A8+1</f>
        <v>3</v>
      </c>
      <c r="B9" s="1858" t="s">
        <v>182</v>
      </c>
      <c r="C9" s="1863" t="s">
        <v>183</v>
      </c>
      <c r="D9" s="1864"/>
      <c r="E9" s="1863"/>
      <c r="F9" s="1863"/>
      <c r="G9" s="1865" t="e">
        <f>G20+#REF!+#REF!+#REF!+#REF!</f>
        <v>#REF!</v>
      </c>
      <c r="H9" s="1866">
        <f>H20+H40</f>
        <v>0</v>
      </c>
      <c r="I9" s="1866">
        <f>SUM(I20+I40)</f>
        <v>24163</v>
      </c>
      <c r="J9" s="1866">
        <f>J20+J40</f>
        <v>0</v>
      </c>
      <c r="K9" s="1867">
        <f>K20+K40+K57</f>
        <v>1958</v>
      </c>
      <c r="L9" s="1866">
        <f>L20+L40+L57</f>
        <v>0</v>
      </c>
      <c r="M9" s="1866">
        <f>M20+M40+M57</f>
        <v>0</v>
      </c>
      <c r="N9" s="1866">
        <f>SUM(N20+N40)+N57</f>
        <v>0</v>
      </c>
    </row>
    <row r="10" spans="1:15" x14ac:dyDescent="0.2">
      <c r="A10" s="1850">
        <f>A9+1</f>
        <v>4</v>
      </c>
      <c r="B10" s="1858"/>
      <c r="C10" s="1868" t="s">
        <v>184</v>
      </c>
      <c r="D10" s="1869"/>
      <c r="E10" s="1868"/>
      <c r="F10" s="1868"/>
      <c r="G10" s="1870">
        <v>0</v>
      </c>
      <c r="H10" s="1871">
        <v>0</v>
      </c>
      <c r="I10" s="1871">
        <v>0</v>
      </c>
      <c r="J10" s="1871">
        <v>0</v>
      </c>
      <c r="K10" s="1872">
        <v>0</v>
      </c>
      <c r="L10" s="1871">
        <v>0</v>
      </c>
      <c r="M10" s="1871">
        <v>0</v>
      </c>
      <c r="N10" s="1871">
        <v>0</v>
      </c>
    </row>
    <row r="11" spans="1:15" x14ac:dyDescent="0.2">
      <c r="A11" s="1850">
        <v>5</v>
      </c>
      <c r="B11" s="1873">
        <v>1</v>
      </c>
      <c r="C11" s="1874" t="s">
        <v>163</v>
      </c>
      <c r="D11" s="1875"/>
      <c r="E11" s="1875"/>
      <c r="F11" s="1875"/>
      <c r="G11" s="1876" t="e">
        <f>G13+G21</f>
        <v>#REF!</v>
      </c>
      <c r="H11" s="1877">
        <f>H12+H20</f>
        <v>289569</v>
      </c>
      <c r="I11" s="1877">
        <f>SUM(I12+I20)</f>
        <v>292692</v>
      </c>
      <c r="J11" s="1877">
        <f>J12+J20</f>
        <v>335512</v>
      </c>
      <c r="K11" s="1877">
        <f>SUM(K12+K20)</f>
        <v>347121</v>
      </c>
      <c r="L11" s="1877">
        <f>SUM(L12+L20)</f>
        <v>369455</v>
      </c>
      <c r="M11" s="1877">
        <f>SUM(M12+M20)</f>
        <v>384066</v>
      </c>
      <c r="N11" s="1877">
        <f>SUM(N12+N20)</f>
        <v>396212</v>
      </c>
    </row>
    <row r="12" spans="1:15" x14ac:dyDescent="0.2">
      <c r="A12" s="1850">
        <f t="shared" ref="A12:A19" si="0">A11+1</f>
        <v>6</v>
      </c>
      <c r="B12" s="1878"/>
      <c r="C12" s="1879"/>
      <c r="D12" s="1858" t="s">
        <v>181</v>
      </c>
      <c r="E12" s="1880"/>
      <c r="F12" s="1880"/>
      <c r="G12" s="1881">
        <f t="shared" ref="G12:N12" si="1">G13</f>
        <v>12008.400000000001</v>
      </c>
      <c r="H12" s="1861">
        <f>H13</f>
        <v>289569</v>
      </c>
      <c r="I12" s="1861">
        <f t="shared" si="1"/>
        <v>289409</v>
      </c>
      <c r="J12" s="1861">
        <f>J13</f>
        <v>335512</v>
      </c>
      <c r="K12" s="1861">
        <f t="shared" si="1"/>
        <v>347121</v>
      </c>
      <c r="L12" s="1861">
        <f t="shared" si="1"/>
        <v>369455</v>
      </c>
      <c r="M12" s="1861">
        <f t="shared" si="1"/>
        <v>384066</v>
      </c>
      <c r="N12" s="1861">
        <f t="shared" si="1"/>
        <v>396212</v>
      </c>
    </row>
    <row r="13" spans="1:15" x14ac:dyDescent="0.2">
      <c r="A13" s="1850">
        <f t="shared" si="0"/>
        <v>7</v>
      </c>
      <c r="B13" s="1201"/>
      <c r="C13" s="1882" t="s">
        <v>380</v>
      </c>
      <c r="D13" s="1883" t="s">
        <v>381</v>
      </c>
      <c r="E13" s="1884"/>
      <c r="F13" s="1884"/>
      <c r="G13" s="1885">
        <f t="shared" ref="G13:N13" si="2">SUM(G14:G19)</f>
        <v>12008.400000000001</v>
      </c>
      <c r="H13" s="1886">
        <f>SUM(H14:H19)</f>
        <v>289569</v>
      </c>
      <c r="I13" s="1886">
        <f t="shared" si="2"/>
        <v>289409</v>
      </c>
      <c r="J13" s="1886">
        <f>SUM(J14:J19)</f>
        <v>335512</v>
      </c>
      <c r="K13" s="1886">
        <f>SUM(K14:K19)</f>
        <v>347121</v>
      </c>
      <c r="L13" s="1886">
        <f>SUM(L14:L19)</f>
        <v>369455</v>
      </c>
      <c r="M13" s="1886">
        <f t="shared" si="2"/>
        <v>384066</v>
      </c>
      <c r="N13" s="1886">
        <f t="shared" si="2"/>
        <v>396212</v>
      </c>
    </row>
    <row r="14" spans="1:15" x14ac:dyDescent="0.2">
      <c r="A14" s="1850">
        <f t="shared" si="0"/>
        <v>8</v>
      </c>
      <c r="B14" s="1201"/>
      <c r="C14" s="1887" t="s">
        <v>382</v>
      </c>
      <c r="D14" s="663" t="s">
        <v>215</v>
      </c>
      <c r="E14" s="1888" t="s">
        <v>383</v>
      </c>
      <c r="F14" s="1888"/>
      <c r="G14" s="1889">
        <f>ROUND(M14/30.126,1)</f>
        <v>8421.5</v>
      </c>
      <c r="H14" s="1362">
        <f>výdavky!F388+výdavky!F390+výdavky!F389</f>
        <v>191898</v>
      </c>
      <c r="I14" s="1362">
        <f>výdavky!G388+výdavky!G390+výdavky!G389</f>
        <v>202526</v>
      </c>
      <c r="J14" s="1362">
        <f>výdavky!H388+výdavky!H390+výdavky!H389</f>
        <v>224635</v>
      </c>
      <c r="K14" s="1362">
        <f>výdavky!I388+výdavky!I390+výdavky!I389</f>
        <v>232980</v>
      </c>
      <c r="L14" s="1362">
        <f>výdavky!J388+výdavky!J390++výdavky!J389</f>
        <v>245285</v>
      </c>
      <c r="M14" s="1362">
        <f>výdavky!K388+výdavky!K390+výdavky!K389</f>
        <v>253706</v>
      </c>
      <c r="N14" s="1362">
        <f>výdavky!L388+výdavky!L390+výdavky!L389</f>
        <v>263152</v>
      </c>
    </row>
    <row r="15" spans="1:15" x14ac:dyDescent="0.2">
      <c r="A15" s="1850">
        <f t="shared" si="0"/>
        <v>9</v>
      </c>
      <c r="B15" s="1201"/>
      <c r="C15" s="1887" t="s">
        <v>384</v>
      </c>
      <c r="D15" s="663" t="s">
        <v>217</v>
      </c>
      <c r="E15" s="1888" t="s">
        <v>361</v>
      </c>
      <c r="F15" s="1888"/>
      <c r="G15" s="1889">
        <f>ROUND(M15/30.126,1)</f>
        <v>1654.7</v>
      </c>
      <c r="H15" s="1362">
        <f>výdavky!F392</f>
        <v>44932</v>
      </c>
      <c r="I15" s="1362">
        <f>výdavky!G392-výdavky!G418</f>
        <v>29511</v>
      </c>
      <c r="J15" s="1362">
        <f>výdavky!H392</f>
        <v>54396</v>
      </c>
      <c r="K15" s="1362">
        <f>výdavky!I392</f>
        <v>60306</v>
      </c>
      <c r="L15" s="1362">
        <f>výdavky!J392-výdavky!J416</f>
        <v>47150</v>
      </c>
      <c r="M15" s="1362">
        <f>výdavky!K392-výdavky!K416</f>
        <v>49850</v>
      </c>
      <c r="N15" s="1362">
        <f>výdavky!L392-výdavky!L416</f>
        <v>52450</v>
      </c>
    </row>
    <row r="16" spans="1:15" x14ac:dyDescent="0.2">
      <c r="A16" s="1850">
        <v>10</v>
      </c>
      <c r="B16" s="1201"/>
      <c r="C16" s="1887" t="s">
        <v>384</v>
      </c>
      <c r="D16" s="663" t="s">
        <v>228</v>
      </c>
      <c r="E16" s="1890" t="s">
        <v>789</v>
      </c>
      <c r="F16" s="1891"/>
      <c r="G16" s="1892"/>
      <c r="H16" s="1893">
        <f>výdavky!F421</f>
        <v>3205</v>
      </c>
      <c r="I16" s="1893">
        <f>výdavky!G421</f>
        <v>0</v>
      </c>
      <c r="J16" s="1893">
        <v>0</v>
      </c>
      <c r="K16" s="1893">
        <f>výdavky!I421</f>
        <v>0</v>
      </c>
      <c r="L16" s="1893">
        <v>0</v>
      </c>
      <c r="M16" s="1893">
        <v>0</v>
      </c>
      <c r="N16" s="1893">
        <v>0</v>
      </c>
    </row>
    <row r="17" spans="1:14" x14ac:dyDescent="0.2">
      <c r="A17" s="1850">
        <v>11</v>
      </c>
      <c r="B17" s="1201"/>
      <c r="C17" s="1887" t="s">
        <v>198</v>
      </c>
      <c r="D17" s="663" t="s">
        <v>230</v>
      </c>
      <c r="E17" s="1888" t="s">
        <v>753</v>
      </c>
      <c r="F17" s="1888"/>
      <c r="G17" s="1889">
        <f>ROUND(M17/30.126,1)</f>
        <v>1932.2</v>
      </c>
      <c r="H17" s="1362">
        <f>výdavky!F422</f>
        <v>41647</v>
      </c>
      <c r="I17" s="1362">
        <f>výdavky!G422</f>
        <v>45162</v>
      </c>
      <c r="J17" s="1362">
        <f>výdavky!H422-výdavky!H417-výdavky!H418</f>
        <v>44181</v>
      </c>
      <c r="K17" s="1362">
        <f>výdavky!I422</f>
        <v>53835</v>
      </c>
      <c r="L17" s="1362">
        <f>výdavky!J422</f>
        <v>56720</v>
      </c>
      <c r="M17" s="1362">
        <f>výdavky!K422</f>
        <v>58210</v>
      </c>
      <c r="N17" s="1362">
        <f>výdavky!L422</f>
        <v>58310</v>
      </c>
    </row>
    <row r="18" spans="1:14" x14ac:dyDescent="0.2">
      <c r="A18" s="1850">
        <f t="shared" si="0"/>
        <v>12</v>
      </c>
      <c r="B18" s="1201"/>
      <c r="C18" s="1887" t="s">
        <v>369</v>
      </c>
      <c r="D18" s="663" t="s">
        <v>232</v>
      </c>
      <c r="E18" s="1890" t="s">
        <v>386</v>
      </c>
      <c r="F18" s="1894"/>
      <c r="G18" s="1895"/>
      <c r="H18" s="1896">
        <f>výdavky!F417</f>
        <v>0</v>
      </c>
      <c r="I18" s="1897">
        <f>výdavky!G417</f>
        <v>0</v>
      </c>
      <c r="J18" s="1897">
        <f>výdavky!H417</f>
        <v>300</v>
      </c>
      <c r="K18" s="1897">
        <f>výdavky!I417</f>
        <v>0</v>
      </c>
      <c r="L18" s="1897">
        <f>výdavky!J417</f>
        <v>300</v>
      </c>
      <c r="M18" s="1897">
        <f>výdavky!K417</f>
        <v>300</v>
      </c>
      <c r="N18" s="1897">
        <f>výdavky!L417</f>
        <v>300</v>
      </c>
    </row>
    <row r="19" spans="1:14" x14ac:dyDescent="0.2">
      <c r="A19" s="1850">
        <f t="shared" si="0"/>
        <v>13</v>
      </c>
      <c r="B19" s="1201"/>
      <c r="C19" s="1887" t="s">
        <v>369</v>
      </c>
      <c r="D19" s="663" t="s">
        <v>236</v>
      </c>
      <c r="E19" s="1890" t="s">
        <v>387</v>
      </c>
      <c r="F19" s="1894"/>
      <c r="G19" s="1895"/>
      <c r="H19" s="1896">
        <f>výdavky!F418</f>
        <v>7887</v>
      </c>
      <c r="I19" s="1897">
        <f>výdavky!G418</f>
        <v>12210</v>
      </c>
      <c r="J19" s="1897">
        <f>výdavky!H418</f>
        <v>12000</v>
      </c>
      <c r="K19" s="1897">
        <v>0</v>
      </c>
      <c r="L19" s="1897">
        <f>výdavky!J418</f>
        <v>20000</v>
      </c>
      <c r="M19" s="1897">
        <f>výdavky!K418</f>
        <v>22000</v>
      </c>
      <c r="N19" s="1897">
        <f>výdavky!L418</f>
        <v>22000</v>
      </c>
    </row>
    <row r="20" spans="1:14" x14ac:dyDescent="0.2">
      <c r="A20" s="1850">
        <v>14</v>
      </c>
      <c r="B20" s="1201"/>
      <c r="C20" s="1887"/>
      <c r="D20" s="1863" t="s">
        <v>183</v>
      </c>
      <c r="E20" s="1898"/>
      <c r="F20" s="1899"/>
      <c r="G20" s="1900" t="e">
        <f t="shared" ref="G20:N20" si="3">G21</f>
        <v>#REF!</v>
      </c>
      <c r="H20" s="1867">
        <f>H21</f>
        <v>0</v>
      </c>
      <c r="I20" s="1867">
        <f t="shared" si="3"/>
        <v>3283</v>
      </c>
      <c r="J20" s="1867">
        <f>J21</f>
        <v>0</v>
      </c>
      <c r="K20" s="1867">
        <f t="shared" si="3"/>
        <v>0</v>
      </c>
      <c r="L20" s="1867">
        <f t="shared" si="3"/>
        <v>0</v>
      </c>
      <c r="M20" s="1867">
        <f t="shared" si="3"/>
        <v>0</v>
      </c>
      <c r="N20" s="1867">
        <f t="shared" si="3"/>
        <v>0</v>
      </c>
    </row>
    <row r="21" spans="1:14" s="190" customFormat="1" x14ac:dyDescent="0.2">
      <c r="A21" s="1850">
        <f>A20+1</f>
        <v>15</v>
      </c>
      <c r="B21" s="1201"/>
      <c r="C21" s="1882" t="s">
        <v>380</v>
      </c>
      <c r="D21" s="1883" t="s">
        <v>381</v>
      </c>
      <c r="E21" s="1884"/>
      <c r="F21" s="1884"/>
      <c r="G21" s="1885" t="e">
        <f>SUM(#REF!)</f>
        <v>#REF!</v>
      </c>
      <c r="H21" s="1886">
        <f>H22+H23</f>
        <v>0</v>
      </c>
      <c r="I21" s="1886">
        <f>SUM(I22:I22)+I23</f>
        <v>3283</v>
      </c>
      <c r="J21" s="1886">
        <f>J22+J23</f>
        <v>0</v>
      </c>
      <c r="K21" s="1886">
        <f>SUM(K22:K22)+K23</f>
        <v>0</v>
      </c>
      <c r="L21" s="1886">
        <f>SUM(L22:L22)</f>
        <v>0</v>
      </c>
      <c r="M21" s="1886">
        <f>SUM(M22:M22)+M23</f>
        <v>0</v>
      </c>
      <c r="N21" s="1886">
        <f>SUM(N22:N22)+N23</f>
        <v>0</v>
      </c>
    </row>
    <row r="22" spans="1:14" s="190" customFormat="1" x14ac:dyDescent="0.2">
      <c r="A22" s="1850">
        <f>A21+1</f>
        <v>16</v>
      </c>
      <c r="B22" s="1850"/>
      <c r="C22" s="1901" t="s">
        <v>291</v>
      </c>
      <c r="D22" s="663" t="s">
        <v>238</v>
      </c>
      <c r="E22" s="1681" t="s">
        <v>388</v>
      </c>
      <c r="F22" s="1902"/>
      <c r="G22" s="1903"/>
      <c r="H22" s="1904">
        <f>výdavky!F744</f>
        <v>0</v>
      </c>
      <c r="I22" s="1904">
        <f>výdavky!G744</f>
        <v>3283</v>
      </c>
      <c r="J22" s="1904">
        <f>výdavky!H744</f>
        <v>0</v>
      </c>
      <c r="K22" s="1904">
        <f>výdavky!I744</f>
        <v>0</v>
      </c>
      <c r="L22" s="1904">
        <f>výdavky!J744+L23</f>
        <v>0</v>
      </c>
      <c r="M22" s="1904">
        <f>výdavky!K744</f>
        <v>0</v>
      </c>
      <c r="N22" s="1904">
        <f>výdavky!L744</f>
        <v>0</v>
      </c>
    </row>
    <row r="23" spans="1:14" s="190" customFormat="1" x14ac:dyDescent="0.2">
      <c r="A23" s="1850">
        <v>17</v>
      </c>
      <c r="B23" s="1850"/>
      <c r="C23" s="1901" t="s">
        <v>273</v>
      </c>
      <c r="D23" s="663" t="s">
        <v>266</v>
      </c>
      <c r="E23" s="1681" t="s">
        <v>402</v>
      </c>
      <c r="F23" s="1902"/>
      <c r="G23" s="1903"/>
      <c r="H23" s="1904">
        <v>0</v>
      </c>
      <c r="I23" s="1904">
        <v>0</v>
      </c>
      <c r="J23" s="1904">
        <v>0</v>
      </c>
      <c r="K23" s="1904">
        <v>0</v>
      </c>
      <c r="L23" s="1904">
        <v>0</v>
      </c>
      <c r="M23" s="1904">
        <v>0</v>
      </c>
      <c r="N23" s="1904">
        <v>0</v>
      </c>
    </row>
    <row r="24" spans="1:14" x14ac:dyDescent="0.2">
      <c r="A24" s="1850">
        <v>18</v>
      </c>
      <c r="B24" s="1873">
        <v>2</v>
      </c>
      <c r="C24" s="1874" t="s">
        <v>161</v>
      </c>
      <c r="D24" s="1875"/>
      <c r="E24" s="1875"/>
      <c r="F24" s="1875"/>
      <c r="G24" s="1876" t="e">
        <f>#REF!+#REF!+#REF!+#REF!+#REF!+#REF!+#REF!+#REF!</f>
        <v>#REF!</v>
      </c>
      <c r="H24" s="1905">
        <f t="shared" ref="H24:N24" si="4">H25+H40</f>
        <v>965689</v>
      </c>
      <c r="I24" s="1905">
        <f t="shared" si="4"/>
        <v>1006944</v>
      </c>
      <c r="J24" s="1905">
        <f t="shared" si="4"/>
        <v>1134067</v>
      </c>
      <c r="K24" s="1905">
        <f t="shared" si="4"/>
        <v>1116883</v>
      </c>
      <c r="L24" s="1877">
        <f t="shared" si="4"/>
        <v>1143713</v>
      </c>
      <c r="M24" s="1905">
        <f t="shared" si="4"/>
        <v>1143713</v>
      </c>
      <c r="N24" s="1877">
        <f t="shared" si="4"/>
        <v>1143893</v>
      </c>
    </row>
    <row r="25" spans="1:14" x14ac:dyDescent="0.2">
      <c r="A25" s="1850">
        <f>A24+1</f>
        <v>19</v>
      </c>
      <c r="B25" s="1906"/>
      <c r="C25" s="1907"/>
      <c r="D25" s="1858" t="s">
        <v>181</v>
      </c>
      <c r="E25" s="1880"/>
      <c r="F25" s="1880"/>
      <c r="G25" s="1881">
        <f>G38</f>
        <v>0</v>
      </c>
      <c r="H25" s="1861">
        <f>H26</f>
        <v>965689</v>
      </c>
      <c r="I25" s="1861">
        <f>SUM(I26)</f>
        <v>986064</v>
      </c>
      <c r="J25" s="1861">
        <f>J26</f>
        <v>1134067</v>
      </c>
      <c r="K25" s="1861">
        <f>SUM(K26)</f>
        <v>1116883</v>
      </c>
      <c r="L25" s="1861">
        <f>SUM(L26)</f>
        <v>1143713</v>
      </c>
      <c r="M25" s="1861">
        <f>SUM(M26)</f>
        <v>1143713</v>
      </c>
      <c r="N25" s="1861">
        <f>SUM(N26)</f>
        <v>1143893</v>
      </c>
    </row>
    <row r="26" spans="1:14" x14ac:dyDescent="0.2">
      <c r="A26" s="1850">
        <v>20</v>
      </c>
      <c r="B26" s="1906"/>
      <c r="C26" s="1882" t="s">
        <v>389</v>
      </c>
      <c r="D26" s="1883" t="s">
        <v>390</v>
      </c>
      <c r="E26" s="1884"/>
      <c r="F26" s="1884"/>
      <c r="G26" s="1885">
        <f>G27</f>
        <v>0</v>
      </c>
      <c r="H26" s="1886">
        <f>SUM(H27:H39)-H31</f>
        <v>965689</v>
      </c>
      <c r="I26" s="1886">
        <f>I27+I28+I31</f>
        <v>986064</v>
      </c>
      <c r="J26" s="1886">
        <f>J27+J28+J31</f>
        <v>1134067</v>
      </c>
      <c r="K26" s="1886">
        <f>K27+K28+K31+K29</f>
        <v>1116883</v>
      </c>
      <c r="L26" s="1886">
        <f>L27+L28+L29+L30+L31</f>
        <v>1143713</v>
      </c>
      <c r="M26" s="1886">
        <f>SUM(M27:M31)</f>
        <v>1143713</v>
      </c>
      <c r="N26" s="1886">
        <f>SUM(N27:N31)</f>
        <v>1143893</v>
      </c>
    </row>
    <row r="27" spans="1:14" x14ac:dyDescent="0.2">
      <c r="A27" s="1850">
        <v>21</v>
      </c>
      <c r="B27" s="1906"/>
      <c r="C27" s="1887" t="s">
        <v>382</v>
      </c>
      <c r="D27" s="1908">
        <v>1</v>
      </c>
      <c r="E27" s="1890" t="s">
        <v>383</v>
      </c>
      <c r="F27" s="1909"/>
      <c r="G27" s="1910"/>
      <c r="H27" s="1911">
        <f>výdavky!F443+výdavky!F509</f>
        <v>883105</v>
      </c>
      <c r="I27" s="1912">
        <f>výdavky!G443+výdavky!G509</f>
        <v>872863</v>
      </c>
      <c r="J27" s="1912">
        <f>výdavky!H443+výdavky!H509</f>
        <v>982837</v>
      </c>
      <c r="K27" s="1912">
        <f>výdavky!I443+výdavky!I509+výdavky!I457+výdavky!I519</f>
        <v>986570</v>
      </c>
      <c r="L27" s="1912">
        <f>výdavky!J443+výdavky!J509</f>
        <v>1023623</v>
      </c>
      <c r="M27" s="1912">
        <f>výdavky!K443+výdavky!K509</f>
        <v>1023623</v>
      </c>
      <c r="N27" s="1912">
        <f>výdavky!L443+výdavky!L509</f>
        <v>1023803</v>
      </c>
    </row>
    <row r="28" spans="1:14" x14ac:dyDescent="0.2">
      <c r="A28" s="1850">
        <v>22</v>
      </c>
      <c r="B28" s="1906"/>
      <c r="C28" s="1887" t="s">
        <v>384</v>
      </c>
      <c r="D28" s="1908">
        <v>2</v>
      </c>
      <c r="E28" s="1890" t="s">
        <v>361</v>
      </c>
      <c r="F28" s="1909"/>
      <c r="G28" s="1910"/>
      <c r="H28" s="1911">
        <f>výdavky!F458+výdavky!F520+výdavky!F548</f>
        <v>53583</v>
      </c>
      <c r="I28" s="1912">
        <f>výdavky!G458+výdavky!G520-výdavky!G486</f>
        <v>71224</v>
      </c>
      <c r="J28" s="1912">
        <f>výdavky!H458+výdavky!H520-výdavky!H486</f>
        <v>105654</v>
      </c>
      <c r="K28" s="1912">
        <f>výdavky!I458+výdavky!I520-výdavky!I548</f>
        <v>94506</v>
      </c>
      <c r="L28" s="1912">
        <f>výdavky!J458+výdavky!J520-výdavky!J486</f>
        <v>89374</v>
      </c>
      <c r="M28" s="1912">
        <f>výdavky!K520+výdavky!K458-výdavky!K486</f>
        <v>89374</v>
      </c>
      <c r="N28" s="1912">
        <f>výdavky!L458+výdavky!L520-výdavky!L486</f>
        <v>89374</v>
      </c>
    </row>
    <row r="29" spans="1:14" x14ac:dyDescent="0.2">
      <c r="A29" s="1850">
        <v>23</v>
      </c>
      <c r="B29" s="1906"/>
      <c r="C29" s="1887" t="s">
        <v>226</v>
      </c>
      <c r="D29" s="1908">
        <v>3</v>
      </c>
      <c r="E29" s="1888" t="s">
        <v>391</v>
      </c>
      <c r="F29" s="1913"/>
      <c r="G29" s="1914"/>
      <c r="H29" s="1915">
        <f>výdavky!F562</f>
        <v>245</v>
      </c>
      <c r="I29" s="1916">
        <v>0</v>
      </c>
      <c r="J29" s="1916">
        <v>0</v>
      </c>
      <c r="K29" s="1916">
        <f>výdavky!I562</f>
        <v>1000</v>
      </c>
      <c r="L29" s="1916">
        <v>0</v>
      </c>
      <c r="M29" s="1916">
        <v>0</v>
      </c>
      <c r="N29" s="1916">
        <v>0</v>
      </c>
    </row>
    <row r="30" spans="1:14" x14ac:dyDescent="0.2">
      <c r="A30" s="1850">
        <v>24</v>
      </c>
      <c r="B30" s="1906"/>
      <c r="C30" s="1887" t="s">
        <v>369</v>
      </c>
      <c r="D30" s="1908">
        <v>4</v>
      </c>
      <c r="E30" s="1888" t="s">
        <v>392</v>
      </c>
      <c r="F30" s="1913"/>
      <c r="G30" s="1914"/>
      <c r="H30" s="1915">
        <v>0</v>
      </c>
      <c r="I30" s="1916">
        <v>0</v>
      </c>
      <c r="J30" s="1916">
        <v>0</v>
      </c>
      <c r="K30" s="1916">
        <v>0</v>
      </c>
      <c r="L30" s="1916">
        <v>0</v>
      </c>
      <c r="M30" s="1916">
        <v>0</v>
      </c>
      <c r="N30" s="1916">
        <v>0</v>
      </c>
    </row>
    <row r="31" spans="1:14" x14ac:dyDescent="0.2">
      <c r="A31" s="1850">
        <v>25</v>
      </c>
      <c r="B31" s="1906"/>
      <c r="C31" s="1887" t="s">
        <v>369</v>
      </c>
      <c r="D31" s="1908">
        <v>5</v>
      </c>
      <c r="E31" s="1890" t="s">
        <v>751</v>
      </c>
      <c r="F31" s="1909"/>
      <c r="G31" s="1910"/>
      <c r="H31" s="1911">
        <f>SUM(H32:H39)</f>
        <v>28756</v>
      </c>
      <c r="I31" s="1912">
        <f>SUM(I32:I39)</f>
        <v>41977</v>
      </c>
      <c r="J31" s="1912">
        <f t="shared" ref="J31:N31" si="5">SUM(J32:J39)</f>
        <v>45576</v>
      </c>
      <c r="K31" s="1912">
        <f t="shared" si="5"/>
        <v>34807</v>
      </c>
      <c r="L31" s="1912">
        <f t="shared" si="5"/>
        <v>30716</v>
      </c>
      <c r="M31" s="1912">
        <f t="shared" si="5"/>
        <v>30716</v>
      </c>
      <c r="N31" s="1912">
        <f t="shared" si="5"/>
        <v>30716</v>
      </c>
    </row>
    <row r="32" spans="1:14" x14ac:dyDescent="0.2">
      <c r="A32" s="1850">
        <v>26</v>
      </c>
      <c r="B32" s="1906"/>
      <c r="C32" s="1887" t="s">
        <v>369</v>
      </c>
      <c r="D32" s="1908">
        <v>6</v>
      </c>
      <c r="E32" s="1917" t="s">
        <v>393</v>
      </c>
      <c r="F32" s="1909"/>
      <c r="G32" s="1910"/>
      <c r="H32" s="1918">
        <f>výdavky!F487+výdavky!F549</f>
        <v>2471</v>
      </c>
      <c r="I32" s="1918">
        <f>výdavky!G487+výdavky!G549</f>
        <v>3647</v>
      </c>
      <c r="J32" s="1918">
        <f>výdavky!H487+výdavky!H549</f>
        <v>3646</v>
      </c>
      <c r="K32" s="1918">
        <f>výdavky!I487+výdavky!I549</f>
        <v>3957</v>
      </c>
      <c r="L32" s="1918">
        <f>výdavky!J487+výdavky!J549</f>
        <v>4441</v>
      </c>
      <c r="M32" s="1918">
        <f>výdavky!K487+výdavky!K549</f>
        <v>4441</v>
      </c>
      <c r="N32" s="1918">
        <f>výdavky!L487+výdavky!L549</f>
        <v>4441</v>
      </c>
    </row>
    <row r="33" spans="1:14" x14ac:dyDescent="0.2">
      <c r="A33" s="1850">
        <v>27</v>
      </c>
      <c r="B33" s="1906"/>
      <c r="C33" s="1887" t="s">
        <v>369</v>
      </c>
      <c r="D33" s="1908">
        <v>7</v>
      </c>
      <c r="E33" s="1917" t="s">
        <v>394</v>
      </c>
      <c r="F33" s="1909"/>
      <c r="G33" s="1910"/>
      <c r="H33" s="1918">
        <f>výdavky!F504+výdavky!F561</f>
        <v>2900</v>
      </c>
      <c r="I33" s="1918">
        <f>výdavky!G561+výdavky!G504</f>
        <v>600</v>
      </c>
      <c r="J33" s="1918">
        <f>výdavky!H504+výdavky!H561</f>
        <v>600</v>
      </c>
      <c r="K33" s="1918">
        <f>výdavky!I504+výdavky!I561</f>
        <v>3600</v>
      </c>
      <c r="L33" s="1918">
        <f>výdavky!J504+výdavky!J561</f>
        <v>3300</v>
      </c>
      <c r="M33" s="1918">
        <f>výdavky!K504+výdavky!K561</f>
        <v>3300</v>
      </c>
      <c r="N33" s="1918">
        <f>výdavky!L504+výdavky!L561</f>
        <v>3300</v>
      </c>
    </row>
    <row r="34" spans="1:14" x14ac:dyDescent="0.2">
      <c r="A34" s="1850">
        <v>28</v>
      </c>
      <c r="B34" s="1906"/>
      <c r="C34" s="1887" t="s">
        <v>369</v>
      </c>
      <c r="D34" s="1908">
        <v>8</v>
      </c>
      <c r="E34" s="1917" t="s">
        <v>395</v>
      </c>
      <c r="F34" s="1909"/>
      <c r="G34" s="1910"/>
      <c r="H34" s="1918">
        <f>výdavky!F488+výdavky!F550</f>
        <v>482</v>
      </c>
      <c r="I34" s="1918">
        <f>výdavky!G488+výdavky!G550</f>
        <v>548</v>
      </c>
      <c r="J34" s="1918">
        <f>výdavky!H488+výdavky!H550</f>
        <v>548</v>
      </c>
      <c r="K34" s="1918">
        <f>výdavky!I550+výdavky!I488</f>
        <v>365</v>
      </c>
      <c r="L34" s="1918">
        <f>výdavky!J488+výdavky!J550</f>
        <v>365</v>
      </c>
      <c r="M34" s="1918">
        <f>výdavky!K488+výdavky!K550</f>
        <v>365</v>
      </c>
      <c r="N34" s="1918">
        <f>výdavky!L488+výdavky!L550</f>
        <v>365</v>
      </c>
    </row>
    <row r="35" spans="1:14" x14ac:dyDescent="0.2">
      <c r="A35" s="1850">
        <v>29</v>
      </c>
      <c r="B35" s="1906"/>
      <c r="C35" s="1887" t="s">
        <v>369</v>
      </c>
      <c r="D35" s="1908">
        <v>9</v>
      </c>
      <c r="E35" s="1919" t="s">
        <v>955</v>
      </c>
      <c r="F35" s="1913"/>
      <c r="G35" s="1914"/>
      <c r="H35" s="1920">
        <f>výdavky!F507+výdavky!F551</f>
        <v>950</v>
      </c>
      <c r="I35" s="1921">
        <f>výdavky!G551+výdavky!G493</f>
        <v>0</v>
      </c>
      <c r="J35" s="1921">
        <f>výdavky!H551+výdavky!H493</f>
        <v>0</v>
      </c>
      <c r="K35" s="1921">
        <v>0</v>
      </c>
      <c r="L35" s="1921">
        <f>výdavky!J493+výdavky!J551</f>
        <v>0</v>
      </c>
      <c r="M35" s="1921">
        <v>0</v>
      </c>
      <c r="N35" s="1921">
        <v>0</v>
      </c>
    </row>
    <row r="36" spans="1:14" x14ac:dyDescent="0.2">
      <c r="A36" s="1850">
        <v>30</v>
      </c>
      <c r="B36" s="1906"/>
      <c r="C36" s="1887" t="s">
        <v>369</v>
      </c>
      <c r="D36" s="663" t="s">
        <v>270</v>
      </c>
      <c r="E36" s="1917" t="s">
        <v>396</v>
      </c>
      <c r="F36" s="1894"/>
      <c r="G36" s="1895"/>
      <c r="H36" s="1922">
        <f>výdavky!F498+výdavky!F555</f>
        <v>3380</v>
      </c>
      <c r="I36" s="1918">
        <f>výdavky!G498+výdavky!G555</f>
        <v>8276</v>
      </c>
      <c r="J36" s="1918">
        <f>výdavky!H498+výdavky!H555</f>
        <v>8898</v>
      </c>
      <c r="K36" s="1918">
        <f>výdavky!I498+výdavky!I555</f>
        <v>8134</v>
      </c>
      <c r="L36" s="1918">
        <f>výdavky!J498+výdavky!J555</f>
        <v>9032</v>
      </c>
      <c r="M36" s="1918">
        <f>výdavky!K498+výdavky!K555</f>
        <v>9032</v>
      </c>
      <c r="N36" s="1918">
        <f>výdavky!L498+výdavky!L555</f>
        <v>9032</v>
      </c>
    </row>
    <row r="37" spans="1:14" x14ac:dyDescent="0.2">
      <c r="A37" s="1850">
        <v>31</v>
      </c>
      <c r="B37" s="1906"/>
      <c r="C37" s="1887" t="s">
        <v>369</v>
      </c>
      <c r="D37" s="663" t="s">
        <v>360</v>
      </c>
      <c r="E37" s="1917" t="s">
        <v>671</v>
      </c>
      <c r="F37" s="1894"/>
      <c r="G37" s="1895"/>
      <c r="H37" s="1922">
        <f>výdavky!F503+výdavky!F560</f>
        <v>5973</v>
      </c>
      <c r="I37" s="1918">
        <f>výdavky!G560+výdavky!G503</f>
        <v>9126</v>
      </c>
      <c r="J37" s="1918">
        <f>výdavky!H503+výdavky!H560</f>
        <v>8284</v>
      </c>
      <c r="K37" s="1918">
        <f>výdavky!I560+výdavky!I503</f>
        <v>6525</v>
      </c>
      <c r="L37" s="1918">
        <f>výdavky!J503+výdavky!J560</f>
        <v>6578</v>
      </c>
      <c r="M37" s="1918">
        <f>výdavky!K503+výdavky!K560</f>
        <v>6578</v>
      </c>
      <c r="N37" s="1918">
        <f>výdavky!L503+výdavky!L560</f>
        <v>6578</v>
      </c>
    </row>
    <row r="38" spans="1:14" x14ac:dyDescent="0.2">
      <c r="A38" s="1850">
        <v>32</v>
      </c>
      <c r="B38" s="1906"/>
      <c r="C38" s="1887" t="s">
        <v>369</v>
      </c>
      <c r="D38" s="663" t="s">
        <v>366</v>
      </c>
      <c r="E38" s="1917" t="s">
        <v>752</v>
      </c>
      <c r="F38" s="1894"/>
      <c r="G38" s="1895"/>
      <c r="H38" s="1922">
        <f>výdavky!F494+výdavky!F553</f>
        <v>0</v>
      </c>
      <c r="I38" s="1918">
        <f>výdavky!G494+výdavky!G553</f>
        <v>5400</v>
      </c>
      <c r="J38" s="1918">
        <f>výdavky!H494+výdavky!H553</f>
        <v>8500</v>
      </c>
      <c r="K38" s="1918">
        <f>výdavky!I494+výdavky!I553</f>
        <v>7150</v>
      </c>
      <c r="L38" s="1918">
        <f>výdavky!J494+výdavky!J553</f>
        <v>7000</v>
      </c>
      <c r="M38" s="1918">
        <f>výdavky!K494+výdavky!K553</f>
        <v>7000</v>
      </c>
      <c r="N38" s="1918">
        <f>výdavky!L494+výdavky!L553</f>
        <v>7000</v>
      </c>
    </row>
    <row r="39" spans="1:14" x14ac:dyDescent="0.2">
      <c r="A39" s="1850">
        <v>33</v>
      </c>
      <c r="B39" s="1906"/>
      <c r="C39" s="1887" t="s">
        <v>369</v>
      </c>
      <c r="D39" s="663" t="s">
        <v>670</v>
      </c>
      <c r="E39" s="1919" t="s">
        <v>1001</v>
      </c>
      <c r="F39" s="1894"/>
      <c r="G39" s="1895"/>
      <c r="H39" s="1918">
        <f>výdavky!F489+výdavky!F490+výdavky!F491+výdavky!F493+výdavky!F552</f>
        <v>12600</v>
      </c>
      <c r="I39" s="1918">
        <f>výdavky!G489+výdavky!G490+výdavky!G491+výdavky!G552+výdavky!G562</f>
        <v>14380</v>
      </c>
      <c r="J39" s="1918">
        <f>výdavky!H552+výdavky!H489+výdavky!H490+výdavky!H491</f>
        <v>15100</v>
      </c>
      <c r="K39" s="1918">
        <f>výdavky!I489+výdavky!I490+výdavky!I491+výdavky!I492+výdavky!I493</f>
        <v>5076</v>
      </c>
      <c r="L39" s="1918">
        <f>výdavky!J552+výdavky!J489+výdavky!J490+výdavky!J491</f>
        <v>0</v>
      </c>
      <c r="M39" s="1918">
        <f>výdavky!K552+výdavky!K489+výdavky!K490+výdavky!K491</f>
        <v>0</v>
      </c>
      <c r="N39" s="1918">
        <f>výdavky!L552+výdavky!L489+výdavky!L490+výdavky!L491</f>
        <v>0</v>
      </c>
    </row>
    <row r="40" spans="1:14" x14ac:dyDescent="0.2">
      <c r="A40" s="1850">
        <v>34</v>
      </c>
      <c r="B40" s="1201"/>
      <c r="C40" s="1887"/>
      <c r="D40" s="1863" t="s">
        <v>183</v>
      </c>
      <c r="E40" s="1898"/>
      <c r="F40" s="1899"/>
      <c r="G40" s="1900">
        <f t="shared" ref="G40:N41" si="6">G41</f>
        <v>0</v>
      </c>
      <c r="H40" s="1923">
        <f>H41</f>
        <v>0</v>
      </c>
      <c r="I40" s="1867">
        <f t="shared" si="6"/>
        <v>20880</v>
      </c>
      <c r="J40" s="1867">
        <f>J41</f>
        <v>0</v>
      </c>
      <c r="K40" s="1867">
        <f t="shared" si="6"/>
        <v>0</v>
      </c>
      <c r="L40" s="1867">
        <f t="shared" si="6"/>
        <v>0</v>
      </c>
      <c r="M40" s="1867">
        <f t="shared" si="6"/>
        <v>0</v>
      </c>
      <c r="N40" s="1867">
        <f t="shared" si="6"/>
        <v>0</v>
      </c>
    </row>
    <row r="41" spans="1:14" x14ac:dyDescent="0.2">
      <c r="A41" s="1850">
        <f t="shared" ref="A41:A53" si="7">A40+1</f>
        <v>35</v>
      </c>
      <c r="B41" s="1201"/>
      <c r="C41" s="1882" t="s">
        <v>389</v>
      </c>
      <c r="D41" s="1883" t="s">
        <v>390</v>
      </c>
      <c r="E41" s="1884"/>
      <c r="F41" s="1884"/>
      <c r="G41" s="1885">
        <f t="shared" si="6"/>
        <v>0</v>
      </c>
      <c r="H41" s="1924">
        <f>H42+H43</f>
        <v>0</v>
      </c>
      <c r="I41" s="1886">
        <f t="shared" si="6"/>
        <v>20880</v>
      </c>
      <c r="J41" s="1886">
        <f>J42+J43</f>
        <v>0</v>
      </c>
      <c r="K41" s="1886">
        <f t="shared" si="6"/>
        <v>0</v>
      </c>
      <c r="L41" s="1886">
        <f>L42+L43</f>
        <v>0</v>
      </c>
      <c r="M41" s="1886">
        <f t="shared" si="6"/>
        <v>0</v>
      </c>
      <c r="N41" s="1886">
        <f t="shared" si="6"/>
        <v>0</v>
      </c>
    </row>
    <row r="42" spans="1:14" x14ac:dyDescent="0.2">
      <c r="A42" s="1850">
        <f t="shared" si="7"/>
        <v>36</v>
      </c>
      <c r="B42" s="1850"/>
      <c r="C42" s="1887" t="s">
        <v>291</v>
      </c>
      <c r="D42" s="663" t="s">
        <v>791</v>
      </c>
      <c r="E42" s="1681" t="s">
        <v>1002</v>
      </c>
      <c r="F42" s="1925"/>
      <c r="G42" s="1926"/>
      <c r="H42" s="1362">
        <f>výdavky!F753</f>
        <v>0</v>
      </c>
      <c r="I42" s="1362">
        <f>výdavky!G753</f>
        <v>20880</v>
      </c>
      <c r="J42" s="1362">
        <f>výdavky!H752</f>
        <v>0</v>
      </c>
      <c r="K42" s="1362">
        <f>výdavky!I755</f>
        <v>0</v>
      </c>
      <c r="L42" s="1362">
        <f>výdavky!J755</f>
        <v>0</v>
      </c>
      <c r="M42" s="1362">
        <f>výdavky!K753</f>
        <v>0</v>
      </c>
      <c r="N42" s="1362">
        <f>výdavky!L753</f>
        <v>0</v>
      </c>
    </row>
    <row r="43" spans="1:14" x14ac:dyDescent="0.2">
      <c r="A43" s="1850">
        <f t="shared" si="7"/>
        <v>37</v>
      </c>
      <c r="B43" s="1850"/>
      <c r="C43" s="1887" t="s">
        <v>291</v>
      </c>
      <c r="D43" s="663" t="s">
        <v>792</v>
      </c>
      <c r="E43" s="1681" t="s">
        <v>954</v>
      </c>
      <c r="F43" s="1681"/>
      <c r="G43" s="1889"/>
      <c r="H43" s="1362"/>
      <c r="I43" s="1362">
        <v>0</v>
      </c>
      <c r="J43" s="1362">
        <f>výdavky!H754</f>
        <v>0</v>
      </c>
      <c r="K43" s="1362">
        <f>výdavky!I754</f>
        <v>0</v>
      </c>
      <c r="L43" s="1362">
        <f>výdavky!J754</f>
        <v>0</v>
      </c>
      <c r="M43" s="1362">
        <v>0</v>
      </c>
      <c r="N43" s="1362">
        <v>0</v>
      </c>
    </row>
    <row r="44" spans="1:14" x14ac:dyDescent="0.2">
      <c r="A44" s="1850">
        <f t="shared" si="7"/>
        <v>38</v>
      </c>
      <c r="B44" s="1873">
        <v>3</v>
      </c>
      <c r="C44" s="1874" t="s">
        <v>397</v>
      </c>
      <c r="D44" s="1875"/>
      <c r="E44" s="1875"/>
      <c r="F44" s="1875"/>
      <c r="G44" s="1876" t="e">
        <f>#REF!+#REF!</f>
        <v>#REF!</v>
      </c>
      <c r="H44" s="1877">
        <f>H45</f>
        <v>94417</v>
      </c>
      <c r="I44" s="1877">
        <f t="shared" ref="I44:N45" si="8">I45</f>
        <v>111963</v>
      </c>
      <c r="J44" s="1877">
        <f>J45</f>
        <v>110917</v>
      </c>
      <c r="K44" s="1877">
        <f t="shared" si="8"/>
        <v>114234</v>
      </c>
      <c r="L44" s="1877">
        <f t="shared" si="8"/>
        <v>116300</v>
      </c>
      <c r="M44" s="1877">
        <f t="shared" si="8"/>
        <v>118385</v>
      </c>
      <c r="N44" s="1877">
        <f t="shared" si="8"/>
        <v>121385</v>
      </c>
    </row>
    <row r="45" spans="1:14" x14ac:dyDescent="0.2">
      <c r="A45" s="1850">
        <f t="shared" si="7"/>
        <v>39</v>
      </c>
      <c r="B45" s="1878"/>
      <c r="C45" s="1879"/>
      <c r="D45" s="1858" t="s">
        <v>181</v>
      </c>
      <c r="E45" s="1880"/>
      <c r="F45" s="1880"/>
      <c r="G45" s="1881">
        <f>G46</f>
        <v>2489.6</v>
      </c>
      <c r="H45" s="1861">
        <f>H46</f>
        <v>94417</v>
      </c>
      <c r="I45" s="1861">
        <f t="shared" si="8"/>
        <v>111963</v>
      </c>
      <c r="J45" s="1861">
        <f>J46</f>
        <v>110917</v>
      </c>
      <c r="K45" s="1861">
        <f t="shared" si="8"/>
        <v>114234</v>
      </c>
      <c r="L45" s="1861">
        <f t="shared" si="8"/>
        <v>116300</v>
      </c>
      <c r="M45" s="1861">
        <f t="shared" si="8"/>
        <v>118385</v>
      </c>
      <c r="N45" s="1861">
        <f t="shared" si="8"/>
        <v>121385</v>
      </c>
    </row>
    <row r="46" spans="1:14" x14ac:dyDescent="0.2">
      <c r="A46" s="1850">
        <f t="shared" si="7"/>
        <v>40</v>
      </c>
      <c r="B46" s="1201"/>
      <c r="C46" s="1882" t="s">
        <v>398</v>
      </c>
      <c r="D46" s="1883" t="s">
        <v>399</v>
      </c>
      <c r="E46" s="1884"/>
      <c r="F46" s="1884"/>
      <c r="G46" s="1885">
        <f>SUM(G47:G55)</f>
        <v>2489.6</v>
      </c>
      <c r="H46" s="1886">
        <f>SUM(H47:H56)</f>
        <v>94417</v>
      </c>
      <c r="I46" s="1886">
        <f>SUM(I47:I55)+I56</f>
        <v>111963</v>
      </c>
      <c r="J46" s="1886">
        <f>SUM(J47:J56)</f>
        <v>110917</v>
      </c>
      <c r="K46" s="1886">
        <f>SUM(K47:K55)+K56</f>
        <v>114234</v>
      </c>
      <c r="L46" s="1886">
        <f>SUM(L47:L55)+L56</f>
        <v>116300</v>
      </c>
      <c r="M46" s="1886">
        <f>SUM(M47:M55)+M56</f>
        <v>118385</v>
      </c>
      <c r="N46" s="1886">
        <f>SUM(N47:N55)+N56</f>
        <v>121385</v>
      </c>
    </row>
    <row r="47" spans="1:14" x14ac:dyDescent="0.2">
      <c r="A47" s="1850">
        <f t="shared" si="7"/>
        <v>41</v>
      </c>
      <c r="B47" s="1201"/>
      <c r="C47" s="1887" t="s">
        <v>190</v>
      </c>
      <c r="D47" s="663" t="s">
        <v>215</v>
      </c>
      <c r="E47" s="1888" t="s">
        <v>243</v>
      </c>
      <c r="F47" s="1888"/>
      <c r="G47" s="1889">
        <f>ROUND(M47/30.126,1)</f>
        <v>1792.5</v>
      </c>
      <c r="H47" s="1362">
        <f>výdavky!F567+výdavky!F568</f>
        <v>43000</v>
      </c>
      <c r="I47" s="1362">
        <f>výdavky!G567+výdavky!G568</f>
        <v>54000</v>
      </c>
      <c r="J47" s="1362">
        <f>výdavky!H567+výdavky!H568</f>
        <v>55500</v>
      </c>
      <c r="K47" s="1362">
        <f>výdavky!I567</f>
        <v>53900</v>
      </c>
      <c r="L47" s="1362">
        <f>výdavky!J567</f>
        <v>55500</v>
      </c>
      <c r="M47" s="1362">
        <f>výdavky!K567</f>
        <v>54000</v>
      </c>
      <c r="N47" s="1362">
        <f>výdavky!L567</f>
        <v>54000</v>
      </c>
    </row>
    <row r="48" spans="1:14" x14ac:dyDescent="0.2">
      <c r="A48" s="1850">
        <f t="shared" si="7"/>
        <v>42</v>
      </c>
      <c r="B48" s="1201"/>
      <c r="C48" s="1887" t="s">
        <v>192</v>
      </c>
      <c r="D48" s="663" t="s">
        <v>217</v>
      </c>
      <c r="E48" s="1888" t="s">
        <v>400</v>
      </c>
      <c r="F48" s="1888"/>
      <c r="G48" s="1889">
        <f>ROUND(M48/30.126,1)</f>
        <v>630.70000000000005</v>
      </c>
      <c r="H48" s="1362">
        <f>výdavky!F569</f>
        <v>15000</v>
      </c>
      <c r="I48" s="1362">
        <f>výdavky!G569</f>
        <v>18400</v>
      </c>
      <c r="J48" s="1362">
        <f>výdavky!H569</f>
        <v>19000</v>
      </c>
      <c r="K48" s="1362">
        <f>výdavky!I569</f>
        <v>19200</v>
      </c>
      <c r="L48" s="1362">
        <f>výdavky!J569</f>
        <v>19000</v>
      </c>
      <c r="M48" s="1362">
        <f>výdavky!K569</f>
        <v>19000</v>
      </c>
      <c r="N48" s="1362">
        <f>výdavky!L569</f>
        <v>19000</v>
      </c>
    </row>
    <row r="49" spans="1:14" x14ac:dyDescent="0.2">
      <c r="A49" s="1850">
        <f t="shared" si="7"/>
        <v>43</v>
      </c>
      <c r="B49" s="1201"/>
      <c r="C49" s="1887" t="s">
        <v>196</v>
      </c>
      <c r="D49" s="663" t="s">
        <v>228</v>
      </c>
      <c r="E49" s="1888" t="s">
        <v>344</v>
      </c>
      <c r="F49" s="1888"/>
      <c r="G49" s="1889"/>
      <c r="H49" s="1362">
        <f>výdavky!F571</f>
        <v>6000</v>
      </c>
      <c r="I49" s="1362">
        <f>výdavky!G571</f>
        <v>10000</v>
      </c>
      <c r="J49" s="1362">
        <f>výdavky!H571</f>
        <v>6000</v>
      </c>
      <c r="K49" s="1362">
        <f>výdavky!I571</f>
        <v>5000</v>
      </c>
      <c r="L49" s="1362">
        <f>výdavky!J571</f>
        <v>6000</v>
      </c>
      <c r="M49" s="1362">
        <f>výdavky!K571</f>
        <v>8185</v>
      </c>
      <c r="N49" s="1362">
        <f>výdavky!L571</f>
        <v>8185</v>
      </c>
    </row>
    <row r="50" spans="1:14" x14ac:dyDescent="0.2">
      <c r="A50" s="1850">
        <f t="shared" si="7"/>
        <v>44</v>
      </c>
      <c r="B50" s="1201"/>
      <c r="C50" s="1887" t="s">
        <v>198</v>
      </c>
      <c r="D50" s="663" t="s">
        <v>230</v>
      </c>
      <c r="E50" s="1888" t="s">
        <v>401</v>
      </c>
      <c r="F50" s="1888"/>
      <c r="G50" s="1889">
        <f>ROUND(M50/30.126,1)</f>
        <v>66.400000000000006</v>
      </c>
      <c r="H50" s="1362">
        <f>výdavky!F572+výdavky!F573</f>
        <v>2000</v>
      </c>
      <c r="I50" s="1362">
        <f>výdavky!G572+výdavky!G573</f>
        <v>2000</v>
      </c>
      <c r="J50" s="1362">
        <f>výdavky!H572</f>
        <v>2000</v>
      </c>
      <c r="K50" s="1362">
        <f>výdavky!I572</f>
        <v>2000</v>
      </c>
      <c r="L50" s="1362">
        <f>výdavky!J572</f>
        <v>2000</v>
      </c>
      <c r="M50" s="1362">
        <f>výdavky!K572</f>
        <v>2000</v>
      </c>
      <c r="N50" s="1362">
        <f>výdavky!L572</f>
        <v>2000</v>
      </c>
    </row>
    <row r="51" spans="1:14" x14ac:dyDescent="0.2">
      <c r="A51" s="1850">
        <f t="shared" si="7"/>
        <v>45</v>
      </c>
      <c r="B51" s="1201"/>
      <c r="C51" s="1887" t="s">
        <v>198</v>
      </c>
      <c r="D51" s="663" t="s">
        <v>232</v>
      </c>
      <c r="E51" s="1888" t="s">
        <v>385</v>
      </c>
      <c r="F51" s="1888"/>
      <c r="G51" s="1889"/>
      <c r="H51" s="1362">
        <f>výdavky!F574</f>
        <v>25000</v>
      </c>
      <c r="I51" s="1362">
        <f>výdavky!G574</f>
        <v>23746</v>
      </c>
      <c r="J51" s="1362">
        <f>výdavky!H574</f>
        <v>25000</v>
      </c>
      <c r="K51" s="1362">
        <f>výdavky!I574</f>
        <v>29617</v>
      </c>
      <c r="L51" s="1362">
        <f>výdavky!J574</f>
        <v>30000</v>
      </c>
      <c r="M51" s="1362">
        <f>výdavky!K574</f>
        <v>32000</v>
      </c>
      <c r="N51" s="1362">
        <f>výdavky!L574</f>
        <v>35000</v>
      </c>
    </row>
    <row r="52" spans="1:14" x14ac:dyDescent="0.2">
      <c r="A52" s="1850">
        <f t="shared" si="7"/>
        <v>46</v>
      </c>
      <c r="B52" s="1201"/>
      <c r="C52" s="1887" t="s">
        <v>198</v>
      </c>
      <c r="D52" s="663" t="s">
        <v>236</v>
      </c>
      <c r="E52" s="1888" t="s">
        <v>402</v>
      </c>
      <c r="F52" s="1888"/>
      <c r="G52" s="1889"/>
      <c r="H52" s="1362">
        <f>výdavky!F575</f>
        <v>1117</v>
      </c>
      <c r="I52" s="1362">
        <f>výdavky!G575</f>
        <v>1117</v>
      </c>
      <c r="J52" s="1362">
        <f>výdavky!H575</f>
        <v>1117</v>
      </c>
      <c r="K52" s="1362">
        <f>výdavky!I575+výdavky!I573</f>
        <v>2217</v>
      </c>
      <c r="L52" s="1362">
        <f>výdavky!J575</f>
        <v>1500</v>
      </c>
      <c r="M52" s="1362">
        <f>výdavky!K575</f>
        <v>1500</v>
      </c>
      <c r="N52" s="1362">
        <f>výdavky!L575</f>
        <v>1500</v>
      </c>
    </row>
    <row r="53" spans="1:14" x14ac:dyDescent="0.2">
      <c r="A53" s="1850">
        <f t="shared" si="7"/>
        <v>47</v>
      </c>
      <c r="B53" s="1201"/>
      <c r="C53" s="1887" t="s">
        <v>202</v>
      </c>
      <c r="D53" s="663" t="s">
        <v>238</v>
      </c>
      <c r="E53" s="1888" t="s">
        <v>278</v>
      </c>
      <c r="F53" s="1888"/>
      <c r="G53" s="1889"/>
      <c r="H53" s="1362">
        <f>výdavky!F576</f>
        <v>500</v>
      </c>
      <c r="I53" s="1362">
        <f>výdavky!G576</f>
        <v>500</v>
      </c>
      <c r="J53" s="1362">
        <f>výdavky!H576</f>
        <v>500</v>
      </c>
      <c r="K53" s="1362">
        <f>výdavky!I576</f>
        <v>500</v>
      </c>
      <c r="L53" s="1362">
        <f>výdavky!J576</f>
        <v>500</v>
      </c>
      <c r="M53" s="1362">
        <f>výdavky!K576</f>
        <v>500</v>
      </c>
      <c r="N53" s="1362">
        <f>výdavky!L576</f>
        <v>500</v>
      </c>
    </row>
    <row r="54" spans="1:14" s="1470" customFormat="1" x14ac:dyDescent="0.2">
      <c r="A54" s="1850">
        <v>48</v>
      </c>
      <c r="B54" s="1201"/>
      <c r="C54" s="1887" t="s">
        <v>204</v>
      </c>
      <c r="D54" s="663" t="s">
        <v>266</v>
      </c>
      <c r="E54" s="1888" t="s">
        <v>769</v>
      </c>
      <c r="F54" s="1888"/>
      <c r="G54" s="1889"/>
      <c r="H54" s="1362">
        <f>výdavky!F577</f>
        <v>1000</v>
      </c>
      <c r="I54" s="1362">
        <f>výdavky!G577</f>
        <v>2000</v>
      </c>
      <c r="J54" s="1362">
        <f>výdavky!H577</f>
        <v>1000</v>
      </c>
      <c r="K54" s="1362">
        <f>výdavky!I577</f>
        <v>1000</v>
      </c>
      <c r="L54" s="1362">
        <f>výdavky!J577</f>
        <v>1000</v>
      </c>
      <c r="M54" s="1362">
        <f>výdavky!K577</f>
        <v>1000</v>
      </c>
      <c r="N54" s="1362">
        <f>výdavky!L577</f>
        <v>1000</v>
      </c>
    </row>
    <row r="55" spans="1:14" x14ac:dyDescent="0.2">
      <c r="A55" s="1850">
        <v>49</v>
      </c>
      <c r="B55" s="1201"/>
      <c r="C55" s="1887" t="s">
        <v>206</v>
      </c>
      <c r="D55" s="663" t="s">
        <v>268</v>
      </c>
      <c r="E55" s="1888" t="s">
        <v>207</v>
      </c>
      <c r="F55" s="1888"/>
      <c r="G55" s="1889"/>
      <c r="H55" s="1362">
        <f>výdavky!F578</f>
        <v>800</v>
      </c>
      <c r="I55" s="1362">
        <f>výdavky!G578</f>
        <v>200</v>
      </c>
      <c r="J55" s="1362">
        <f>výdavky!H578</f>
        <v>800</v>
      </c>
      <c r="K55" s="1362">
        <f>výdavky!I578</f>
        <v>800</v>
      </c>
      <c r="L55" s="1362">
        <f>výdavky!J578</f>
        <v>800</v>
      </c>
      <c r="M55" s="1362">
        <f>výdavky!K578</f>
        <v>200</v>
      </c>
      <c r="N55" s="1362">
        <f>výdavky!L578</f>
        <v>200</v>
      </c>
    </row>
    <row r="56" spans="1:14" x14ac:dyDescent="0.2">
      <c r="A56" s="1201">
        <v>50</v>
      </c>
      <c r="B56" s="1927"/>
      <c r="C56" s="1928">
        <v>642</v>
      </c>
      <c r="D56" s="1201">
        <v>10</v>
      </c>
      <c r="E56" s="1830" t="s">
        <v>677</v>
      </c>
      <c r="F56" s="1830"/>
      <c r="G56" s="1830"/>
      <c r="H56" s="1014">
        <f>výdavky!F579</f>
        <v>0</v>
      </c>
      <c r="I56" s="1014">
        <f>výdavky!G579</f>
        <v>0</v>
      </c>
      <c r="J56" s="1014">
        <f>výdavky!H579</f>
        <v>0</v>
      </c>
      <c r="K56" s="1014">
        <f>výdavky!G579</f>
        <v>0</v>
      </c>
      <c r="L56" s="1014">
        <f>výdavky!J579</f>
        <v>0</v>
      </c>
      <c r="M56" s="1014">
        <f>výdavky!K579</f>
        <v>0</v>
      </c>
      <c r="N56" s="1014">
        <f>výdavky!L579</f>
        <v>0</v>
      </c>
    </row>
    <row r="57" spans="1:14" s="1829" customFormat="1" x14ac:dyDescent="0.2">
      <c r="A57" s="1201"/>
      <c r="B57" s="1927"/>
      <c r="C57" s="1928"/>
      <c r="D57" s="1863" t="s">
        <v>183</v>
      </c>
      <c r="E57" s="1898"/>
      <c r="F57" s="1899"/>
      <c r="G57" s="1830"/>
      <c r="H57" s="1434"/>
      <c r="I57" s="1434"/>
      <c r="J57" s="1434"/>
      <c r="K57" s="1434">
        <f t="shared" ref="K57:N58" si="9">K58</f>
        <v>1958</v>
      </c>
      <c r="L57" s="1434">
        <f t="shared" si="9"/>
        <v>0</v>
      </c>
      <c r="M57" s="1434">
        <f t="shared" si="9"/>
        <v>0</v>
      </c>
      <c r="N57" s="1434">
        <f t="shared" si="9"/>
        <v>0</v>
      </c>
    </row>
    <row r="58" spans="1:14" s="1829" customFormat="1" x14ac:dyDescent="0.2">
      <c r="A58" s="1201"/>
      <c r="B58" s="1927"/>
      <c r="C58" s="1882" t="s">
        <v>398</v>
      </c>
      <c r="D58" s="1883" t="s">
        <v>399</v>
      </c>
      <c r="E58" s="1884"/>
      <c r="F58" s="1884"/>
      <c r="G58" s="1830"/>
      <c r="H58" s="1929"/>
      <c r="I58" s="1929"/>
      <c r="J58" s="1929"/>
      <c r="K58" s="1929">
        <f t="shared" si="9"/>
        <v>1958</v>
      </c>
      <c r="L58" s="1929">
        <f t="shared" si="9"/>
        <v>0</v>
      </c>
      <c r="M58" s="1929">
        <f t="shared" si="9"/>
        <v>0</v>
      </c>
      <c r="N58" s="1929">
        <f t="shared" si="9"/>
        <v>0</v>
      </c>
    </row>
    <row r="59" spans="1:14" s="1829" customFormat="1" x14ac:dyDescent="0.2">
      <c r="A59" s="1201"/>
      <c r="B59" s="1927"/>
      <c r="C59" s="1887" t="s">
        <v>291</v>
      </c>
      <c r="D59" s="663" t="s">
        <v>215</v>
      </c>
      <c r="E59" s="1888" t="s">
        <v>456</v>
      </c>
      <c r="F59" s="1888"/>
      <c r="G59" s="1830"/>
      <c r="H59" s="1014"/>
      <c r="I59" s="1014"/>
      <c r="J59" s="1014"/>
      <c r="K59" s="1014">
        <f>výdavky!I760</f>
        <v>1958</v>
      </c>
      <c r="L59" s="1014"/>
      <c r="M59" s="1014"/>
      <c r="N59" s="1014"/>
    </row>
    <row r="60" spans="1:14" x14ac:dyDescent="0.2">
      <c r="A60" s="1201">
        <v>51</v>
      </c>
      <c r="B60" s="1873">
        <v>4</v>
      </c>
      <c r="C60" s="1874" t="s">
        <v>790</v>
      </c>
      <c r="D60" s="1875"/>
      <c r="E60" s="1875"/>
      <c r="F60" s="1875"/>
      <c r="G60" s="1307"/>
      <c r="H60" s="1202">
        <f t="shared" ref="H60:K61" si="10">H61</f>
        <v>0</v>
      </c>
      <c r="I60" s="1202">
        <f t="shared" si="10"/>
        <v>300</v>
      </c>
      <c r="J60" s="1202">
        <f t="shared" si="10"/>
        <v>0</v>
      </c>
      <c r="K60" s="1202">
        <f t="shared" si="10"/>
        <v>300</v>
      </c>
      <c r="L60" s="1212">
        <f t="shared" ref="L60:N61" si="11">L61</f>
        <v>300</v>
      </c>
      <c r="M60" s="1212">
        <f t="shared" si="11"/>
        <v>300</v>
      </c>
      <c r="N60" s="1212">
        <f t="shared" si="11"/>
        <v>300</v>
      </c>
    </row>
    <row r="61" spans="1:14" x14ac:dyDescent="0.2">
      <c r="A61" s="1201">
        <v>52</v>
      </c>
      <c r="B61" s="1927"/>
      <c r="C61" s="1928"/>
      <c r="D61" s="1858" t="s">
        <v>181</v>
      </c>
      <c r="E61" s="1880"/>
      <c r="F61" s="1880"/>
      <c r="G61" s="1203"/>
      <c r="H61" s="1203">
        <f t="shared" si="10"/>
        <v>0</v>
      </c>
      <c r="I61" s="1203">
        <f t="shared" si="10"/>
        <v>300</v>
      </c>
      <c r="J61" s="1203">
        <f t="shared" si="10"/>
        <v>0</v>
      </c>
      <c r="K61" s="1203">
        <f t="shared" si="10"/>
        <v>300</v>
      </c>
      <c r="L61" s="1213">
        <f t="shared" si="11"/>
        <v>300</v>
      </c>
      <c r="M61" s="1213">
        <f t="shared" si="11"/>
        <v>300</v>
      </c>
      <c r="N61" s="1213">
        <f t="shared" si="11"/>
        <v>300</v>
      </c>
    </row>
    <row r="62" spans="1:14" x14ac:dyDescent="0.2">
      <c r="A62" s="1201">
        <v>53</v>
      </c>
      <c r="B62" s="1927"/>
      <c r="C62" s="1928">
        <v>640</v>
      </c>
      <c r="D62" s="1928">
        <v>1</v>
      </c>
      <c r="E62" s="2039" t="s">
        <v>793</v>
      </c>
      <c r="F62" s="2039"/>
      <c r="G62" s="1928"/>
      <c r="H62" s="1930">
        <f>výdavky!F581</f>
        <v>0</v>
      </c>
      <c r="I62" s="1930">
        <f>výdavky!G581</f>
        <v>300</v>
      </c>
      <c r="J62" s="1930">
        <f>výdavky!H581</f>
        <v>0</v>
      </c>
      <c r="K62" s="1930">
        <f>výdavky!I581</f>
        <v>300</v>
      </c>
      <c r="L62" s="1014">
        <f>výdavky!J581</f>
        <v>300</v>
      </c>
      <c r="M62" s="1014">
        <f>výdavky!K581</f>
        <v>300</v>
      </c>
      <c r="N62" s="1014">
        <f>výdavky!L581</f>
        <v>300</v>
      </c>
    </row>
    <row r="63" spans="1:14" x14ac:dyDescent="0.2">
      <c r="N63" s="398"/>
    </row>
  </sheetData>
  <mergeCells count="3">
    <mergeCell ref="G3:N3"/>
    <mergeCell ref="D4:F6"/>
    <mergeCell ref="E62:F62"/>
  </mergeCells>
  <phoneticPr fontId="44" type="noConversion"/>
  <pageMargins left="0.25" right="0.25" top="0.75" bottom="0.75" header="0.3" footer="0.3"/>
  <pageSetup paperSize="9" scale="85" firstPageNumber="0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0"/>
  <sheetViews>
    <sheetView tabSelected="1" zoomScaleNormal="100" workbookViewId="0">
      <selection activeCell="J41" sqref="J41"/>
    </sheetView>
  </sheetViews>
  <sheetFormatPr defaultRowHeight="12.75" x14ac:dyDescent="0.2"/>
  <cols>
    <col min="1" max="1" width="3.5703125" style="95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7.85546875" customWidth="1"/>
    <col min="7" max="7" width="0" hidden="1" customWidth="1"/>
    <col min="10" max="10" width="9.42578125" bestFit="1" customWidth="1"/>
    <col min="12" max="12" width="7.5703125" customWidth="1"/>
    <col min="13" max="13" width="8.42578125" customWidth="1"/>
    <col min="14" max="14" width="7.28515625" customWidth="1"/>
  </cols>
  <sheetData>
    <row r="1" spans="1:14" ht="15.75" x14ac:dyDescent="0.25">
      <c r="B1" s="99" t="s">
        <v>403</v>
      </c>
      <c r="E1" s="403" t="s">
        <v>404</v>
      </c>
      <c r="F1" s="97"/>
      <c r="G1" s="252" t="e">
        <f>G2-G7</f>
        <v>#REF!</v>
      </c>
      <c r="H1" s="252"/>
      <c r="I1" s="252"/>
      <c r="J1" s="252"/>
      <c r="K1" s="252"/>
      <c r="L1" s="253">
        <f>L2-L7</f>
        <v>0</v>
      </c>
      <c r="M1" s="253">
        <f>M2-M7</f>
        <v>0</v>
      </c>
      <c r="N1" s="253">
        <f>N2-N7</f>
        <v>0</v>
      </c>
    </row>
    <row r="2" spans="1:14" ht="15.75" x14ac:dyDescent="0.25">
      <c r="B2" s="99"/>
      <c r="E2" s="97"/>
      <c r="F2" s="97"/>
      <c r="G2" s="252" t="e">
        <f>SUM(G8:G10)</f>
        <v>#REF!</v>
      </c>
      <c r="H2" s="252"/>
      <c r="I2" s="252"/>
      <c r="J2" s="252"/>
      <c r="K2" s="252"/>
      <c r="L2" s="253">
        <f>SUM(L8:L10)</f>
        <v>124500</v>
      </c>
      <c r="M2" s="253">
        <f>SUM(M8:M10)</f>
        <v>129150</v>
      </c>
      <c r="N2" s="253">
        <f>SUM(N8:N10)</f>
        <v>128650</v>
      </c>
    </row>
    <row r="3" spans="1:14" ht="12.75" customHeight="1" x14ac:dyDescent="0.25">
      <c r="A3" s="108"/>
      <c r="B3" s="109"/>
      <c r="C3" s="110"/>
      <c r="D3" s="110"/>
      <c r="E3" s="111"/>
      <c r="F3" s="112"/>
      <c r="G3" s="2017" t="s">
        <v>168</v>
      </c>
      <c r="H3" s="2017"/>
      <c r="I3" s="2017"/>
      <c r="J3" s="2017"/>
      <c r="K3" s="2017"/>
      <c r="L3" s="2017"/>
      <c r="M3" s="2017"/>
      <c r="N3" s="2017"/>
    </row>
    <row r="4" spans="1:14" ht="12" customHeight="1" x14ac:dyDescent="0.2">
      <c r="A4" s="113"/>
      <c r="B4" s="114" t="s">
        <v>169</v>
      </c>
      <c r="C4" s="115" t="s">
        <v>170</v>
      </c>
      <c r="D4" s="2020" t="s">
        <v>171</v>
      </c>
      <c r="E4" s="2020"/>
      <c r="F4" s="2020"/>
      <c r="G4" s="116"/>
      <c r="H4" s="672">
        <v>2021</v>
      </c>
      <c r="I4" s="117">
        <v>2022</v>
      </c>
      <c r="J4" s="117" t="s">
        <v>998</v>
      </c>
      <c r="K4" s="117" t="s">
        <v>999</v>
      </c>
      <c r="L4" s="117">
        <v>2024</v>
      </c>
      <c r="M4" s="117">
        <v>2025</v>
      </c>
      <c r="N4" s="117">
        <v>2026</v>
      </c>
    </row>
    <row r="5" spans="1:14" ht="13.5" customHeight="1" x14ac:dyDescent="0.2">
      <c r="A5" s="113"/>
      <c r="B5" s="114" t="s">
        <v>172</v>
      </c>
      <c r="C5" s="115" t="s">
        <v>173</v>
      </c>
      <c r="D5" s="2020"/>
      <c r="E5" s="2020"/>
      <c r="F5" s="2020"/>
      <c r="G5" s="118" t="s">
        <v>174</v>
      </c>
      <c r="H5" s="691" t="s">
        <v>175</v>
      </c>
      <c r="I5" s="120" t="s">
        <v>176</v>
      </c>
      <c r="J5" s="120" t="s">
        <v>175</v>
      </c>
      <c r="K5" s="120" t="s">
        <v>176</v>
      </c>
      <c r="L5" s="400" t="s">
        <v>175</v>
      </c>
      <c r="M5" s="120" t="s">
        <v>176</v>
      </c>
      <c r="N5" s="120" t="s">
        <v>176</v>
      </c>
    </row>
    <row r="6" spans="1:14" ht="13.5" thickBot="1" x14ac:dyDescent="0.25">
      <c r="A6" s="256"/>
      <c r="B6" s="257" t="s">
        <v>177</v>
      </c>
      <c r="C6" s="258" t="s">
        <v>178</v>
      </c>
      <c r="D6" s="2020"/>
      <c r="E6" s="2020"/>
      <c r="F6" s="2020"/>
      <c r="G6" s="259">
        <v>1</v>
      </c>
      <c r="H6" s="692">
        <v>-3</v>
      </c>
      <c r="I6" s="305">
        <v>-2</v>
      </c>
      <c r="J6" s="305">
        <v>-1</v>
      </c>
      <c r="K6" s="305">
        <v>-1</v>
      </c>
      <c r="L6" s="305">
        <v>0</v>
      </c>
      <c r="M6" s="305">
        <v>1</v>
      </c>
      <c r="N6" s="305">
        <v>2</v>
      </c>
    </row>
    <row r="7" spans="1:14" ht="15" x14ac:dyDescent="0.25">
      <c r="A7" s="131">
        <v>1</v>
      </c>
      <c r="B7" s="404" t="s">
        <v>403</v>
      </c>
      <c r="C7" s="262"/>
      <c r="D7" s="263"/>
      <c r="E7" s="264" t="s">
        <v>405</v>
      </c>
      <c r="F7" s="265"/>
      <c r="G7" s="405" t="e">
        <f>G11+#REF!+#REF!+G17+#REF!+#REF!+#REF!+#REF!+#REF!+#REF!+#REF!+#REF!+G22+#REF!</f>
        <v>#REF!</v>
      </c>
      <c r="H7" s="772">
        <f>H8+H9+H10</f>
        <v>107098</v>
      </c>
      <c r="I7" s="695">
        <f>SUM(I8:I10)</f>
        <v>106410</v>
      </c>
      <c r="J7" s="406">
        <f>J8+J9+J10</f>
        <v>107160</v>
      </c>
      <c r="K7" s="406">
        <f>SUM(K8:K10)</f>
        <v>128015</v>
      </c>
      <c r="L7" s="406">
        <f>SUM(L8,L9,L10)</f>
        <v>124500</v>
      </c>
      <c r="M7" s="406">
        <f>SUM(M8:M10)</f>
        <v>129150</v>
      </c>
      <c r="N7" s="406">
        <f>SUM(N8:N10)</f>
        <v>128650</v>
      </c>
    </row>
    <row r="8" spans="1:14" x14ac:dyDescent="0.2">
      <c r="A8" s="131">
        <f t="shared" ref="A8:A15" si="0">A7+1</f>
        <v>2</v>
      </c>
      <c r="B8" s="132" t="s">
        <v>180</v>
      </c>
      <c r="C8" s="626" t="s">
        <v>181</v>
      </c>
      <c r="D8" s="627"/>
      <c r="E8" s="628"/>
      <c r="F8" s="629"/>
      <c r="G8" s="630" t="e">
        <f>G12+#REF!+#REF!+#REF!+G18+#REF!+#REF!+#REF!+#REF!+G23+#REF!+#REF!+#REF!</f>
        <v>#REF!</v>
      </c>
      <c r="H8" s="711">
        <f>H12+H18+H23+H31+H36</f>
        <v>107098</v>
      </c>
      <c r="I8" s="693">
        <f>SUM(I12,I18,I23,I36)+I31</f>
        <v>106410</v>
      </c>
      <c r="J8" s="631">
        <f>J12+J18+J23+J31+J36</f>
        <v>107160</v>
      </c>
      <c r="K8" s="631">
        <f>SUM(K12,K18,K23,K36)+K31</f>
        <v>128015</v>
      </c>
      <c r="L8" s="631">
        <f>SUM(L12,L18,L23,L36)+L31</f>
        <v>124500</v>
      </c>
      <c r="M8" s="631">
        <f>SUM(M12,M18,M23,M36)+M31</f>
        <v>129150</v>
      </c>
      <c r="N8" s="631">
        <f>SUM(N12,N18,N23,N36)+N31</f>
        <v>128650</v>
      </c>
    </row>
    <row r="9" spans="1:14" x14ac:dyDescent="0.2">
      <c r="A9" s="131">
        <f t="shared" si="0"/>
        <v>3</v>
      </c>
      <c r="B9" s="132" t="s">
        <v>182</v>
      </c>
      <c r="C9" s="701" t="s">
        <v>183</v>
      </c>
      <c r="D9" s="702"/>
      <c r="E9" s="703"/>
      <c r="F9" s="704"/>
      <c r="G9" s="705" t="e">
        <f>#REF!</f>
        <v>#REF!</v>
      </c>
      <c r="H9" s="718">
        <f>H27</f>
        <v>0</v>
      </c>
      <c r="I9" s="706">
        <f>SUM(I27)</f>
        <v>0</v>
      </c>
      <c r="J9" s="707">
        <f>J27</f>
        <v>0</v>
      </c>
      <c r="K9" s="707">
        <f>SUM(K27)</f>
        <v>0</v>
      </c>
      <c r="L9" s="708">
        <f>SUM(L27)</f>
        <v>0</v>
      </c>
      <c r="M9" s="707">
        <f>SUM(M27)</f>
        <v>0</v>
      </c>
      <c r="N9" s="707">
        <f>SUM(N27)</f>
        <v>0</v>
      </c>
    </row>
    <row r="10" spans="1:14" ht="13.5" thickBot="1" x14ac:dyDescent="0.25">
      <c r="A10" s="131">
        <f t="shared" si="0"/>
        <v>4</v>
      </c>
      <c r="B10" s="135"/>
      <c r="C10" s="650" t="s">
        <v>184</v>
      </c>
      <c r="D10" s="651"/>
      <c r="E10" s="652"/>
      <c r="F10" s="653"/>
      <c r="G10" s="729" t="e">
        <f>#REF!</f>
        <v>#REF!</v>
      </c>
      <c r="H10" s="773">
        <v>0</v>
      </c>
      <c r="I10" s="745">
        <v>0</v>
      </c>
      <c r="J10" s="746">
        <v>0</v>
      </c>
      <c r="K10" s="746">
        <v>0</v>
      </c>
      <c r="L10" s="730">
        <v>0</v>
      </c>
      <c r="M10" s="746">
        <v>0</v>
      </c>
      <c r="N10" s="746">
        <v>0</v>
      </c>
    </row>
    <row r="11" spans="1:14" ht="13.5" thickTop="1" x14ac:dyDescent="0.2">
      <c r="A11" s="131">
        <f t="shared" si="0"/>
        <v>5</v>
      </c>
      <c r="B11" s="136">
        <v>1</v>
      </c>
      <c r="C11" s="237" t="s">
        <v>406</v>
      </c>
      <c r="D11" s="138"/>
      <c r="E11" s="138"/>
      <c r="F11" s="139"/>
      <c r="G11" s="407">
        <f>SUM(G13)</f>
        <v>414.90000000000003</v>
      </c>
      <c r="H11" s="408">
        <f>H12</f>
        <v>11560</v>
      </c>
      <c r="I11" s="141">
        <f t="shared" ref="I11:N12" si="1">I12</f>
        <v>11560</v>
      </c>
      <c r="J11" s="141">
        <f>J12</f>
        <v>11560</v>
      </c>
      <c r="K11" s="141">
        <f t="shared" si="1"/>
        <v>12100</v>
      </c>
      <c r="L11" s="408">
        <f t="shared" si="1"/>
        <v>12500</v>
      </c>
      <c r="M11" s="141">
        <f t="shared" si="1"/>
        <v>12500</v>
      </c>
      <c r="N11" s="141">
        <f t="shared" si="1"/>
        <v>12500</v>
      </c>
    </row>
    <row r="12" spans="1:14" x14ac:dyDescent="0.2">
      <c r="A12" s="131">
        <f t="shared" si="0"/>
        <v>6</v>
      </c>
      <c r="B12" s="151"/>
      <c r="C12" s="152"/>
      <c r="D12" s="134" t="s">
        <v>181</v>
      </c>
      <c r="E12" s="153"/>
      <c r="F12" s="154"/>
      <c r="G12" s="409">
        <f>G13</f>
        <v>414.90000000000003</v>
      </c>
      <c r="H12" s="410">
        <f>H13</f>
        <v>11560</v>
      </c>
      <c r="I12" s="156">
        <f t="shared" si="1"/>
        <v>11560</v>
      </c>
      <c r="J12" s="156">
        <f>J13</f>
        <v>11560</v>
      </c>
      <c r="K12" s="156">
        <f t="shared" si="1"/>
        <v>12100</v>
      </c>
      <c r="L12" s="410">
        <f t="shared" si="1"/>
        <v>12500</v>
      </c>
      <c r="M12" s="156">
        <f t="shared" si="1"/>
        <v>12500</v>
      </c>
      <c r="N12" s="156">
        <f t="shared" si="1"/>
        <v>12500</v>
      </c>
    </row>
    <row r="13" spans="1:14" x14ac:dyDescent="0.2">
      <c r="A13" s="131">
        <f t="shared" si="0"/>
        <v>7</v>
      </c>
      <c r="B13" s="184"/>
      <c r="C13" s="235" t="s">
        <v>407</v>
      </c>
      <c r="D13" s="159" t="s">
        <v>408</v>
      </c>
      <c r="E13" s="160"/>
      <c r="F13" s="161"/>
      <c r="G13" s="411">
        <f>SUM(G14:G15)</f>
        <v>414.90000000000003</v>
      </c>
      <c r="H13" s="278">
        <f>SUM(H14:H16)</f>
        <v>11560</v>
      </c>
      <c r="I13" s="163">
        <f>SUM(I14,I15,I16)</f>
        <v>11560</v>
      </c>
      <c r="J13" s="163">
        <f>J14+J15+J16</f>
        <v>11560</v>
      </c>
      <c r="K13" s="163">
        <f>SUM(K14,K15,K16)</f>
        <v>12100</v>
      </c>
      <c r="L13" s="278">
        <f>SUM(L14,L15,L16)</f>
        <v>12500</v>
      </c>
      <c r="M13" s="163">
        <f>SUM(M14,M15,M16)</f>
        <v>12500</v>
      </c>
      <c r="N13" s="163">
        <f>SUM(N14,N15,N16)</f>
        <v>12500</v>
      </c>
    </row>
    <row r="14" spans="1:14" x14ac:dyDescent="0.2">
      <c r="A14" s="131">
        <f t="shared" si="0"/>
        <v>8</v>
      </c>
      <c r="B14" s="184"/>
      <c r="C14" s="215" t="s">
        <v>226</v>
      </c>
      <c r="D14" s="214" t="s">
        <v>215</v>
      </c>
      <c r="E14" s="176" t="s">
        <v>409</v>
      </c>
      <c r="F14" s="182"/>
      <c r="G14" s="183">
        <f>ROUND(M14/30.126,1)</f>
        <v>16.600000000000001</v>
      </c>
      <c r="H14" s="415">
        <f>výdavky!F592</f>
        <v>500</v>
      </c>
      <c r="I14" s="175">
        <f>výdavky!G592</f>
        <v>500</v>
      </c>
      <c r="J14" s="175">
        <f>výdavky!H592</f>
        <v>500</v>
      </c>
      <c r="K14" s="175">
        <f>výdavky!I592</f>
        <v>500</v>
      </c>
      <c r="L14" s="279">
        <f>výdavky!J592</f>
        <v>500</v>
      </c>
      <c r="M14" s="175">
        <f>výdavky!K592</f>
        <v>500</v>
      </c>
      <c r="N14" s="175">
        <f>výdavky!L592</f>
        <v>500</v>
      </c>
    </row>
    <row r="15" spans="1:14" x14ac:dyDescent="0.2">
      <c r="A15" s="131">
        <f t="shared" si="0"/>
        <v>9</v>
      </c>
      <c r="B15" s="184"/>
      <c r="C15" s="215" t="s">
        <v>226</v>
      </c>
      <c r="D15" s="214" t="s">
        <v>217</v>
      </c>
      <c r="E15" s="176" t="s">
        <v>410</v>
      </c>
      <c r="F15" s="182"/>
      <c r="G15" s="183">
        <f>ROUND(M15/30.126,1)</f>
        <v>398.3</v>
      </c>
      <c r="H15" s="415">
        <f>výdavky!F593</f>
        <v>11060</v>
      </c>
      <c r="I15" s="175">
        <f>výdavky!G593</f>
        <v>11060</v>
      </c>
      <c r="J15" s="175">
        <f>výdavky!H593</f>
        <v>11060</v>
      </c>
      <c r="K15" s="175">
        <f>výdavky!I593</f>
        <v>11600</v>
      </c>
      <c r="L15" s="279">
        <f>výdavky!J593</f>
        <v>12000</v>
      </c>
      <c r="M15" s="175">
        <f>výdavky!K593</f>
        <v>12000</v>
      </c>
      <c r="N15" s="175">
        <f>výdavky!L593</f>
        <v>12000</v>
      </c>
    </row>
    <row r="16" spans="1:14" x14ac:dyDescent="0.2">
      <c r="A16" s="131">
        <v>10</v>
      </c>
      <c r="B16" s="184"/>
      <c r="C16" s="213" t="s">
        <v>369</v>
      </c>
      <c r="D16" s="214" t="s">
        <v>228</v>
      </c>
      <c r="E16" s="299" t="s">
        <v>411</v>
      </c>
      <c r="F16" s="182"/>
      <c r="G16" s="183"/>
      <c r="H16" s="415">
        <f>výdavky!F594</f>
        <v>0</v>
      </c>
      <c r="I16" s="175">
        <f>výdavky!G594</f>
        <v>0</v>
      </c>
      <c r="J16" s="175">
        <f>výdavky!H594</f>
        <v>0</v>
      </c>
      <c r="K16" s="175">
        <f>výdavky!I594</f>
        <v>0</v>
      </c>
      <c r="L16" s="279">
        <f>výdavky!J594</f>
        <v>0</v>
      </c>
      <c r="M16" s="175">
        <f>výdavky!K594</f>
        <v>0</v>
      </c>
      <c r="N16" s="175">
        <f>výdavky!L594</f>
        <v>0</v>
      </c>
    </row>
    <row r="17" spans="1:14" x14ac:dyDescent="0.2">
      <c r="A17" s="131">
        <v>11</v>
      </c>
      <c r="B17" s="136">
        <v>2</v>
      </c>
      <c r="C17" s="237" t="s">
        <v>412</v>
      </c>
      <c r="D17" s="138"/>
      <c r="E17" s="138"/>
      <c r="F17" s="139"/>
      <c r="G17" s="140" t="e">
        <f>#REF!</f>
        <v>#REF!</v>
      </c>
      <c r="H17" s="408">
        <f>H18</f>
        <v>1600</v>
      </c>
      <c r="I17" s="412">
        <f>SUM(I18)</f>
        <v>4800</v>
      </c>
      <c r="J17" s="412">
        <f>J18</f>
        <v>1600</v>
      </c>
      <c r="K17" s="412">
        <f>SUM(K18)</f>
        <v>1951</v>
      </c>
      <c r="L17" s="413">
        <f>SUM(L18)</f>
        <v>1000</v>
      </c>
      <c r="M17" s="412">
        <f>SUM(M18)</f>
        <v>1000</v>
      </c>
      <c r="N17" s="412">
        <f>SUM(N18)</f>
        <v>1000</v>
      </c>
    </row>
    <row r="18" spans="1:14" x14ac:dyDescent="0.2">
      <c r="A18" s="131">
        <v>12</v>
      </c>
      <c r="B18" s="151"/>
      <c r="C18" s="152"/>
      <c r="D18" s="134" t="s">
        <v>181</v>
      </c>
      <c r="E18" s="153"/>
      <c r="F18" s="154"/>
      <c r="G18" s="409">
        <f t="shared" ref="G18:N18" si="2">G19</f>
        <v>0</v>
      </c>
      <c r="H18" s="410">
        <f>H19</f>
        <v>1600</v>
      </c>
      <c r="I18" s="156">
        <f t="shared" si="2"/>
        <v>4800</v>
      </c>
      <c r="J18" s="156">
        <f>J19</f>
        <v>1600</v>
      </c>
      <c r="K18" s="156">
        <f t="shared" si="2"/>
        <v>1951</v>
      </c>
      <c r="L18" s="410">
        <f t="shared" si="2"/>
        <v>1000</v>
      </c>
      <c r="M18" s="156">
        <f t="shared" si="2"/>
        <v>1000</v>
      </c>
      <c r="N18" s="156">
        <f t="shared" si="2"/>
        <v>1000</v>
      </c>
    </row>
    <row r="19" spans="1:14" x14ac:dyDescent="0.2">
      <c r="A19" s="131">
        <f t="shared" ref="A19:A26" si="3">A18+1</f>
        <v>13</v>
      </c>
      <c r="B19" s="184"/>
      <c r="C19" s="235" t="s">
        <v>413</v>
      </c>
      <c r="D19" s="159" t="s">
        <v>414</v>
      </c>
      <c r="E19" s="160"/>
      <c r="F19" s="161"/>
      <c r="G19" s="411">
        <f>SUM(G20)</f>
        <v>0</v>
      </c>
      <c r="H19" s="278">
        <f>H20+H21</f>
        <v>1600</v>
      </c>
      <c r="I19" s="163">
        <f>SUM(I20:I21)</f>
        <v>4800</v>
      </c>
      <c r="J19" s="163">
        <f>J20+J21</f>
        <v>1600</v>
      </c>
      <c r="K19" s="163">
        <f>SUM(K20:K21)</f>
        <v>1951</v>
      </c>
      <c r="L19" s="278">
        <f>SUM(L20:L21)</f>
        <v>1000</v>
      </c>
      <c r="M19" s="163">
        <f>SUM(M20:M21)</f>
        <v>1000</v>
      </c>
      <c r="N19" s="163">
        <f>SUM(N20:N21)</f>
        <v>1000</v>
      </c>
    </row>
    <row r="20" spans="1:14" x14ac:dyDescent="0.2">
      <c r="A20" s="131">
        <f t="shared" si="3"/>
        <v>14</v>
      </c>
      <c r="B20" s="184"/>
      <c r="C20" s="215" t="s">
        <v>369</v>
      </c>
      <c r="D20" s="214" t="s">
        <v>215</v>
      </c>
      <c r="E20" s="176" t="s">
        <v>415</v>
      </c>
      <c r="F20" s="182"/>
      <c r="G20" s="183">
        <f>ROUND(M20/30.126,1)</f>
        <v>0</v>
      </c>
      <c r="H20" s="415">
        <f>výdavky!F597+výdavky!F596</f>
        <v>1000</v>
      </c>
      <c r="I20" s="175">
        <f>výdavky!G597+výdavky!G596</f>
        <v>3500</v>
      </c>
      <c r="J20" s="175">
        <f>výdavky!H597+výdavky!H596</f>
        <v>1000</v>
      </c>
      <c r="K20" s="175">
        <f>výdavky!I597+výdavky!I596</f>
        <v>1000</v>
      </c>
      <c r="L20" s="279">
        <f>výdavky!J597+výdavky!J596</f>
        <v>0</v>
      </c>
      <c r="M20" s="175">
        <f>výdavky!K597+výdavky!K596</f>
        <v>0</v>
      </c>
      <c r="N20" s="175">
        <f>výdavky!L597+výdavky!L596</f>
        <v>0</v>
      </c>
    </row>
    <row r="21" spans="1:14" x14ac:dyDescent="0.2">
      <c r="A21" s="131">
        <f t="shared" si="3"/>
        <v>15</v>
      </c>
      <c r="B21" s="184"/>
      <c r="C21" s="213" t="s">
        <v>369</v>
      </c>
      <c r="D21" s="214" t="s">
        <v>217</v>
      </c>
      <c r="E21" s="176" t="s">
        <v>416</v>
      </c>
      <c r="F21" s="182"/>
      <c r="G21" s="183"/>
      <c r="H21" s="415">
        <f>výdavky!F595</f>
        <v>600</v>
      </c>
      <c r="I21" s="175">
        <f>výdavky!G595</f>
        <v>1300</v>
      </c>
      <c r="J21" s="175">
        <f>výdavky!H595</f>
        <v>600</v>
      </c>
      <c r="K21" s="175">
        <f>výdavky!I595</f>
        <v>951</v>
      </c>
      <c r="L21" s="279">
        <f>výdavky!J595</f>
        <v>1000</v>
      </c>
      <c r="M21" s="175">
        <f>výdavky!K595</f>
        <v>1000</v>
      </c>
      <c r="N21" s="175">
        <f>výdavky!L595</f>
        <v>1000</v>
      </c>
    </row>
    <row r="22" spans="1:14" x14ac:dyDescent="0.2">
      <c r="A22" s="131">
        <f t="shared" si="3"/>
        <v>16</v>
      </c>
      <c r="B22" s="136">
        <v>3</v>
      </c>
      <c r="C22" s="237" t="s">
        <v>417</v>
      </c>
      <c r="D22" s="138"/>
      <c r="E22" s="138"/>
      <c r="F22" s="139"/>
      <c r="G22" s="140">
        <f>SUM(G24)</f>
        <v>2477.9</v>
      </c>
      <c r="H22" s="408">
        <f>H23+H27</f>
        <v>54894</v>
      </c>
      <c r="I22" s="142">
        <f>I24</f>
        <v>57550</v>
      </c>
      <c r="J22" s="142">
        <f>J23+J27</f>
        <v>60000</v>
      </c>
      <c r="K22" s="142">
        <f>K24</f>
        <v>70964</v>
      </c>
      <c r="L22" s="408">
        <f>L24</f>
        <v>70000</v>
      </c>
      <c r="M22" s="142">
        <f>M24</f>
        <v>74650</v>
      </c>
      <c r="N22" s="142">
        <f>N24</f>
        <v>74650</v>
      </c>
    </row>
    <row r="23" spans="1:14" x14ac:dyDescent="0.2">
      <c r="A23" s="131">
        <f t="shared" si="3"/>
        <v>17</v>
      </c>
      <c r="B23" s="151"/>
      <c r="C23" s="152"/>
      <c r="D23" s="134" t="s">
        <v>181</v>
      </c>
      <c r="E23" s="153"/>
      <c r="F23" s="154"/>
      <c r="G23" s="155">
        <f t="shared" ref="G23:N23" si="4">G24</f>
        <v>2477.9</v>
      </c>
      <c r="H23" s="410">
        <f>H24</f>
        <v>54894</v>
      </c>
      <c r="I23" s="156">
        <f t="shared" si="4"/>
        <v>57550</v>
      </c>
      <c r="J23" s="156">
        <f>J24</f>
        <v>60000</v>
      </c>
      <c r="K23" s="156">
        <f t="shared" si="4"/>
        <v>70964</v>
      </c>
      <c r="L23" s="410">
        <f t="shared" si="4"/>
        <v>70000</v>
      </c>
      <c r="M23" s="156">
        <f t="shared" si="4"/>
        <v>74650</v>
      </c>
      <c r="N23" s="156">
        <f t="shared" si="4"/>
        <v>74650</v>
      </c>
    </row>
    <row r="24" spans="1:14" x14ac:dyDescent="0.2">
      <c r="A24" s="131">
        <f t="shared" si="3"/>
        <v>18</v>
      </c>
      <c r="B24" s="151"/>
      <c r="C24" s="235" t="s">
        <v>418</v>
      </c>
      <c r="D24" s="159" t="s">
        <v>417</v>
      </c>
      <c r="E24" s="160"/>
      <c r="F24" s="161"/>
      <c r="G24" s="225">
        <f>SUM(G25:G39)</f>
        <v>2477.9</v>
      </c>
      <c r="H24" s="414">
        <f>H25+H26</f>
        <v>54894</v>
      </c>
      <c r="I24" s="226">
        <f>SUM(I25,I26)</f>
        <v>57550</v>
      </c>
      <c r="J24" s="226">
        <f>J25+J26</f>
        <v>60000</v>
      </c>
      <c r="K24" s="226">
        <f>SUM(K25,K26)</f>
        <v>70964</v>
      </c>
      <c r="L24" s="414">
        <f>SUM(L25,L26)</f>
        <v>70000</v>
      </c>
      <c r="M24" s="226">
        <f>SUM(M25,M26)</f>
        <v>74650</v>
      </c>
      <c r="N24" s="226">
        <f>SUM(N25,N26)</f>
        <v>74650</v>
      </c>
    </row>
    <row r="25" spans="1:14" x14ac:dyDescent="0.2">
      <c r="A25" s="131">
        <f t="shared" si="3"/>
        <v>19</v>
      </c>
      <c r="B25" s="184"/>
      <c r="C25" s="215" t="s">
        <v>382</v>
      </c>
      <c r="D25" s="214" t="s">
        <v>215</v>
      </c>
      <c r="E25" s="176" t="s">
        <v>383</v>
      </c>
      <c r="F25" s="182"/>
      <c r="G25" s="183">
        <f>ROUND(M25/30.126,1)</f>
        <v>2157.6</v>
      </c>
      <c r="H25" s="415">
        <f>výdavky!F604+výdavky!F605+výdavky!F606</f>
        <v>45144</v>
      </c>
      <c r="I25" s="175">
        <f>výdavky!G604+výdavky!G605+výdavky!G606+výdavky!G606</f>
        <v>48600</v>
      </c>
      <c r="J25" s="175">
        <f>výdavky!H604+výdavky!H605+výdavky!H606</f>
        <v>51050</v>
      </c>
      <c r="K25" s="175">
        <f>výdavky!I604+výdavky!I605+výdavky!I606</f>
        <v>57000</v>
      </c>
      <c r="L25" s="415">
        <f>výdavky!J604+výdavky!J605+výdavky!J606</f>
        <v>60000</v>
      </c>
      <c r="M25" s="175">
        <f>výdavky!K604+výdavky!K605+výdavky!K606</f>
        <v>65000</v>
      </c>
      <c r="N25" s="175">
        <f>výdavky!L604+výdavky!L605+výdavky!L606</f>
        <v>65000</v>
      </c>
    </row>
    <row r="26" spans="1:14" x14ac:dyDescent="0.2">
      <c r="A26" s="131">
        <f t="shared" si="3"/>
        <v>20</v>
      </c>
      <c r="B26" s="184"/>
      <c r="C26" s="215" t="s">
        <v>384</v>
      </c>
      <c r="D26" s="214" t="s">
        <v>217</v>
      </c>
      <c r="E26" s="176" t="s">
        <v>361</v>
      </c>
      <c r="F26" s="182"/>
      <c r="G26" s="183">
        <f>ROUND(M26/30.126,1)</f>
        <v>320.3</v>
      </c>
      <c r="H26" s="415">
        <f>SUM(výdavky!F607:F619)</f>
        <v>9750</v>
      </c>
      <c r="I26" s="175">
        <f>výdavky!G607+výdavky!G608+výdavky!G609+výdavky!G610+výdavky!G611+výdavky!G612+výdavky!G613+výdavky!G614+výdavky!G615+výdavky!G616+výdavky!G617+výdavky!G618+výdavky!G619</f>
        <v>8950</v>
      </c>
      <c r="J26" s="175">
        <f>výdavky!H607+výdavky!H608+výdavky!H609+výdavky!H611+výdavky!H613+výdavky!H615+výdavky!H617+výdavky!H618+výdavky!H619</f>
        <v>8950</v>
      </c>
      <c r="K26" s="175">
        <f>výdavky!I607+výdavky!I608+výdavky!I609+výdavky!I610+výdavky!I611+výdavky!I612+výdavky!I613+výdavky!I614+výdavky!I615+výdavky!I616+výdavky!I617+výdavky!I618+výdavky!I619</f>
        <v>13964</v>
      </c>
      <c r="L26" s="415">
        <f>výdavky!J607+výdavky!J608+výdavky!J609+výdavky!J610+výdavky!J611+výdavky!J612+výdavky!J613+výdavky!J614+výdavky!J615+výdavky!J616+výdavky!J617+výdavky!J618+výdavky!J619</f>
        <v>10000</v>
      </c>
      <c r="M26" s="175">
        <f>výdavky!K607+výdavky!K608+výdavky!K609+výdavky!K610+výdavky!K611+výdavky!K612+výdavky!K613+výdavky!K614+výdavky!K615+výdavky!K616+výdavky!K617+výdavky!K618+výdavky!K619</f>
        <v>9650</v>
      </c>
      <c r="N26" s="175">
        <f>výdavky!L607+výdavky!L608+výdavky!L609+výdavky!L610+výdavky!L611+výdavky!L612+výdavky!L613+výdavky!L614+výdavky!L615+výdavky!L616+výdavky!L617+výdavky!L618+výdavky!L619</f>
        <v>9650</v>
      </c>
    </row>
    <row r="27" spans="1:14" x14ac:dyDescent="0.2">
      <c r="A27" s="131">
        <v>21</v>
      </c>
      <c r="B27" s="184"/>
      <c r="C27" s="213"/>
      <c r="D27" s="2040" t="s">
        <v>183</v>
      </c>
      <c r="E27" s="2040"/>
      <c r="F27" s="606"/>
      <c r="G27" s="607"/>
      <c r="H27" s="609">
        <f>H28</f>
        <v>0</v>
      </c>
      <c r="I27" s="608">
        <f t="shared" ref="I27:N28" si="5">SUM(I28)</f>
        <v>0</v>
      </c>
      <c r="J27" s="608">
        <f>J28</f>
        <v>0</v>
      </c>
      <c r="K27" s="608">
        <f t="shared" si="5"/>
        <v>0</v>
      </c>
      <c r="L27" s="609">
        <f t="shared" si="5"/>
        <v>0</v>
      </c>
      <c r="M27" s="608">
        <f t="shared" si="5"/>
        <v>0</v>
      </c>
      <c r="N27" s="608">
        <f t="shared" si="5"/>
        <v>0</v>
      </c>
    </row>
    <row r="28" spans="1:14" x14ac:dyDescent="0.2">
      <c r="A28" s="131">
        <v>22</v>
      </c>
      <c r="B28" s="184"/>
      <c r="C28" s="235" t="s">
        <v>418</v>
      </c>
      <c r="D28" s="159" t="s">
        <v>417</v>
      </c>
      <c r="E28" s="160"/>
      <c r="F28" s="161"/>
      <c r="G28" s="225">
        <f>SUM(G29:G43)</f>
        <v>0</v>
      </c>
      <c r="H28" s="774">
        <f>H29</f>
        <v>0</v>
      </c>
      <c r="I28" s="226">
        <f t="shared" si="5"/>
        <v>0</v>
      </c>
      <c r="J28" s="226">
        <f>J29</f>
        <v>0</v>
      </c>
      <c r="K28" s="226">
        <f t="shared" si="5"/>
        <v>0</v>
      </c>
      <c r="L28" s="414">
        <f t="shared" si="5"/>
        <v>0</v>
      </c>
      <c r="M28" s="226">
        <f t="shared" si="5"/>
        <v>0</v>
      </c>
      <c r="N28" s="226">
        <f t="shared" si="5"/>
        <v>0</v>
      </c>
    </row>
    <row r="29" spans="1:14" x14ac:dyDescent="0.2">
      <c r="A29" s="131">
        <v>23</v>
      </c>
      <c r="B29" s="184"/>
      <c r="C29" s="213" t="s">
        <v>291</v>
      </c>
      <c r="D29" s="595" t="s">
        <v>228</v>
      </c>
      <c r="E29" s="178" t="s">
        <v>84</v>
      </c>
      <c r="F29" s="596"/>
      <c r="G29" s="571"/>
      <c r="H29" s="579">
        <f>výdavky!F763</f>
        <v>0</v>
      </c>
      <c r="I29" s="181">
        <f>výdavky!G762</f>
        <v>0</v>
      </c>
      <c r="J29" s="181">
        <f>výdavky!H763</f>
        <v>0</v>
      </c>
      <c r="K29" s="181">
        <f>výdavky!I762</f>
        <v>0</v>
      </c>
      <c r="L29" s="579">
        <f>výdavky!J762</f>
        <v>0</v>
      </c>
      <c r="M29" s="181">
        <f>výdavky!K762</f>
        <v>0</v>
      </c>
      <c r="N29" s="181">
        <f>výdavky!L762</f>
        <v>0</v>
      </c>
    </row>
    <row r="30" spans="1:14" x14ac:dyDescent="0.2">
      <c r="A30" s="131">
        <v>24</v>
      </c>
      <c r="B30" s="768">
        <v>4</v>
      </c>
      <c r="C30" s="2041" t="s">
        <v>669</v>
      </c>
      <c r="D30" s="2042"/>
      <c r="E30" s="2042"/>
      <c r="F30" s="2043"/>
      <c r="G30" s="769"/>
      <c r="H30" s="771">
        <f>H31</f>
        <v>33044</v>
      </c>
      <c r="I30" s="770">
        <f t="shared" ref="I30:N31" si="6">I31</f>
        <v>25500</v>
      </c>
      <c r="J30" s="770">
        <f>J31</f>
        <v>31000</v>
      </c>
      <c r="K30" s="770">
        <f t="shared" si="6"/>
        <v>38000</v>
      </c>
      <c r="L30" s="771">
        <f t="shared" si="6"/>
        <v>38000</v>
      </c>
      <c r="M30" s="770">
        <f t="shared" si="6"/>
        <v>38000</v>
      </c>
      <c r="N30" s="770">
        <f t="shared" si="6"/>
        <v>37500</v>
      </c>
    </row>
    <row r="31" spans="1:14" x14ac:dyDescent="0.2">
      <c r="A31" s="131">
        <v>25</v>
      </c>
      <c r="B31" s="184"/>
      <c r="C31" s="213"/>
      <c r="D31" s="134" t="s">
        <v>181</v>
      </c>
      <c r="E31" s="153"/>
      <c r="F31" s="154"/>
      <c r="G31" s="696"/>
      <c r="H31" s="698">
        <f>H32</f>
        <v>33044</v>
      </c>
      <c r="I31" s="697">
        <f t="shared" si="6"/>
        <v>25500</v>
      </c>
      <c r="J31" s="697">
        <f>J32</f>
        <v>31000</v>
      </c>
      <c r="K31" s="697">
        <f t="shared" si="6"/>
        <v>38000</v>
      </c>
      <c r="L31" s="698">
        <f t="shared" si="6"/>
        <v>38000</v>
      </c>
      <c r="M31" s="697">
        <f t="shared" si="6"/>
        <v>38000</v>
      </c>
      <c r="N31" s="697">
        <f t="shared" si="6"/>
        <v>37500</v>
      </c>
    </row>
    <row r="32" spans="1:14" x14ac:dyDescent="0.2">
      <c r="A32" s="131">
        <v>26</v>
      </c>
      <c r="B32" s="184"/>
      <c r="C32" s="213"/>
      <c r="D32" s="2044" t="s">
        <v>669</v>
      </c>
      <c r="E32" s="2045"/>
      <c r="F32" s="2046"/>
      <c r="G32" s="600"/>
      <c r="H32" s="602">
        <f>H33+H34</f>
        <v>33044</v>
      </c>
      <c r="I32" s="601">
        <f>SUM(I33:I34)</f>
        <v>25500</v>
      </c>
      <c r="J32" s="601">
        <f>J33+J34</f>
        <v>31000</v>
      </c>
      <c r="K32" s="601">
        <f>SUM(K33:K34)</f>
        <v>38000</v>
      </c>
      <c r="L32" s="602">
        <f>SUM(L33:L34)</f>
        <v>38000</v>
      </c>
      <c r="M32" s="601">
        <f>SUM(M33:M34)</f>
        <v>38000</v>
      </c>
      <c r="N32" s="601">
        <f>SUM(N33:N34)</f>
        <v>37500</v>
      </c>
    </row>
    <row r="33" spans="1:14" x14ac:dyDescent="0.2">
      <c r="A33" s="131">
        <v>27</v>
      </c>
      <c r="B33" s="184"/>
      <c r="C33" s="215" t="s">
        <v>382</v>
      </c>
      <c r="D33" s="597" t="s">
        <v>215</v>
      </c>
      <c r="E33" s="598" t="s">
        <v>383</v>
      </c>
      <c r="F33" s="599"/>
      <c r="G33" s="216"/>
      <c r="H33" s="575">
        <f>výdavky!F599+výdavky!F600+výdavky!F601</f>
        <v>32544</v>
      </c>
      <c r="I33" s="170">
        <f>výdavky!G599+výdavky!G600</f>
        <v>25000</v>
      </c>
      <c r="J33" s="170">
        <f>výdavky!H599+výdavky!H600</f>
        <v>30500</v>
      </c>
      <c r="K33" s="170">
        <f>výdavky!I599+výdavky!I600+výdavky!I601</f>
        <v>37500</v>
      </c>
      <c r="L33" s="577">
        <f>výdavky!J599+výdavky!J600</f>
        <v>37500</v>
      </c>
      <c r="M33" s="170">
        <f>výdavky!K599+výdavky!K600</f>
        <v>37500</v>
      </c>
      <c r="N33" s="170">
        <f>výdavky!L599+výdavky!L600</f>
        <v>37500</v>
      </c>
    </row>
    <row r="34" spans="1:14" x14ac:dyDescent="0.2">
      <c r="A34" s="131">
        <v>28</v>
      </c>
      <c r="B34" s="184"/>
      <c r="C34" s="215" t="s">
        <v>384</v>
      </c>
      <c r="D34" s="214" t="s">
        <v>217</v>
      </c>
      <c r="E34" s="176" t="s">
        <v>361</v>
      </c>
      <c r="F34" s="182"/>
      <c r="G34" s="216"/>
      <c r="H34" s="575">
        <f>výdavky!F602</f>
        <v>500</v>
      </c>
      <c r="I34" s="575">
        <f>výdavky!G602</f>
        <v>500</v>
      </c>
      <c r="J34" s="575">
        <f>výdavky!H602</f>
        <v>500</v>
      </c>
      <c r="K34" s="575">
        <f>výdavky!I602</f>
        <v>500</v>
      </c>
      <c r="L34" s="580">
        <f>výdavky!J602</f>
        <v>500</v>
      </c>
      <c r="M34" s="575">
        <f>výdavky!K602</f>
        <v>500</v>
      </c>
      <c r="N34" s="575">
        <f>výdavky!L602</f>
        <v>0</v>
      </c>
    </row>
    <row r="35" spans="1:14" x14ac:dyDescent="0.2">
      <c r="A35" s="131">
        <v>29</v>
      </c>
      <c r="B35" s="603">
        <v>5</v>
      </c>
      <c r="C35" s="2021" t="s">
        <v>419</v>
      </c>
      <c r="D35" s="2021"/>
      <c r="E35" s="2021"/>
      <c r="F35" s="416"/>
      <c r="G35" s="417"/>
      <c r="H35" s="418">
        <f>H36</f>
        <v>6000</v>
      </c>
      <c r="I35" s="300">
        <f t="shared" ref="I35:N36" si="7">SUM(I36)</f>
        <v>7000</v>
      </c>
      <c r="J35" s="300">
        <f>J36</f>
        <v>3000</v>
      </c>
      <c r="K35" s="300">
        <f t="shared" si="7"/>
        <v>5000</v>
      </c>
      <c r="L35" s="418">
        <f t="shared" si="7"/>
        <v>3000</v>
      </c>
      <c r="M35" s="300">
        <f t="shared" si="7"/>
        <v>3000</v>
      </c>
      <c r="N35" s="300">
        <f t="shared" si="7"/>
        <v>3000</v>
      </c>
    </row>
    <row r="36" spans="1:14" x14ac:dyDescent="0.2">
      <c r="A36" s="131">
        <v>30</v>
      </c>
      <c r="B36" s="184"/>
      <c r="C36" s="213"/>
      <c r="D36" s="134" t="s">
        <v>181</v>
      </c>
      <c r="E36" s="153"/>
      <c r="F36" s="154"/>
      <c r="G36" s="315"/>
      <c r="H36" s="419">
        <f>H37</f>
        <v>6000</v>
      </c>
      <c r="I36" s="393">
        <f t="shared" si="7"/>
        <v>7000</v>
      </c>
      <c r="J36" s="393">
        <f>J37</f>
        <v>3000</v>
      </c>
      <c r="K36" s="393">
        <f t="shared" si="7"/>
        <v>5000</v>
      </c>
      <c r="L36" s="419">
        <f t="shared" si="7"/>
        <v>3000</v>
      </c>
      <c r="M36" s="393">
        <f t="shared" si="7"/>
        <v>3000</v>
      </c>
      <c r="N36" s="393">
        <f t="shared" si="7"/>
        <v>3000</v>
      </c>
    </row>
    <row r="37" spans="1:14" x14ac:dyDescent="0.2">
      <c r="A37" s="131">
        <v>31</v>
      </c>
      <c r="B37" s="184"/>
      <c r="C37" s="235" t="s">
        <v>420</v>
      </c>
      <c r="D37" s="159" t="s">
        <v>421</v>
      </c>
      <c r="E37" s="160"/>
      <c r="F37" s="161"/>
      <c r="G37" s="699"/>
      <c r="H37" s="775">
        <f>H38+H39+H40</f>
        <v>6000</v>
      </c>
      <c r="I37" s="344">
        <f>SUM(I38,I39,I40)</f>
        <v>7000</v>
      </c>
      <c r="J37" s="344">
        <f>J38+J39+J40</f>
        <v>3000</v>
      </c>
      <c r="K37" s="344">
        <f>SUM(K38,K39,K40)</f>
        <v>5000</v>
      </c>
      <c r="L37" s="700">
        <f>SUM(L38,L39,L40)</f>
        <v>3000</v>
      </c>
      <c r="M37" s="344">
        <f>SUM(M38,M39,M40)</f>
        <v>3000</v>
      </c>
      <c r="N37" s="344">
        <f>SUM(N38,N39,N40)</f>
        <v>3000</v>
      </c>
    </row>
    <row r="38" spans="1:14" x14ac:dyDescent="0.2">
      <c r="A38" s="131">
        <v>32</v>
      </c>
      <c r="B38" s="184"/>
      <c r="C38" s="213" t="s">
        <v>369</v>
      </c>
      <c r="D38" s="214" t="s">
        <v>215</v>
      </c>
      <c r="E38" s="401" t="s">
        <v>422</v>
      </c>
      <c r="F38" s="420"/>
      <c r="G38" s="421"/>
      <c r="H38" s="422">
        <f>výdavky!F623</f>
        <v>0</v>
      </c>
      <c r="I38" s="402">
        <f>výdavky!G623</f>
        <v>0</v>
      </c>
      <c r="J38" s="402">
        <f>výdavky!H623</f>
        <v>0</v>
      </c>
      <c r="K38" s="402">
        <f>výdavky!I623</f>
        <v>0</v>
      </c>
      <c r="L38" s="422">
        <f>výdavky!J623</f>
        <v>0</v>
      </c>
      <c r="M38" s="402">
        <f>výdavky!K623</f>
        <v>0</v>
      </c>
      <c r="N38" s="402">
        <f>výdavky!L623</f>
        <v>0</v>
      </c>
    </row>
    <row r="39" spans="1:14" x14ac:dyDescent="0.2">
      <c r="A39" s="131">
        <v>33</v>
      </c>
      <c r="B39" s="184"/>
      <c r="C39" s="213" t="s">
        <v>369</v>
      </c>
      <c r="D39" s="214" t="s">
        <v>217</v>
      </c>
      <c r="E39" s="401" t="s">
        <v>423</v>
      </c>
      <c r="F39" s="420"/>
      <c r="G39" s="421"/>
      <c r="H39" s="422">
        <f>výdavky!F624+výdavky!F625</f>
        <v>6000</v>
      </c>
      <c r="I39" s="402">
        <f>výdavky!G625+výdavky!G624</f>
        <v>7000</v>
      </c>
      <c r="J39" s="402">
        <f>výdavky!H624+výdavky!H625</f>
        <v>3000</v>
      </c>
      <c r="K39" s="402">
        <f>výdavky!I625+výdavky!I624</f>
        <v>5000</v>
      </c>
      <c r="L39" s="422">
        <f>výdavky!J625+výdavky!J624</f>
        <v>3000</v>
      </c>
      <c r="M39" s="402">
        <f>výdavky!K625+výdavky!K624</f>
        <v>3000</v>
      </c>
      <c r="N39" s="402">
        <f>+výdavky!L624+výdavky!L625</f>
        <v>3000</v>
      </c>
    </row>
    <row r="40" spans="1:14" x14ac:dyDescent="0.2">
      <c r="A40" s="244">
        <v>34</v>
      </c>
      <c r="B40" s="363"/>
      <c r="C40" s="281" t="s">
        <v>369</v>
      </c>
      <c r="D40" s="282" t="s">
        <v>228</v>
      </c>
      <c r="E40" s="334" t="s">
        <v>496</v>
      </c>
      <c r="F40" s="335"/>
      <c r="G40" s="423"/>
      <c r="H40" s="287">
        <f>výdavky!F621</f>
        <v>0</v>
      </c>
      <c r="I40" s="424">
        <f>výdavky!G621</f>
        <v>0</v>
      </c>
      <c r="J40" s="424">
        <f>výdavky!H621</f>
        <v>0</v>
      </c>
      <c r="K40" s="424">
        <f>výdavky!I622</f>
        <v>0</v>
      </c>
      <c r="L40" s="425">
        <f>výdavky!J621</f>
        <v>0</v>
      </c>
      <c r="M40" s="424">
        <f>výdavky!K621</f>
        <v>0</v>
      </c>
      <c r="N40" s="424">
        <f>výdavky!L621</f>
        <v>0</v>
      </c>
    </row>
  </sheetData>
  <mergeCells count="6">
    <mergeCell ref="G3:N3"/>
    <mergeCell ref="D4:F6"/>
    <mergeCell ref="D27:E27"/>
    <mergeCell ref="C35:E35"/>
    <mergeCell ref="C30:F30"/>
    <mergeCell ref="D32:F32"/>
  </mergeCells>
  <phoneticPr fontId="44" type="noConversion"/>
  <pageMargins left="0.25" right="0.25" top="0.75" bottom="0.75" header="0.3" footer="0.3"/>
  <pageSetup paperSize="9" scale="85" firstPageNumber="0" fitToHeight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44"/>
  <sheetViews>
    <sheetView workbookViewId="0">
      <selection activeCell="F10" sqref="F10"/>
    </sheetView>
  </sheetViews>
  <sheetFormatPr defaultRowHeight="12.75" x14ac:dyDescent="0.2"/>
  <cols>
    <col min="2" max="2" width="29.140625" customWidth="1"/>
    <col min="3" max="3" width="12.7109375" customWidth="1"/>
    <col min="4" max="9" width="10.7109375" customWidth="1"/>
    <col min="11" max="11" width="11.5703125" customWidth="1"/>
  </cols>
  <sheetData>
    <row r="1" spans="1:13" ht="15.75" x14ac:dyDescent="0.25">
      <c r="A1" s="2058" t="s">
        <v>424</v>
      </c>
      <c r="B1" s="2058"/>
      <c r="C1" s="2058"/>
      <c r="D1" s="2058"/>
      <c r="E1" s="2058"/>
      <c r="F1" s="2058"/>
      <c r="G1" s="2058"/>
      <c r="H1" s="2058"/>
      <c r="I1" s="2058"/>
    </row>
    <row r="2" spans="1:13" s="426" customFormat="1" ht="15.75" x14ac:dyDescent="0.25">
      <c r="A2" s="2058"/>
      <c r="B2" s="2058"/>
      <c r="C2" s="2058"/>
      <c r="D2" s="2058"/>
      <c r="E2" s="2058"/>
      <c r="F2" s="2058"/>
      <c r="G2" s="2058"/>
      <c r="H2" s="2058"/>
      <c r="I2" s="2058"/>
    </row>
    <row r="3" spans="1:13" x14ac:dyDescent="0.2">
      <c r="A3" s="427"/>
      <c r="B3" s="427"/>
      <c r="C3" s="427"/>
      <c r="D3" s="427"/>
      <c r="E3" s="427"/>
      <c r="F3" s="427"/>
      <c r="G3" s="427"/>
      <c r="H3" s="428"/>
      <c r="I3" s="428"/>
    </row>
    <row r="4" spans="1:13" ht="13.5" thickBot="1" x14ac:dyDescent="0.25">
      <c r="A4" s="427"/>
      <c r="B4" s="427"/>
      <c r="C4" s="427"/>
      <c r="D4" s="427"/>
      <c r="E4" s="427"/>
      <c r="F4" s="427"/>
      <c r="G4" s="427"/>
      <c r="H4" s="428"/>
      <c r="I4" s="428"/>
    </row>
    <row r="5" spans="1:13" ht="13.5" thickBot="1" x14ac:dyDescent="0.25">
      <c r="A5" s="429" t="s">
        <v>425</v>
      </c>
      <c r="B5" s="430"/>
      <c r="C5" s="2051" t="s">
        <v>426</v>
      </c>
      <c r="D5" s="2052"/>
      <c r="E5" s="2052"/>
      <c r="F5" s="2052"/>
      <c r="G5" s="2052"/>
      <c r="H5" s="2052"/>
      <c r="I5" s="2053"/>
    </row>
    <row r="6" spans="1:13" ht="13.5" thickBot="1" x14ac:dyDescent="0.25">
      <c r="A6" s="431"/>
      <c r="B6" s="432"/>
      <c r="C6" s="754">
        <v>2021</v>
      </c>
      <c r="D6" s="753">
        <v>2022</v>
      </c>
      <c r="E6" s="433" t="s">
        <v>998</v>
      </c>
      <c r="F6" s="433" t="s">
        <v>999</v>
      </c>
      <c r="G6" s="1507">
        <v>2024</v>
      </c>
      <c r="H6" s="1508">
        <v>2025</v>
      </c>
      <c r="I6" s="1509">
        <v>2026</v>
      </c>
    </row>
    <row r="7" spans="1:13" x14ac:dyDescent="0.2">
      <c r="A7" s="431"/>
      <c r="B7" s="432"/>
      <c r="C7" s="765" t="s">
        <v>175</v>
      </c>
      <c r="D7" s="755" t="s">
        <v>175</v>
      </c>
      <c r="E7" s="434" t="s">
        <v>175</v>
      </c>
      <c r="F7" s="434" t="s">
        <v>175</v>
      </c>
      <c r="G7" s="434" t="s">
        <v>175</v>
      </c>
      <c r="H7" s="434" t="s">
        <v>175</v>
      </c>
      <c r="I7" s="434" t="s">
        <v>175</v>
      </c>
    </row>
    <row r="8" spans="1:13" ht="13.5" thickBot="1" x14ac:dyDescent="0.25">
      <c r="A8" s="435"/>
      <c r="B8" s="436"/>
      <c r="C8" s="757">
        <v>-3</v>
      </c>
      <c r="D8" s="756">
        <v>-2</v>
      </c>
      <c r="E8" s="437">
        <v>-1</v>
      </c>
      <c r="F8" s="437">
        <v>-1</v>
      </c>
      <c r="G8" s="437">
        <v>0</v>
      </c>
      <c r="H8" s="438">
        <v>1</v>
      </c>
      <c r="I8" s="438">
        <v>2</v>
      </c>
    </row>
    <row r="9" spans="1:13" x14ac:dyDescent="0.2">
      <c r="A9" s="439" t="s">
        <v>427</v>
      </c>
      <c r="B9" s="440"/>
      <c r="C9" s="761"/>
      <c r="D9" s="758"/>
      <c r="E9" s="441"/>
      <c r="F9" s="441"/>
      <c r="G9" s="441"/>
      <c r="H9" s="442"/>
      <c r="I9" s="442"/>
    </row>
    <row r="10" spans="1:13" x14ac:dyDescent="0.2">
      <c r="A10" s="443" t="s">
        <v>1</v>
      </c>
      <c r="B10" s="444"/>
      <c r="C10" s="787">
        <f>príjmy!L287</f>
        <v>1587130</v>
      </c>
      <c r="D10" s="313">
        <f>SUM(príjmy!M287)</f>
        <v>1610436</v>
      </c>
      <c r="E10" s="664">
        <f>príjmy!N287</f>
        <v>1621629</v>
      </c>
      <c r="F10" s="664">
        <f>príjmy!O287</f>
        <v>1823324</v>
      </c>
      <c r="G10" s="664">
        <f>príjmy!P287</f>
        <v>1765829</v>
      </c>
      <c r="H10" s="664">
        <f>príjmy!Q287</f>
        <v>1835434</v>
      </c>
      <c r="I10" s="664">
        <f>príjmy!R287</f>
        <v>1955631</v>
      </c>
    </row>
    <row r="11" spans="1:13" x14ac:dyDescent="0.2">
      <c r="A11" s="443" t="s">
        <v>79</v>
      </c>
      <c r="B11" s="444"/>
      <c r="C11" s="787">
        <f>príjmy!L288</f>
        <v>1696143</v>
      </c>
      <c r="D11" s="313">
        <f>SUM(príjmy!M288)</f>
        <v>23000</v>
      </c>
      <c r="E11" s="664">
        <f>príjmy!N288</f>
        <v>77000</v>
      </c>
      <c r="F11" s="664">
        <f>príjmy!O288</f>
        <v>25705</v>
      </c>
      <c r="G11" s="664">
        <f>príjmy!P288</f>
        <v>55000</v>
      </c>
      <c r="H11" s="664">
        <f>príjmy!Q288</f>
        <v>30000</v>
      </c>
      <c r="I11" s="664">
        <f>príjmy!R288</f>
        <v>20000</v>
      </c>
      <c r="J11" s="98"/>
      <c r="K11" s="399"/>
      <c r="L11" s="98"/>
    </row>
    <row r="12" spans="1:13" x14ac:dyDescent="0.2">
      <c r="A12" s="446" t="s">
        <v>428</v>
      </c>
      <c r="B12" s="447"/>
      <c r="C12" s="806">
        <f>príjmy!L289</f>
        <v>247358</v>
      </c>
      <c r="D12" s="312">
        <f>príjmy!M289</f>
        <v>192106</v>
      </c>
      <c r="E12" s="836">
        <f>príjmy!N289</f>
        <v>0</v>
      </c>
      <c r="F12" s="836">
        <f>príjmy!O289</f>
        <v>128391</v>
      </c>
      <c r="G12" s="836">
        <f>príjmy!P289</f>
        <v>10000</v>
      </c>
      <c r="H12" s="836">
        <f>príjmy!Q289</f>
        <v>0</v>
      </c>
      <c r="I12" s="836">
        <f>príjmy!R289</f>
        <v>0</v>
      </c>
      <c r="J12" s="98"/>
      <c r="K12" s="101"/>
      <c r="L12" s="101"/>
      <c r="M12" s="98"/>
    </row>
    <row r="13" spans="1:13" x14ac:dyDescent="0.2">
      <c r="A13" s="1165" t="s">
        <v>754</v>
      </c>
      <c r="B13" s="1166"/>
      <c r="C13" s="1167">
        <f>príjmy!L290</f>
        <v>965013</v>
      </c>
      <c r="D13" s="1168">
        <f>príjmy!M290</f>
        <v>979772</v>
      </c>
      <c r="E13" s="1169">
        <f>príjmy!N290</f>
        <v>1089014</v>
      </c>
      <c r="F13" s="1169">
        <f>príjmy!O290</f>
        <v>1084195</v>
      </c>
      <c r="G13" s="1169">
        <f>príjmy!P274</f>
        <v>1048851</v>
      </c>
      <c r="H13" s="1169">
        <f>príjmy!Q274</f>
        <v>1051233</v>
      </c>
      <c r="I13" s="1170">
        <f>príjmy!R274</f>
        <v>1051433</v>
      </c>
      <c r="J13" s="98"/>
      <c r="K13" s="101"/>
      <c r="L13" s="101"/>
      <c r="M13" s="98"/>
    </row>
    <row r="14" spans="1:13" ht="13.5" thickBot="1" x14ac:dyDescent="0.25">
      <c r="A14" s="1160" t="s">
        <v>429</v>
      </c>
      <c r="B14" s="1161"/>
      <c r="C14" s="1162">
        <f>C10+C11+C12+C13</f>
        <v>4495644</v>
      </c>
      <c r="D14" s="1163">
        <f>SUM(D10,D11,D12)+D13</f>
        <v>2805314</v>
      </c>
      <c r="E14" s="1164">
        <f>E10+E11+E12+E13</f>
        <v>2787643</v>
      </c>
      <c r="F14" s="1164">
        <f>SUM(F10,F11,F12,F13,)</f>
        <v>3061615</v>
      </c>
      <c r="G14" s="1164">
        <f>SUM(G10,G11,G12)+G13</f>
        <v>2879680</v>
      </c>
      <c r="H14" s="1164">
        <f>SUM(H10,H11,H12)+H13</f>
        <v>2916667</v>
      </c>
      <c r="I14" s="1502">
        <f>SUM(I10:I13)</f>
        <v>3027064</v>
      </c>
      <c r="K14" s="449"/>
      <c r="L14" s="449"/>
    </row>
    <row r="15" spans="1:13" x14ac:dyDescent="0.2">
      <c r="A15" s="450"/>
      <c r="B15" s="451"/>
      <c r="C15" s="762"/>
      <c r="D15" s="760"/>
      <c r="E15" s="452"/>
      <c r="F15" s="452"/>
      <c r="G15" s="452"/>
      <c r="H15" s="1498"/>
      <c r="I15" s="1503"/>
      <c r="K15" s="449"/>
      <c r="L15" s="449"/>
      <c r="M15" s="98"/>
    </row>
    <row r="16" spans="1:13" x14ac:dyDescent="0.2">
      <c r="A16" s="453" t="s">
        <v>430</v>
      </c>
      <c r="B16" s="454"/>
      <c r="C16" s="763"/>
      <c r="D16" s="759"/>
      <c r="E16" s="445"/>
      <c r="F16" s="445"/>
      <c r="G16" s="445"/>
      <c r="H16" s="1499"/>
      <c r="I16" s="1504"/>
      <c r="K16" s="449"/>
      <c r="L16" s="449"/>
    </row>
    <row r="17" spans="1:12" x14ac:dyDescent="0.2">
      <c r="A17" s="446" t="s">
        <v>431</v>
      </c>
      <c r="B17" s="447"/>
      <c r="C17" s="806">
        <f>výdavky!F811</f>
        <v>1184894.1499999999</v>
      </c>
      <c r="D17" s="312">
        <f>SUM(výdavky!G811)</f>
        <v>1252812</v>
      </c>
      <c r="E17" s="836">
        <f>výdavky!H811</f>
        <v>1117253</v>
      </c>
      <c r="F17" s="836">
        <f>výdavky!I811</f>
        <v>1287494</v>
      </c>
      <c r="G17" s="836">
        <f>SUM(výdavky!J811)</f>
        <v>1209290</v>
      </c>
      <c r="H17" s="1489">
        <f>výdavky!K811</f>
        <v>2758814</v>
      </c>
      <c r="I17" s="806">
        <f>výdavky!L811</f>
        <v>2776340</v>
      </c>
      <c r="K17" s="98"/>
    </row>
    <row r="18" spans="1:12" x14ac:dyDescent="0.2">
      <c r="A18" s="443" t="s">
        <v>432</v>
      </c>
      <c r="B18" s="444"/>
      <c r="C18" s="787">
        <f>výdavky!F812</f>
        <v>903569</v>
      </c>
      <c r="D18" s="313">
        <f>SUM(výdavky!G812)</f>
        <v>134227</v>
      </c>
      <c r="E18" s="664">
        <f>výdavky!H812</f>
        <v>60000</v>
      </c>
      <c r="F18" s="664">
        <f>výdavky!I769</f>
        <v>85412</v>
      </c>
      <c r="G18" s="664">
        <f>výdavky!J812</f>
        <v>0</v>
      </c>
      <c r="H18" s="1360">
        <f>výdavky!K812</f>
        <v>0</v>
      </c>
      <c r="I18" s="787">
        <f>výdavky!L812</f>
        <v>0</v>
      </c>
      <c r="J18" s="98"/>
      <c r="L18" s="98"/>
    </row>
    <row r="19" spans="1:12" x14ac:dyDescent="0.2">
      <c r="A19" s="1490" t="s">
        <v>433</v>
      </c>
      <c r="B19" s="1491"/>
      <c r="C19" s="1492">
        <f>výdavky!F813</f>
        <v>1150364</v>
      </c>
      <c r="D19" s="1493">
        <f>SUM(výdavky!G813)</f>
        <v>142501</v>
      </c>
      <c r="E19" s="1494">
        <f>výdavky!H813</f>
        <v>138304</v>
      </c>
      <c r="F19" s="1494">
        <f>výdavky!I792</f>
        <v>210086</v>
      </c>
      <c r="G19" s="1494">
        <f>výdavky!J813</f>
        <v>153504</v>
      </c>
      <c r="H19" s="1500">
        <f>výdavky!K813</f>
        <v>141107</v>
      </c>
      <c r="I19" s="1492">
        <f>výdavky!L813</f>
        <v>131107</v>
      </c>
      <c r="J19" s="98"/>
      <c r="L19" s="98"/>
    </row>
    <row r="20" spans="1:12" s="1471" customFormat="1" ht="13.5" thickBot="1" x14ac:dyDescent="0.25">
      <c r="A20" s="446" t="s">
        <v>956</v>
      </c>
      <c r="B20" s="455"/>
      <c r="C20" s="806">
        <f>výdavky!F814</f>
        <v>1247371</v>
      </c>
      <c r="D20" s="312">
        <f>výdavky!G814</f>
        <v>1275473</v>
      </c>
      <c r="E20" s="836">
        <f>výdavky!H814</f>
        <v>1469579</v>
      </c>
      <c r="F20" s="836">
        <f>výdavky!I814</f>
        <v>1464004</v>
      </c>
      <c r="G20" s="836">
        <f>výdavky!J814</f>
        <v>1513168</v>
      </c>
      <c r="H20" s="1489">
        <f>výdavky!K814</f>
        <v>0</v>
      </c>
      <c r="I20" s="806">
        <f>výdavky!L814</f>
        <v>0</v>
      </c>
      <c r="J20" s="98"/>
      <c r="L20" s="98"/>
    </row>
    <row r="21" spans="1:12" ht="13.5" thickBot="1" x14ac:dyDescent="0.25">
      <c r="A21" s="448" t="s">
        <v>434</v>
      </c>
      <c r="B21" s="456"/>
      <c r="C21" s="837">
        <f>SUM(C17:C19)+C20</f>
        <v>4486198.1500000004</v>
      </c>
      <c r="D21" s="840">
        <f>SUM(D17,D18,D19)+D20</f>
        <v>2805013</v>
      </c>
      <c r="E21" s="841">
        <f>SUM(E17:E19)+E20</f>
        <v>2785136</v>
      </c>
      <c r="F21" s="841">
        <f>SUM(F17,F18,F19)+F20</f>
        <v>3046996</v>
      </c>
      <c r="G21" s="841">
        <f>SUM(G17,G18,G19)+G20</f>
        <v>2875962</v>
      </c>
      <c r="H21" s="1501">
        <f>SUM(H17,H18,H19)+H20</f>
        <v>2899921</v>
      </c>
      <c r="I21" s="1505">
        <f>SUM(I17,I18,I19)+I20</f>
        <v>2907447</v>
      </c>
      <c r="J21" s="98"/>
      <c r="L21" s="98"/>
    </row>
    <row r="22" spans="1:12" ht="13.5" thickBot="1" x14ac:dyDescent="0.25">
      <c r="A22" s="457"/>
      <c r="B22" s="447"/>
      <c r="C22" s="1496"/>
      <c r="D22" s="838"/>
      <c r="E22" s="1497"/>
      <c r="F22" s="838"/>
      <c r="G22" s="1497"/>
      <c r="H22" s="839"/>
      <c r="I22" s="1506"/>
    </row>
    <row r="23" spans="1:12" ht="13.5" thickBot="1" x14ac:dyDescent="0.25">
      <c r="A23" s="2059" t="s">
        <v>435</v>
      </c>
      <c r="B23" s="2059"/>
      <c r="C23" s="1495">
        <f>C14-C21</f>
        <v>9445.8499999996275</v>
      </c>
      <c r="D23" s="842">
        <f>SUM(D14-D21)</f>
        <v>301</v>
      </c>
      <c r="E23" s="843">
        <f>E14-E21</f>
        <v>2507</v>
      </c>
      <c r="F23" s="843">
        <f>SUM(F14-F21)</f>
        <v>14619</v>
      </c>
      <c r="G23" s="843">
        <f>SUM(G14-G21)</f>
        <v>3718</v>
      </c>
      <c r="H23" s="843">
        <f>SUM(H14-H21)</f>
        <v>16746</v>
      </c>
      <c r="I23" s="844">
        <f>SUM(I14-I21)</f>
        <v>119617</v>
      </c>
    </row>
    <row r="25" spans="1:12" ht="13.5" thickBot="1" x14ac:dyDescent="0.25"/>
    <row r="26" spans="1:12" ht="13.5" thickBot="1" x14ac:dyDescent="0.25">
      <c r="A26" s="429" t="s">
        <v>436</v>
      </c>
      <c r="B26" s="752"/>
      <c r="C26" s="2054" t="s">
        <v>426</v>
      </c>
      <c r="D26" s="2055"/>
      <c r="E26" s="2055"/>
      <c r="F26" s="2055"/>
      <c r="G26" s="2055"/>
      <c r="H26" s="2055"/>
      <c r="I26" s="2056"/>
    </row>
    <row r="27" spans="1:12" ht="13.5" thickBot="1" x14ac:dyDescent="0.25">
      <c r="A27" s="431"/>
      <c r="B27" s="432"/>
      <c r="C27" s="754">
        <v>2021</v>
      </c>
      <c r="D27" s="753">
        <v>2022</v>
      </c>
      <c r="E27" s="433" t="s">
        <v>998</v>
      </c>
      <c r="F27" s="433" t="s">
        <v>999</v>
      </c>
      <c r="G27" s="1507">
        <v>2024</v>
      </c>
      <c r="H27" s="1508">
        <v>2025</v>
      </c>
      <c r="I27" s="1509">
        <v>2026</v>
      </c>
    </row>
    <row r="28" spans="1:12" x14ac:dyDescent="0.2">
      <c r="A28" s="431"/>
      <c r="B28" s="432"/>
      <c r="C28" s="765" t="s">
        <v>175</v>
      </c>
      <c r="D28" s="766" t="s">
        <v>175</v>
      </c>
      <c r="E28" s="755" t="s">
        <v>175</v>
      </c>
      <c r="F28" s="434" t="s">
        <v>175</v>
      </c>
      <c r="G28" s="434" t="s">
        <v>175</v>
      </c>
      <c r="H28" s="434" t="s">
        <v>175</v>
      </c>
      <c r="I28" s="434" t="s">
        <v>175</v>
      </c>
    </row>
    <row r="29" spans="1:12" ht="13.5" thickBot="1" x14ac:dyDescent="0.25">
      <c r="A29" s="435"/>
      <c r="B29" s="436"/>
      <c r="C29" s="757">
        <v>-3</v>
      </c>
      <c r="D29" s="767">
        <v>-2</v>
      </c>
      <c r="E29" s="764">
        <v>-1</v>
      </c>
      <c r="F29" s="458">
        <v>-1</v>
      </c>
      <c r="G29" s="458">
        <v>0</v>
      </c>
      <c r="H29" s="438">
        <v>1</v>
      </c>
      <c r="I29" s="438">
        <v>2</v>
      </c>
    </row>
    <row r="30" spans="1:12" x14ac:dyDescent="0.2">
      <c r="A30" s="2060" t="s">
        <v>1</v>
      </c>
      <c r="B30" s="2060"/>
      <c r="C30" s="869">
        <f t="shared" ref="C30:I30" si="0">C10+C13</f>
        <v>2552143</v>
      </c>
      <c r="D30" s="845">
        <f t="shared" si="0"/>
        <v>2590208</v>
      </c>
      <c r="E30" s="846">
        <f t="shared" si="0"/>
        <v>2710643</v>
      </c>
      <c r="F30" s="847">
        <f t="shared" si="0"/>
        <v>2907519</v>
      </c>
      <c r="G30" s="847">
        <f t="shared" si="0"/>
        <v>2814680</v>
      </c>
      <c r="H30" s="847">
        <f t="shared" si="0"/>
        <v>2886667</v>
      </c>
      <c r="I30" s="848">
        <f t="shared" si="0"/>
        <v>3007064</v>
      </c>
    </row>
    <row r="31" spans="1:12" x14ac:dyDescent="0.2">
      <c r="A31" s="2049" t="s">
        <v>431</v>
      </c>
      <c r="B31" s="2049"/>
      <c r="C31" s="870">
        <f>C17+C20</f>
        <v>2432265.15</v>
      </c>
      <c r="D31" s="849">
        <f>SUM(D17)+D20</f>
        <v>2528285</v>
      </c>
      <c r="E31" s="850">
        <f>E17+E20</f>
        <v>2586832</v>
      </c>
      <c r="F31" s="851">
        <f>F17+F20</f>
        <v>2751498</v>
      </c>
      <c r="G31" s="851">
        <f>G17+G20</f>
        <v>2722458</v>
      </c>
      <c r="H31" s="851">
        <f>H17+H20</f>
        <v>2758814</v>
      </c>
      <c r="I31" s="852">
        <f>I17+I20</f>
        <v>2776340</v>
      </c>
    </row>
    <row r="32" spans="1:12" x14ac:dyDescent="0.2">
      <c r="A32" s="2057" t="s">
        <v>437</v>
      </c>
      <c r="B32" s="2057"/>
      <c r="C32" s="871">
        <f t="shared" ref="C32:I32" si="1">C30-C31</f>
        <v>119877.85000000009</v>
      </c>
      <c r="D32" s="853">
        <f t="shared" si="1"/>
        <v>61923</v>
      </c>
      <c r="E32" s="854">
        <f t="shared" si="1"/>
        <v>123811</v>
      </c>
      <c r="F32" s="855">
        <f t="shared" si="1"/>
        <v>156021</v>
      </c>
      <c r="G32" s="855">
        <f t="shared" si="1"/>
        <v>92222</v>
      </c>
      <c r="H32" s="855">
        <f>H30-H31</f>
        <v>127853</v>
      </c>
      <c r="I32" s="856">
        <f t="shared" si="1"/>
        <v>230724</v>
      </c>
    </row>
    <row r="33" spans="1:9" x14ac:dyDescent="0.2">
      <c r="A33" s="2047"/>
      <c r="B33" s="2047"/>
      <c r="C33" s="157"/>
      <c r="D33" s="838"/>
      <c r="E33" s="838"/>
      <c r="F33" s="838"/>
      <c r="G33" s="217"/>
      <c r="H33" s="217"/>
      <c r="I33" s="323"/>
    </row>
    <row r="34" spans="1:9" x14ac:dyDescent="0.2">
      <c r="A34" s="2048" t="s">
        <v>79</v>
      </c>
      <c r="B34" s="2048"/>
      <c r="C34" s="872">
        <f>C11</f>
        <v>1696143</v>
      </c>
      <c r="D34" s="857">
        <f>D11</f>
        <v>23000</v>
      </c>
      <c r="E34" s="857">
        <f>E11</f>
        <v>77000</v>
      </c>
      <c r="F34" s="858">
        <f>F11</f>
        <v>25705</v>
      </c>
      <c r="G34" s="858">
        <f>SUM(G11)</f>
        <v>55000</v>
      </c>
      <c r="H34" s="858">
        <f>SUM(H11)</f>
        <v>30000</v>
      </c>
      <c r="I34" s="859">
        <f>SUM(I11)</f>
        <v>20000</v>
      </c>
    </row>
    <row r="35" spans="1:9" x14ac:dyDescent="0.2">
      <c r="A35" s="2049" t="s">
        <v>432</v>
      </c>
      <c r="B35" s="2049"/>
      <c r="C35" s="873">
        <f>C18</f>
        <v>903569</v>
      </c>
      <c r="D35" s="860">
        <f>D18</f>
        <v>134227</v>
      </c>
      <c r="E35" s="860">
        <f>E18</f>
        <v>60000</v>
      </c>
      <c r="F35" s="861">
        <f>F18</f>
        <v>85412</v>
      </c>
      <c r="G35" s="861">
        <f>SUM(G18)</f>
        <v>0</v>
      </c>
      <c r="H35" s="861">
        <f>SUM(H18)</f>
        <v>0</v>
      </c>
      <c r="I35" s="862">
        <f>SUM(I18)</f>
        <v>0</v>
      </c>
    </row>
    <row r="36" spans="1:9" x14ac:dyDescent="0.2">
      <c r="A36" s="2057" t="s">
        <v>437</v>
      </c>
      <c r="B36" s="2057"/>
      <c r="C36" s="874">
        <f t="shared" ref="C36:I36" si="2">C34-C35</f>
        <v>792574</v>
      </c>
      <c r="D36" s="863">
        <f t="shared" si="2"/>
        <v>-111227</v>
      </c>
      <c r="E36" s="863">
        <f t="shared" si="2"/>
        <v>17000</v>
      </c>
      <c r="F36" s="864">
        <f t="shared" si="2"/>
        <v>-59707</v>
      </c>
      <c r="G36" s="864">
        <f t="shared" si="2"/>
        <v>55000</v>
      </c>
      <c r="H36" s="864">
        <f t="shared" si="2"/>
        <v>30000</v>
      </c>
      <c r="I36" s="865">
        <f t="shared" si="2"/>
        <v>20000</v>
      </c>
    </row>
    <row r="37" spans="1:9" x14ac:dyDescent="0.2">
      <c r="A37" s="2047"/>
      <c r="B37" s="2047"/>
      <c r="C37" s="157"/>
      <c r="D37" s="838"/>
      <c r="E37" s="838"/>
      <c r="F37" s="838"/>
      <c r="G37" s="217"/>
      <c r="H37" s="217"/>
      <c r="I37" s="323"/>
    </row>
    <row r="38" spans="1:9" x14ac:dyDescent="0.2">
      <c r="A38" s="2048" t="s">
        <v>85</v>
      </c>
      <c r="B38" s="2048"/>
      <c r="C38" s="872">
        <f>C12</f>
        <v>247358</v>
      </c>
      <c r="D38" s="857">
        <f>D12</f>
        <v>192106</v>
      </c>
      <c r="E38" s="857">
        <f>E12</f>
        <v>0</v>
      </c>
      <c r="F38" s="858">
        <f>F12</f>
        <v>128391</v>
      </c>
      <c r="G38" s="858">
        <f>SUM(G12)</f>
        <v>10000</v>
      </c>
      <c r="H38" s="858">
        <f>H12</f>
        <v>0</v>
      </c>
      <c r="I38" s="859">
        <f>SUM(I12)</f>
        <v>0</v>
      </c>
    </row>
    <row r="39" spans="1:9" x14ac:dyDescent="0.2">
      <c r="A39" s="2049" t="s">
        <v>438</v>
      </c>
      <c r="B39" s="2049"/>
      <c r="C39" s="873">
        <f>C19</f>
        <v>1150364</v>
      </c>
      <c r="D39" s="860">
        <f>D19</f>
        <v>142501</v>
      </c>
      <c r="E39" s="860">
        <f>E19</f>
        <v>138304</v>
      </c>
      <c r="F39" s="861">
        <f>F19</f>
        <v>210086</v>
      </c>
      <c r="G39" s="861">
        <f>SUM(G19)</f>
        <v>153504</v>
      </c>
      <c r="H39" s="861">
        <f>H19</f>
        <v>141107</v>
      </c>
      <c r="I39" s="862">
        <f>SUM(I19)</f>
        <v>131107</v>
      </c>
    </row>
    <row r="40" spans="1:9" x14ac:dyDescent="0.2">
      <c r="A40" s="2057" t="s">
        <v>437</v>
      </c>
      <c r="B40" s="2057"/>
      <c r="C40" s="874">
        <f t="shared" ref="C40:I40" si="3">C38-C39</f>
        <v>-903006</v>
      </c>
      <c r="D40" s="863">
        <f t="shared" si="3"/>
        <v>49605</v>
      </c>
      <c r="E40" s="863">
        <f t="shared" si="3"/>
        <v>-138304</v>
      </c>
      <c r="F40" s="864">
        <f t="shared" si="3"/>
        <v>-81695</v>
      </c>
      <c r="G40" s="864">
        <f t="shared" si="3"/>
        <v>-143504</v>
      </c>
      <c r="H40" s="864">
        <f t="shared" si="3"/>
        <v>-141107</v>
      </c>
      <c r="I40" s="865">
        <f t="shared" si="3"/>
        <v>-131107</v>
      </c>
    </row>
    <row r="41" spans="1:9" x14ac:dyDescent="0.2">
      <c r="A41" s="2047"/>
      <c r="B41" s="2047"/>
      <c r="C41" s="157"/>
      <c r="D41" s="217"/>
      <c r="E41" s="217"/>
      <c r="F41" s="217"/>
      <c r="G41" s="217"/>
      <c r="H41" s="217"/>
      <c r="I41" s="323"/>
    </row>
    <row r="42" spans="1:9" x14ac:dyDescent="0.2">
      <c r="A42" s="2048" t="s">
        <v>439</v>
      </c>
      <c r="B42" s="2048"/>
      <c r="C42" s="872">
        <f>C14</f>
        <v>4495644</v>
      </c>
      <c r="D42" s="857">
        <f>D14</f>
        <v>2805314</v>
      </c>
      <c r="E42" s="857">
        <f>E14</f>
        <v>2787643</v>
      </c>
      <c r="F42" s="858">
        <f>F14</f>
        <v>3061615</v>
      </c>
      <c r="G42" s="858">
        <f>SUM(G14)</f>
        <v>2879680</v>
      </c>
      <c r="H42" s="858">
        <f>H14</f>
        <v>2916667</v>
      </c>
      <c r="I42" s="859">
        <f>I14</f>
        <v>3027064</v>
      </c>
    </row>
    <row r="43" spans="1:9" x14ac:dyDescent="0.2">
      <c r="A43" s="2049" t="s">
        <v>440</v>
      </c>
      <c r="B43" s="2049"/>
      <c r="C43" s="875">
        <f>C21</f>
        <v>4486198.1500000004</v>
      </c>
      <c r="D43" s="860">
        <f>D21</f>
        <v>2805013</v>
      </c>
      <c r="E43" s="860">
        <f>E21</f>
        <v>2785136</v>
      </c>
      <c r="F43" s="861">
        <f>F21</f>
        <v>3046996</v>
      </c>
      <c r="G43" s="861">
        <f>SUM(G21)</f>
        <v>2875962</v>
      </c>
      <c r="H43" s="861">
        <f>H21</f>
        <v>2899921</v>
      </c>
      <c r="I43" s="862">
        <f>I21</f>
        <v>2907447</v>
      </c>
    </row>
    <row r="44" spans="1:9" x14ac:dyDescent="0.2">
      <c r="A44" s="2050" t="s">
        <v>437</v>
      </c>
      <c r="B44" s="2050"/>
      <c r="C44" s="876">
        <f t="shared" ref="C44:I44" si="4">C42-C43</f>
        <v>9445.8499999996275</v>
      </c>
      <c r="D44" s="866">
        <f t="shared" si="4"/>
        <v>301</v>
      </c>
      <c r="E44" s="866">
        <f t="shared" si="4"/>
        <v>2507</v>
      </c>
      <c r="F44" s="867">
        <f t="shared" si="4"/>
        <v>14619</v>
      </c>
      <c r="G44" s="867">
        <f t="shared" si="4"/>
        <v>3718</v>
      </c>
      <c r="H44" s="867">
        <f t="shared" si="4"/>
        <v>16746</v>
      </c>
      <c r="I44" s="868">
        <f t="shared" si="4"/>
        <v>119617</v>
      </c>
    </row>
  </sheetData>
  <mergeCells count="20">
    <mergeCell ref="A1:I1"/>
    <mergeCell ref="A2:I2"/>
    <mergeCell ref="A23:B23"/>
    <mergeCell ref="A35:B35"/>
    <mergeCell ref="A36:B36"/>
    <mergeCell ref="A30:B30"/>
    <mergeCell ref="A31:B31"/>
    <mergeCell ref="A32:B32"/>
    <mergeCell ref="A41:B41"/>
    <mergeCell ref="A42:B42"/>
    <mergeCell ref="A43:B43"/>
    <mergeCell ref="A44:B44"/>
    <mergeCell ref="C5:I5"/>
    <mergeCell ref="C26:I26"/>
    <mergeCell ref="A33:B33"/>
    <mergeCell ref="A34:B34"/>
    <mergeCell ref="A37:B37"/>
    <mergeCell ref="A38:B38"/>
    <mergeCell ref="A39:B39"/>
    <mergeCell ref="A40:B40"/>
  </mergeCells>
  <phoneticPr fontId="44" type="noConversion"/>
  <pageMargins left="0.59055118110236227" right="0.19685039370078741" top="0.78740157480314965" bottom="0.78740157480314965" header="0.51181102362204722" footer="0.51181102362204722"/>
  <pageSetup paperSize="9" scale="84" firstPageNumber="0" fitToHeight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V929"/>
  <sheetViews>
    <sheetView showWhiteSpace="0" topLeftCell="A760" zoomScale="95" zoomScaleNormal="95" workbookViewId="0">
      <selection activeCell="A620" sqref="A620:L620"/>
    </sheetView>
  </sheetViews>
  <sheetFormatPr defaultColWidth="6.28515625" defaultRowHeight="12.75" x14ac:dyDescent="0.2"/>
  <cols>
    <col min="1" max="1" width="5.28515625" style="16" customWidth="1"/>
    <col min="2" max="2" width="4.5703125" style="16" customWidth="1"/>
    <col min="3" max="3" width="39.5703125" style="16" customWidth="1"/>
    <col min="4" max="5" width="9.7109375" style="16" hidden="1" customWidth="1"/>
    <col min="6" max="6" width="9.7109375" style="16" customWidth="1"/>
    <col min="7" max="9" width="10.7109375" style="459" customWidth="1"/>
    <col min="10" max="10" width="12.28515625" style="1283" customWidth="1"/>
    <col min="11" max="11" width="10.7109375" style="459" customWidth="1"/>
    <col min="12" max="12" width="10.7109375" style="460" customWidth="1"/>
    <col min="13" max="13" width="24" style="20" customWidth="1"/>
    <col min="14" max="17" width="10.7109375" style="20" customWidth="1"/>
    <col min="18" max="18" width="19.85546875" style="16" customWidth="1"/>
    <col min="19" max="19" width="9.140625" style="16" customWidth="1"/>
    <col min="20" max="16384" width="6.28515625" style="16"/>
  </cols>
  <sheetData>
    <row r="1" spans="1:19" ht="15.75" x14ac:dyDescent="0.25">
      <c r="A1" s="2080" t="s">
        <v>988</v>
      </c>
      <c r="B1" s="2080"/>
      <c r="C1" s="2080"/>
      <c r="D1" s="2080"/>
      <c r="E1" s="2080"/>
      <c r="F1" s="2080"/>
      <c r="G1" s="2080"/>
      <c r="H1" s="2080"/>
      <c r="I1" s="2080"/>
      <c r="J1" s="2080"/>
      <c r="K1" s="2080"/>
      <c r="L1" s="2080"/>
      <c r="M1" s="461"/>
      <c r="N1" s="461"/>
      <c r="O1" s="461"/>
      <c r="P1" s="461"/>
      <c r="Q1" s="461"/>
    </row>
    <row r="2" spans="1:19" x14ac:dyDescent="0.2">
      <c r="J2" s="1316"/>
    </row>
    <row r="3" spans="1:19" x14ac:dyDescent="0.2">
      <c r="C3" s="462" t="s">
        <v>431</v>
      </c>
      <c r="D3" s="462"/>
      <c r="E3" s="462"/>
      <c r="F3" s="462"/>
      <c r="J3" s="1316"/>
    </row>
    <row r="4" spans="1:19" x14ac:dyDescent="0.2">
      <c r="H4" s="2074" t="s">
        <v>445</v>
      </c>
      <c r="I4" s="2074"/>
      <c r="J4" s="2074"/>
      <c r="K4" s="2074"/>
      <c r="L4" s="2074"/>
      <c r="M4" s="86"/>
      <c r="N4" s="86"/>
      <c r="O4" s="86"/>
      <c r="P4" s="86"/>
      <c r="Q4" s="86"/>
    </row>
    <row r="5" spans="1:19" ht="16.5" hidden="1" thickBot="1" x14ac:dyDescent="0.3">
      <c r="A5" s="2015"/>
      <c r="B5" s="2015"/>
      <c r="C5" s="2015"/>
      <c r="D5" s="2015"/>
      <c r="E5" s="2015"/>
      <c r="F5" s="2015"/>
      <c r="G5" s="2015"/>
      <c r="H5" s="463"/>
      <c r="I5" s="463"/>
      <c r="K5" s="463" t="s">
        <v>441</v>
      </c>
    </row>
    <row r="6" spans="1:19" s="468" customFormat="1" x14ac:dyDescent="0.2">
      <c r="A6" s="1537" t="s">
        <v>431</v>
      </c>
      <c r="B6" s="1538"/>
      <c r="C6" s="1539"/>
      <c r="D6" s="1539">
        <v>2018</v>
      </c>
      <c r="E6" s="1540" t="s">
        <v>909</v>
      </c>
      <c r="F6" s="1540">
        <v>2021</v>
      </c>
      <c r="G6" s="1541">
        <v>2022</v>
      </c>
      <c r="H6" s="1818">
        <v>2023</v>
      </c>
      <c r="I6" s="1542" t="s">
        <v>981</v>
      </c>
      <c r="J6" s="1543">
        <v>2024</v>
      </c>
      <c r="K6" s="1541">
        <v>2025</v>
      </c>
      <c r="L6" s="1541">
        <v>2026</v>
      </c>
      <c r="M6" s="464"/>
      <c r="N6" s="29"/>
      <c r="O6" s="464"/>
      <c r="P6" s="465"/>
      <c r="Q6" s="466"/>
      <c r="R6" s="467"/>
    </row>
    <row r="7" spans="1:19" s="17" customFormat="1" x14ac:dyDescent="0.2">
      <c r="A7" s="1834" t="s">
        <v>446</v>
      </c>
      <c r="B7" s="2081"/>
      <c r="C7" s="2082"/>
      <c r="D7" s="1835">
        <f>SUM(D8,D10,D12,D13)+D11+D16+D9</f>
        <v>265246</v>
      </c>
      <c r="E7" s="1836">
        <f>SUM(E8,E10,E12,E13)+E11+E16+E9</f>
        <v>236048</v>
      </c>
      <c r="F7" s="1835">
        <f>F8+F9+F12+F13+F10</f>
        <v>287048</v>
      </c>
      <c r="G7" s="1306">
        <f>G8+G9+G12+G13+G10</f>
        <v>336455</v>
      </c>
      <c r="H7" s="1835">
        <f>H8+H9+H12+H13+H10</f>
        <v>281275</v>
      </c>
      <c r="I7" s="1835">
        <f>I8+I9+I12+I13+I10</f>
        <v>320125</v>
      </c>
      <c r="J7" s="1306">
        <f>J8+J9+J12+J13+J10</f>
        <v>292650</v>
      </c>
      <c r="K7" s="1835">
        <f>K8+K12+K13+K10</f>
        <v>293060</v>
      </c>
      <c r="L7" s="1835">
        <f>L8+L12+L13+L10</f>
        <v>294060</v>
      </c>
      <c r="M7" s="78"/>
      <c r="N7" s="78"/>
      <c r="O7" s="78"/>
      <c r="P7" s="469"/>
      <c r="Q7" s="469"/>
      <c r="R7" s="470"/>
    </row>
    <row r="8" spans="1:19" s="50" customFormat="1" ht="11.25" x14ac:dyDescent="0.2">
      <c r="A8" s="1031">
        <v>610</v>
      </c>
      <c r="B8" s="1551"/>
      <c r="C8" s="1265" t="s">
        <v>447</v>
      </c>
      <c r="D8" s="1028">
        <v>90000</v>
      </c>
      <c r="E8" s="1028">
        <v>100548</v>
      </c>
      <c r="F8" s="1319">
        <v>105500</v>
      </c>
      <c r="G8" s="1319">
        <v>107000</v>
      </c>
      <c r="H8" s="1319">
        <v>107000</v>
      </c>
      <c r="I8" s="1319">
        <v>111360</v>
      </c>
      <c r="J8" s="1302">
        <v>115000</v>
      </c>
      <c r="K8" s="1516">
        <v>115000</v>
      </c>
      <c r="L8" s="1028">
        <v>115000</v>
      </c>
      <c r="M8" s="76"/>
      <c r="N8" s="76"/>
      <c r="O8" s="76"/>
      <c r="Q8" s="58"/>
    </row>
    <row r="9" spans="1:19" s="50" customFormat="1" ht="11.25" x14ac:dyDescent="0.2">
      <c r="A9" s="1552">
        <v>610</v>
      </c>
      <c r="B9" s="1553"/>
      <c r="C9" s="1554" t="s">
        <v>645</v>
      </c>
      <c r="D9" s="1270">
        <v>0</v>
      </c>
      <c r="E9" s="1270">
        <v>0</v>
      </c>
      <c r="F9" s="1319">
        <v>0</v>
      </c>
      <c r="G9" s="1319">
        <v>0</v>
      </c>
      <c r="H9" s="1527">
        <v>0</v>
      </c>
      <c r="I9" s="1527">
        <v>0</v>
      </c>
      <c r="J9" s="1290">
        <v>0</v>
      </c>
      <c r="K9" s="1516">
        <v>0</v>
      </c>
      <c r="L9" s="1270">
        <v>0</v>
      </c>
      <c r="M9" s="76"/>
      <c r="N9" s="76"/>
      <c r="O9" s="76"/>
      <c r="Q9" s="58"/>
    </row>
    <row r="10" spans="1:19" s="50" customFormat="1" ht="11.25" x14ac:dyDescent="0.2">
      <c r="A10" s="1555">
        <v>610</v>
      </c>
      <c r="B10" s="1551"/>
      <c r="C10" s="1556" t="s">
        <v>448</v>
      </c>
      <c r="D10" s="1182">
        <v>1500</v>
      </c>
      <c r="E10" s="1182">
        <v>0</v>
      </c>
      <c r="F10" s="1319">
        <v>0</v>
      </c>
      <c r="G10" s="1515">
        <v>3000</v>
      </c>
      <c r="H10" s="1515">
        <v>1500</v>
      </c>
      <c r="I10" s="1516">
        <v>7165</v>
      </c>
      <c r="J10" s="1304">
        <v>3000</v>
      </c>
      <c r="K10" s="1557">
        <v>0</v>
      </c>
      <c r="L10" s="1182">
        <v>0</v>
      </c>
      <c r="M10" s="76"/>
      <c r="N10" s="471"/>
      <c r="O10" s="76"/>
      <c r="P10" s="467"/>
      <c r="Q10" s="58"/>
    </row>
    <row r="11" spans="1:19" s="50" customFormat="1" ht="11.25" x14ac:dyDescent="0.2">
      <c r="A11" s="1558">
        <v>625</v>
      </c>
      <c r="B11" s="1559" t="s">
        <v>92</v>
      </c>
      <c r="C11" s="1556" t="s">
        <v>449</v>
      </c>
      <c r="D11" s="1180">
        <v>0</v>
      </c>
      <c r="E11" s="1180">
        <v>0</v>
      </c>
      <c r="F11" s="1319">
        <v>0</v>
      </c>
      <c r="G11" s="1319">
        <v>0</v>
      </c>
      <c r="H11" s="1529">
        <v>0</v>
      </c>
      <c r="I11" s="1529">
        <v>0</v>
      </c>
      <c r="J11" s="1290">
        <v>0</v>
      </c>
      <c r="K11" s="1516">
        <v>0</v>
      </c>
      <c r="L11" s="1180">
        <v>0</v>
      </c>
      <c r="M11" s="76"/>
      <c r="N11" s="76"/>
      <c r="O11" s="76"/>
      <c r="P11" s="467"/>
      <c r="Q11" s="58"/>
    </row>
    <row r="12" spans="1:19" x14ac:dyDescent="0.2">
      <c r="A12" s="1031">
        <v>620</v>
      </c>
      <c r="B12" s="1031"/>
      <c r="C12" s="1031" t="s">
        <v>193</v>
      </c>
      <c r="D12" s="1028">
        <v>35500</v>
      </c>
      <c r="E12" s="1028">
        <v>36157</v>
      </c>
      <c r="F12" s="1319">
        <v>39340</v>
      </c>
      <c r="G12" s="1319">
        <v>40600</v>
      </c>
      <c r="H12" s="1319">
        <v>40600</v>
      </c>
      <c r="I12" s="1319">
        <v>40600</v>
      </c>
      <c r="J12" s="1290">
        <v>40600</v>
      </c>
      <c r="K12" s="1516">
        <v>40600</v>
      </c>
      <c r="L12" s="1028">
        <v>40600</v>
      </c>
      <c r="M12" s="76"/>
      <c r="N12" s="76"/>
      <c r="O12" s="76"/>
      <c r="P12" s="50"/>
      <c r="Q12" s="58"/>
    </row>
    <row r="13" spans="1:19" s="20" customFormat="1" x14ac:dyDescent="0.2">
      <c r="A13" s="1560">
        <v>630</v>
      </c>
      <c r="B13" s="1561"/>
      <c r="C13" s="1561" t="s">
        <v>361</v>
      </c>
      <c r="D13" s="1562">
        <f t="shared" ref="D13:L13" si="0">D14+D15+D17+D30+D37+D41+D49+D72</f>
        <v>138246</v>
      </c>
      <c r="E13" s="1562">
        <f>E14+E15+E17+E30+E37+E41+E49+E72</f>
        <v>99343</v>
      </c>
      <c r="F13" s="1319">
        <f>F14+F15+F17+F30+F37+F41+F49+F72</f>
        <v>142208</v>
      </c>
      <c r="G13" s="1816">
        <f>G14+G15+G17+G30+G37+G41+G49+G72</f>
        <v>185855</v>
      </c>
      <c r="H13" s="1249">
        <f t="shared" si="0"/>
        <v>132175</v>
      </c>
      <c r="I13" s="1249">
        <f>I14+I15+I17+I30+I37+I41+I49+I72</f>
        <v>161000</v>
      </c>
      <c r="J13" s="1290">
        <f>J14+J15+J17+J30+J37+J41+J49+J72</f>
        <v>134050</v>
      </c>
      <c r="K13" s="1562">
        <f t="shared" si="0"/>
        <v>137460</v>
      </c>
      <c r="L13" s="1562">
        <f t="shared" si="0"/>
        <v>138460</v>
      </c>
      <c r="M13" s="83"/>
      <c r="N13" s="83"/>
      <c r="O13" s="83"/>
      <c r="P13" s="59"/>
      <c r="Q13" s="59"/>
      <c r="S13" s="21"/>
    </row>
    <row r="14" spans="1:19" s="20" customFormat="1" x14ac:dyDescent="0.2">
      <c r="A14" s="1563" t="s">
        <v>450</v>
      </c>
      <c r="B14" s="1563"/>
      <c r="C14" s="1563" t="s">
        <v>195</v>
      </c>
      <c r="D14" s="1246">
        <v>200</v>
      </c>
      <c r="E14" s="1246">
        <v>0</v>
      </c>
      <c r="F14" s="1514">
        <v>100</v>
      </c>
      <c r="G14" s="1514">
        <v>100</v>
      </c>
      <c r="H14" s="1246">
        <v>100</v>
      </c>
      <c r="I14" s="1246">
        <v>0</v>
      </c>
      <c r="J14" s="1305">
        <v>0</v>
      </c>
      <c r="K14" s="1564">
        <v>0</v>
      </c>
      <c r="L14" s="1246">
        <v>0</v>
      </c>
      <c r="M14" s="76"/>
      <c r="N14" s="472"/>
      <c r="O14" s="76"/>
      <c r="P14" s="473"/>
      <c r="Q14" s="474"/>
    </row>
    <row r="15" spans="1:19" s="20" customFormat="1" x14ac:dyDescent="0.2">
      <c r="A15" s="1563">
        <v>632</v>
      </c>
      <c r="B15" s="1563"/>
      <c r="C15" s="1563" t="s">
        <v>451</v>
      </c>
      <c r="D15" s="1246">
        <v>15200</v>
      </c>
      <c r="E15" s="1246">
        <v>12788</v>
      </c>
      <c r="F15" s="1514">
        <v>15450</v>
      </c>
      <c r="G15" s="1514">
        <v>25000</v>
      </c>
      <c r="H15" s="1246">
        <v>25000</v>
      </c>
      <c r="I15" s="1246">
        <v>31400</v>
      </c>
      <c r="J15" s="1305">
        <v>30000</v>
      </c>
      <c r="K15" s="1564">
        <v>30000</v>
      </c>
      <c r="L15" s="1246">
        <v>30000</v>
      </c>
      <c r="M15" s="76"/>
      <c r="N15" s="472"/>
      <c r="O15" s="76"/>
      <c r="P15" s="473"/>
      <c r="Q15" s="474"/>
    </row>
    <row r="16" spans="1:19" s="477" customFormat="1" x14ac:dyDescent="0.2">
      <c r="A16" s="1565">
        <v>632</v>
      </c>
      <c r="B16" s="1565" t="s">
        <v>452</v>
      </c>
      <c r="C16" s="1566"/>
      <c r="D16" s="1180">
        <v>0</v>
      </c>
      <c r="E16" s="1180">
        <v>0</v>
      </c>
      <c r="F16" s="1319">
        <v>0</v>
      </c>
      <c r="G16" s="1319">
        <v>0</v>
      </c>
      <c r="H16" s="1180">
        <v>0</v>
      </c>
      <c r="I16" s="1180">
        <v>0</v>
      </c>
      <c r="J16" s="1290">
        <v>0</v>
      </c>
      <c r="K16" s="1516">
        <v>0</v>
      </c>
      <c r="L16" s="1180">
        <v>0</v>
      </c>
      <c r="M16" s="471"/>
      <c r="N16" s="471"/>
      <c r="O16" s="471"/>
      <c r="P16" s="475"/>
      <c r="Q16" s="476"/>
    </row>
    <row r="17" spans="1:19" s="20" customFormat="1" x14ac:dyDescent="0.2">
      <c r="A17" s="1567">
        <v>633</v>
      </c>
      <c r="B17" s="1567"/>
      <c r="C17" s="1567" t="s">
        <v>453</v>
      </c>
      <c r="D17" s="1250">
        <f>SUM(D18:D29)-D23</f>
        <v>34684</v>
      </c>
      <c r="E17" s="1250">
        <f t="shared" ref="E17:H17" si="1">SUM(E18,E19,E20,E21,E22,E24,E25,E26,E27,E28,E29)</f>
        <v>27464</v>
      </c>
      <c r="F17" s="1514">
        <f>SUM(F18,F19,F20,F21,F22,F24,F25,F26,F27,F28,F29)</f>
        <v>26800</v>
      </c>
      <c r="G17" s="1514">
        <f>SUM(G18,G19,G20,G21,G22,G24,G25,G26,G27,G28,G29)</f>
        <v>46042</v>
      </c>
      <c r="H17" s="1250">
        <f t="shared" si="1"/>
        <v>26800</v>
      </c>
      <c r="I17" s="1250">
        <f>SUM(I18,I19,I20,I21,I22,I24,I25,I26,I27,I28,I29)+I23</f>
        <v>29958</v>
      </c>
      <c r="J17" s="1305">
        <f>SUM(J18,J19,J20,J21,J22,J24,J25,J26,J27,J28,J29)</f>
        <v>24700</v>
      </c>
      <c r="K17" s="1250">
        <f>SUM(K18,K19,K20,K21,K22,K24,K25,K26,K27,K28,K23)+K29</f>
        <v>26700</v>
      </c>
      <c r="L17" s="1250">
        <f>SUM(L18,L19,L20,L21,L22,L24,L25,L26,L27,L28,L23)+L29</f>
        <v>26700</v>
      </c>
      <c r="M17" s="478"/>
      <c r="N17" s="478"/>
      <c r="O17" s="478"/>
      <c r="P17" s="479"/>
      <c r="Q17" s="479"/>
    </row>
    <row r="18" spans="1:19" s="20" customFormat="1" x14ac:dyDescent="0.2">
      <c r="A18" s="835">
        <v>633</v>
      </c>
      <c r="B18" s="835" t="s">
        <v>94</v>
      </c>
      <c r="C18" s="835" t="s">
        <v>454</v>
      </c>
      <c r="D18" s="1028">
        <v>1700</v>
      </c>
      <c r="E18" s="1028">
        <v>1542</v>
      </c>
      <c r="F18" s="1319">
        <v>500</v>
      </c>
      <c r="G18" s="1319">
        <v>500</v>
      </c>
      <c r="H18" s="1319">
        <v>500</v>
      </c>
      <c r="I18" s="1319">
        <v>0</v>
      </c>
      <c r="J18" s="1290">
        <v>0</v>
      </c>
      <c r="K18" s="1516">
        <v>500</v>
      </c>
      <c r="L18" s="1028">
        <v>500</v>
      </c>
      <c r="M18" s="76"/>
      <c r="N18" s="76"/>
      <c r="O18" s="76"/>
      <c r="P18" s="50"/>
      <c r="Q18" s="58"/>
    </row>
    <row r="19" spans="1:19" x14ac:dyDescent="0.2">
      <c r="A19" s="1031">
        <v>633</v>
      </c>
      <c r="B19" s="1568" t="s">
        <v>97</v>
      </c>
      <c r="C19" s="1031" t="s">
        <v>455</v>
      </c>
      <c r="D19" s="1028">
        <v>1515</v>
      </c>
      <c r="E19" s="1028">
        <v>500</v>
      </c>
      <c r="F19" s="1319">
        <v>500</v>
      </c>
      <c r="G19" s="1319">
        <v>500</v>
      </c>
      <c r="H19" s="1319">
        <v>500</v>
      </c>
      <c r="I19" s="1319">
        <v>0</v>
      </c>
      <c r="J19" s="1290">
        <v>0</v>
      </c>
      <c r="K19" s="1516">
        <v>500</v>
      </c>
      <c r="L19" s="1028">
        <v>500</v>
      </c>
      <c r="M19" s="76"/>
      <c r="N19" s="76"/>
      <c r="O19" s="76"/>
      <c r="P19" s="50"/>
      <c r="Q19" s="58"/>
    </row>
    <row r="20" spans="1:19" x14ac:dyDescent="0.2">
      <c r="A20" s="1031">
        <v>633</v>
      </c>
      <c r="B20" s="1568" t="s">
        <v>120</v>
      </c>
      <c r="C20" s="1031" t="s">
        <v>456</v>
      </c>
      <c r="D20" s="1028">
        <v>1000</v>
      </c>
      <c r="E20" s="1028">
        <v>984</v>
      </c>
      <c r="F20" s="1319">
        <v>2000</v>
      </c>
      <c r="G20" s="1319">
        <v>2000</v>
      </c>
      <c r="H20" s="1319">
        <v>2000</v>
      </c>
      <c r="I20" s="1319">
        <v>0</v>
      </c>
      <c r="J20" s="1290">
        <v>1000</v>
      </c>
      <c r="K20" s="1516">
        <v>1000</v>
      </c>
      <c r="L20" s="1028">
        <v>1000</v>
      </c>
      <c r="M20" s="76"/>
      <c r="N20" s="76"/>
      <c r="O20" s="76"/>
      <c r="P20" s="50"/>
      <c r="Q20" s="58"/>
    </row>
    <row r="21" spans="1:19" x14ac:dyDescent="0.2">
      <c r="A21" s="1031">
        <v>633</v>
      </c>
      <c r="B21" s="1568" t="s">
        <v>125</v>
      </c>
      <c r="C21" s="1031" t="s">
        <v>457</v>
      </c>
      <c r="D21" s="1028">
        <v>0</v>
      </c>
      <c r="E21" s="1028">
        <v>0</v>
      </c>
      <c r="F21" s="1319">
        <v>0</v>
      </c>
      <c r="G21" s="1319">
        <v>12500</v>
      </c>
      <c r="H21" s="1319">
        <v>0</v>
      </c>
      <c r="I21" s="1319">
        <v>0</v>
      </c>
      <c r="J21" s="1290">
        <v>0</v>
      </c>
      <c r="K21" s="1516">
        <v>0</v>
      </c>
      <c r="L21" s="1028">
        <v>0</v>
      </c>
      <c r="M21" s="76"/>
      <c r="N21" s="76"/>
      <c r="O21" s="76"/>
      <c r="P21" s="50"/>
      <c r="Q21" s="58"/>
    </row>
    <row r="22" spans="1:19" x14ac:dyDescent="0.2">
      <c r="A22" s="1031">
        <v>633</v>
      </c>
      <c r="B22" s="1031" t="s">
        <v>125</v>
      </c>
      <c r="C22" s="1031" t="s">
        <v>458</v>
      </c>
      <c r="D22" s="1028">
        <v>13568</v>
      </c>
      <c r="E22" s="1028">
        <v>12968</v>
      </c>
      <c r="F22" s="1319">
        <v>12000</v>
      </c>
      <c r="G22" s="1319">
        <v>17000</v>
      </c>
      <c r="H22" s="1319">
        <v>12000</v>
      </c>
      <c r="I22" s="1319">
        <v>12000</v>
      </c>
      <c r="J22" s="1290">
        <v>12000</v>
      </c>
      <c r="K22" s="1516">
        <v>12000</v>
      </c>
      <c r="L22" s="1028">
        <v>12000</v>
      </c>
      <c r="M22" s="76"/>
      <c r="N22" s="76"/>
      <c r="O22" s="76"/>
      <c r="P22" s="50"/>
      <c r="Q22" s="58"/>
    </row>
    <row r="23" spans="1:19" x14ac:dyDescent="0.2">
      <c r="A23" s="1569">
        <v>633</v>
      </c>
      <c r="B23" s="1569" t="s">
        <v>125</v>
      </c>
      <c r="C23" s="1085" t="s">
        <v>646</v>
      </c>
      <c r="D23" s="1090">
        <v>568</v>
      </c>
      <c r="E23" s="1090">
        <v>913</v>
      </c>
      <c r="F23" s="1319">
        <v>1000</v>
      </c>
      <c r="G23" s="1521">
        <v>0</v>
      </c>
      <c r="H23" s="1319">
        <v>1000</v>
      </c>
      <c r="I23" s="1521">
        <v>1000</v>
      </c>
      <c r="J23" s="1290">
        <v>1000</v>
      </c>
      <c r="K23" s="1516">
        <v>1000</v>
      </c>
      <c r="L23" s="1090">
        <v>1000</v>
      </c>
      <c r="M23" s="76"/>
      <c r="N23" s="471"/>
      <c r="O23" s="76"/>
      <c r="P23" s="467"/>
      <c r="Q23" s="58"/>
      <c r="S23" s="480"/>
    </row>
    <row r="24" spans="1:19" x14ac:dyDescent="0.2">
      <c r="A24" s="1031">
        <v>633</v>
      </c>
      <c r="B24" s="1031" t="s">
        <v>459</v>
      </c>
      <c r="C24" s="1031" t="s">
        <v>460</v>
      </c>
      <c r="D24" s="1028">
        <v>5000</v>
      </c>
      <c r="E24" s="1028">
        <v>4523</v>
      </c>
      <c r="F24" s="1319">
        <v>3500</v>
      </c>
      <c r="G24" s="1319">
        <v>3500</v>
      </c>
      <c r="H24" s="1319">
        <v>3500</v>
      </c>
      <c r="I24" s="1319">
        <v>3500</v>
      </c>
      <c r="J24" s="1290">
        <v>3500</v>
      </c>
      <c r="K24" s="1516">
        <v>3500</v>
      </c>
      <c r="L24" s="1028">
        <v>3500</v>
      </c>
      <c r="M24" s="76"/>
      <c r="N24" s="76"/>
      <c r="O24" s="76"/>
      <c r="P24" s="50"/>
      <c r="Q24" s="58"/>
      <c r="R24" s="481"/>
    </row>
    <row r="25" spans="1:19" x14ac:dyDescent="0.2">
      <c r="A25" s="1031">
        <v>633</v>
      </c>
      <c r="B25" s="1031" t="s">
        <v>461</v>
      </c>
      <c r="C25" s="1031" t="s">
        <v>462</v>
      </c>
      <c r="D25" s="1028">
        <v>0</v>
      </c>
      <c r="E25" s="1028">
        <v>0</v>
      </c>
      <c r="F25" s="1319">
        <v>0</v>
      </c>
      <c r="G25" s="1319">
        <v>0</v>
      </c>
      <c r="H25" s="1319">
        <v>0</v>
      </c>
      <c r="I25" s="1319">
        <v>0</v>
      </c>
      <c r="J25" s="1290">
        <v>0</v>
      </c>
      <c r="K25" s="1516">
        <v>0</v>
      </c>
      <c r="L25" s="1028">
        <v>0</v>
      </c>
      <c r="M25" s="76"/>
      <c r="N25" s="76"/>
      <c r="O25" s="76"/>
      <c r="P25" s="50"/>
      <c r="Q25" s="58"/>
    </row>
    <row r="26" spans="1:19" x14ac:dyDescent="0.2">
      <c r="A26" s="1031">
        <v>633</v>
      </c>
      <c r="B26" s="1031" t="s">
        <v>463</v>
      </c>
      <c r="C26" s="1031" t="s">
        <v>464</v>
      </c>
      <c r="D26" s="1028">
        <v>100</v>
      </c>
      <c r="E26" s="1028">
        <v>100</v>
      </c>
      <c r="F26" s="1319">
        <v>100</v>
      </c>
      <c r="G26" s="1319">
        <v>100</v>
      </c>
      <c r="H26" s="1319">
        <v>100</v>
      </c>
      <c r="I26" s="1319">
        <v>308</v>
      </c>
      <c r="J26" s="1290">
        <v>100</v>
      </c>
      <c r="K26" s="1516">
        <v>100</v>
      </c>
      <c r="L26" s="1028">
        <v>100</v>
      </c>
      <c r="M26" s="76"/>
      <c r="N26" s="76"/>
      <c r="O26" s="76"/>
      <c r="P26" s="50"/>
      <c r="Q26" s="58"/>
    </row>
    <row r="27" spans="1:19" x14ac:dyDescent="0.2">
      <c r="A27" s="1031">
        <v>633</v>
      </c>
      <c r="B27" s="1031" t="s">
        <v>103</v>
      </c>
      <c r="C27" s="1031" t="s">
        <v>465</v>
      </c>
      <c r="D27" s="1028">
        <v>2500</v>
      </c>
      <c r="E27" s="1028">
        <v>3100</v>
      </c>
      <c r="F27" s="1319">
        <v>3100</v>
      </c>
      <c r="G27" s="1319">
        <v>4842</v>
      </c>
      <c r="H27" s="1319">
        <v>3100</v>
      </c>
      <c r="I27" s="1319">
        <v>7150</v>
      </c>
      <c r="J27" s="1290">
        <v>3000</v>
      </c>
      <c r="K27" s="1516">
        <v>3000</v>
      </c>
      <c r="L27" s="1028">
        <v>3000</v>
      </c>
      <c r="M27" s="76"/>
      <c r="N27" s="76"/>
      <c r="O27" s="76"/>
      <c r="P27" s="50"/>
      <c r="Q27" s="58"/>
    </row>
    <row r="28" spans="1:19" x14ac:dyDescent="0.2">
      <c r="A28" s="1031">
        <v>633</v>
      </c>
      <c r="B28" s="1031" t="s">
        <v>466</v>
      </c>
      <c r="C28" s="1031" t="s">
        <v>467</v>
      </c>
      <c r="D28" s="1028">
        <v>9201</v>
      </c>
      <c r="E28" s="1028">
        <v>3647</v>
      </c>
      <c r="F28" s="1319">
        <v>5000</v>
      </c>
      <c r="G28" s="1319">
        <v>5000</v>
      </c>
      <c r="H28" s="1319">
        <v>5000</v>
      </c>
      <c r="I28" s="1319">
        <v>6000</v>
      </c>
      <c r="J28" s="1290">
        <v>5000</v>
      </c>
      <c r="K28" s="1516">
        <v>5000</v>
      </c>
      <c r="L28" s="1028">
        <v>5000</v>
      </c>
      <c r="M28" s="76"/>
      <c r="N28" s="76"/>
      <c r="O28" s="76"/>
      <c r="P28" s="50"/>
      <c r="Q28" s="58"/>
    </row>
    <row r="29" spans="1:19" s="480" customFormat="1" x14ac:dyDescent="0.2">
      <c r="A29" s="1031">
        <v>633</v>
      </c>
      <c r="B29" s="1031" t="s">
        <v>492</v>
      </c>
      <c r="C29" s="1031" t="s">
        <v>647</v>
      </c>
      <c r="D29" s="1087">
        <v>100</v>
      </c>
      <c r="E29" s="1087">
        <v>100</v>
      </c>
      <c r="F29" s="1319">
        <v>100</v>
      </c>
      <c r="G29" s="1516">
        <v>100</v>
      </c>
      <c r="H29" s="1319">
        <v>100</v>
      </c>
      <c r="I29" s="1516">
        <v>0</v>
      </c>
      <c r="J29" s="1290">
        <v>100</v>
      </c>
      <c r="K29" s="1516">
        <v>100</v>
      </c>
      <c r="L29" s="1087">
        <v>100</v>
      </c>
      <c r="M29" s="471"/>
      <c r="N29" s="471"/>
      <c r="O29" s="471"/>
      <c r="P29" s="482"/>
      <c r="Q29" s="483"/>
    </row>
    <row r="30" spans="1:19" s="20" customFormat="1" x14ac:dyDescent="0.2">
      <c r="A30" s="1567">
        <v>634</v>
      </c>
      <c r="B30" s="1567"/>
      <c r="C30" s="1567" t="s">
        <v>468</v>
      </c>
      <c r="D30" s="1247">
        <f>SUM(D31:D36)</f>
        <v>14402</v>
      </c>
      <c r="E30" s="1247">
        <f t="shared" ref="E30:L30" si="2">SUM(E31,E33,E34,E35,E36,E32)</f>
        <v>12801</v>
      </c>
      <c r="F30" s="1514">
        <f>SUM(F31,F33,F34,F35,F36,F32)</f>
        <v>11100</v>
      </c>
      <c r="G30" s="1514">
        <f>SUM(G31,G33,G34,G35,G36,G32)</f>
        <v>15750</v>
      </c>
      <c r="H30" s="1247">
        <f t="shared" si="2"/>
        <v>14100</v>
      </c>
      <c r="I30" s="1247">
        <f>SUM(I31,I33,I34,I35,I36,I32)</f>
        <v>16110</v>
      </c>
      <c r="J30" s="1305">
        <f>SUM(J31,J33,J34,J35,J36,J32)</f>
        <v>14340</v>
      </c>
      <c r="K30" s="1247">
        <f t="shared" si="2"/>
        <v>15350</v>
      </c>
      <c r="L30" s="1247">
        <f t="shared" si="2"/>
        <v>16350</v>
      </c>
      <c r="M30" s="484"/>
      <c r="N30" s="484"/>
      <c r="O30" s="484"/>
      <c r="P30" s="485"/>
      <c r="Q30" s="485"/>
    </row>
    <row r="31" spans="1:19" x14ac:dyDescent="0.2">
      <c r="A31" s="1031">
        <v>634</v>
      </c>
      <c r="B31" s="1031" t="s">
        <v>94</v>
      </c>
      <c r="C31" s="1031" t="s">
        <v>469</v>
      </c>
      <c r="D31" s="1028">
        <v>7500</v>
      </c>
      <c r="E31" s="1028">
        <v>5597</v>
      </c>
      <c r="F31" s="1319">
        <v>7000</v>
      </c>
      <c r="G31" s="1319">
        <v>8950</v>
      </c>
      <c r="H31" s="1319">
        <v>8500</v>
      </c>
      <c r="I31" s="1319">
        <v>9500</v>
      </c>
      <c r="J31" s="1290">
        <v>9000</v>
      </c>
      <c r="K31" s="1516">
        <v>9000</v>
      </c>
      <c r="L31" s="1028">
        <v>10000</v>
      </c>
      <c r="M31" s="76"/>
      <c r="N31" s="76"/>
      <c r="O31" s="76"/>
      <c r="P31" s="50"/>
      <c r="Q31" s="58"/>
    </row>
    <row r="32" spans="1:19" s="480" customFormat="1" x14ac:dyDescent="0.2">
      <c r="A32" s="1555">
        <v>634</v>
      </c>
      <c r="B32" s="1555" t="s">
        <v>94</v>
      </c>
      <c r="C32" s="1555" t="s">
        <v>470</v>
      </c>
      <c r="D32" s="1180">
        <v>0</v>
      </c>
      <c r="E32" s="1180">
        <v>0</v>
      </c>
      <c r="F32" s="1319">
        <v>0</v>
      </c>
      <c r="G32" s="1521">
        <v>0</v>
      </c>
      <c r="H32" s="1319">
        <v>0</v>
      </c>
      <c r="I32" s="1521">
        <v>0</v>
      </c>
      <c r="J32" s="1290">
        <v>0</v>
      </c>
      <c r="K32" s="1516">
        <v>0</v>
      </c>
      <c r="L32" s="1180">
        <v>0</v>
      </c>
      <c r="M32" s="471"/>
      <c r="N32" s="471"/>
      <c r="O32" s="471"/>
      <c r="P32" s="482"/>
      <c r="Q32" s="483"/>
    </row>
    <row r="33" spans="1:17" x14ac:dyDescent="0.2">
      <c r="A33" s="1031">
        <v>634</v>
      </c>
      <c r="B33" s="1031" t="s">
        <v>97</v>
      </c>
      <c r="C33" s="1031" t="s">
        <v>471</v>
      </c>
      <c r="D33" s="1028">
        <v>4200</v>
      </c>
      <c r="E33" s="1028">
        <v>5929</v>
      </c>
      <c r="F33" s="1319">
        <v>3000</v>
      </c>
      <c r="G33" s="1319">
        <v>4000</v>
      </c>
      <c r="H33" s="1319">
        <v>3000</v>
      </c>
      <c r="I33" s="1319">
        <v>5100</v>
      </c>
      <c r="J33" s="1290">
        <v>3000</v>
      </c>
      <c r="K33" s="1516">
        <v>3000</v>
      </c>
      <c r="L33" s="1028">
        <v>3000</v>
      </c>
      <c r="M33" s="76"/>
      <c r="N33" s="76"/>
      <c r="O33" s="76"/>
      <c r="P33" s="50"/>
      <c r="Q33" s="58"/>
    </row>
    <row r="34" spans="1:17" x14ac:dyDescent="0.2">
      <c r="A34" s="1031">
        <v>634</v>
      </c>
      <c r="B34" s="1031" t="s">
        <v>92</v>
      </c>
      <c r="C34" s="1031" t="s">
        <v>472</v>
      </c>
      <c r="D34" s="1028">
        <v>852</v>
      </c>
      <c r="E34" s="1028">
        <v>852</v>
      </c>
      <c r="F34" s="1319">
        <v>1000</v>
      </c>
      <c r="G34" s="1319">
        <v>1200</v>
      </c>
      <c r="H34" s="1319">
        <v>1000</v>
      </c>
      <c r="I34" s="1319">
        <v>1240</v>
      </c>
      <c r="J34" s="1290">
        <v>1240</v>
      </c>
      <c r="K34" s="1516">
        <v>1500</v>
      </c>
      <c r="L34" s="1028">
        <v>1500</v>
      </c>
      <c r="M34" s="76"/>
      <c r="N34" s="76"/>
      <c r="O34" s="76"/>
      <c r="P34" s="50"/>
      <c r="Q34" s="58"/>
    </row>
    <row r="35" spans="1:17" x14ac:dyDescent="0.2">
      <c r="A35" s="1031">
        <v>634</v>
      </c>
      <c r="B35" s="1031" t="s">
        <v>111</v>
      </c>
      <c r="C35" s="1031" t="s">
        <v>473</v>
      </c>
      <c r="D35" s="1028">
        <v>1500</v>
      </c>
      <c r="E35" s="1028">
        <v>257</v>
      </c>
      <c r="F35" s="1319">
        <v>0</v>
      </c>
      <c r="G35" s="1319">
        <v>1500</v>
      </c>
      <c r="H35" s="1319">
        <v>1500</v>
      </c>
      <c r="I35" s="1319">
        <v>120</v>
      </c>
      <c r="J35" s="1290">
        <v>1000</v>
      </c>
      <c r="K35" s="1516">
        <v>1500</v>
      </c>
      <c r="L35" s="1028">
        <v>1500</v>
      </c>
      <c r="M35" s="76"/>
      <c r="N35" s="76"/>
      <c r="O35" s="76"/>
      <c r="P35" s="50"/>
      <c r="Q35" s="58"/>
    </row>
    <row r="36" spans="1:17" x14ac:dyDescent="0.2">
      <c r="A36" s="1031">
        <v>634</v>
      </c>
      <c r="B36" s="1031" t="s">
        <v>120</v>
      </c>
      <c r="C36" s="1031" t="s">
        <v>474</v>
      </c>
      <c r="D36" s="1028">
        <v>350</v>
      </c>
      <c r="E36" s="1028">
        <v>166</v>
      </c>
      <c r="F36" s="1319">
        <v>100</v>
      </c>
      <c r="G36" s="1319">
        <v>100</v>
      </c>
      <c r="H36" s="1319">
        <v>100</v>
      </c>
      <c r="I36" s="1319">
        <v>150</v>
      </c>
      <c r="J36" s="1290">
        <v>100</v>
      </c>
      <c r="K36" s="1516">
        <v>350</v>
      </c>
      <c r="L36" s="1028">
        <v>350</v>
      </c>
      <c r="M36" s="76"/>
      <c r="N36" s="76"/>
      <c r="O36" s="76"/>
      <c r="P36" s="50"/>
      <c r="Q36" s="58"/>
    </row>
    <row r="37" spans="1:17" s="20" customFormat="1" x14ac:dyDescent="0.2">
      <c r="A37" s="1567">
        <v>635</v>
      </c>
      <c r="B37" s="1567"/>
      <c r="C37" s="1567" t="s">
        <v>475</v>
      </c>
      <c r="D37" s="1247">
        <f>SUM(D38:D40)</f>
        <v>3200</v>
      </c>
      <c r="E37" s="1247">
        <f t="shared" ref="E37:K37" si="3">SUM(E38,E39,E40)</f>
        <v>1032</v>
      </c>
      <c r="F37" s="1514">
        <f>SUM(F38,F39,F40)</f>
        <v>1300</v>
      </c>
      <c r="G37" s="1514">
        <f>SUM(G38,G39,G40)</f>
        <v>5300</v>
      </c>
      <c r="H37" s="1247">
        <f t="shared" si="3"/>
        <v>5300</v>
      </c>
      <c r="I37" s="1247">
        <f t="shared" si="3"/>
        <v>800</v>
      </c>
      <c r="J37" s="1305">
        <f>SUM(J38,J39,J40)</f>
        <v>3300</v>
      </c>
      <c r="K37" s="1247">
        <f t="shared" si="3"/>
        <v>4200</v>
      </c>
      <c r="L37" s="1247">
        <f>SUM(L38:L40)</f>
        <v>4200</v>
      </c>
      <c r="M37" s="484"/>
      <c r="N37" s="484"/>
      <c r="O37" s="484"/>
      <c r="P37" s="485"/>
      <c r="Q37" s="485"/>
    </row>
    <row r="38" spans="1:17" x14ac:dyDescent="0.2">
      <c r="A38" s="1031">
        <v>635</v>
      </c>
      <c r="B38" s="1031" t="s">
        <v>97</v>
      </c>
      <c r="C38" s="1031" t="s">
        <v>476</v>
      </c>
      <c r="D38" s="1028">
        <v>200</v>
      </c>
      <c r="E38" s="1028">
        <v>0</v>
      </c>
      <c r="F38" s="1319">
        <v>0</v>
      </c>
      <c r="G38" s="1319">
        <v>0</v>
      </c>
      <c r="H38" s="1319">
        <v>0</v>
      </c>
      <c r="I38" s="1319">
        <v>0</v>
      </c>
      <c r="J38" s="1290">
        <v>0</v>
      </c>
      <c r="K38" s="1516">
        <v>200</v>
      </c>
      <c r="L38" s="1028">
        <v>200</v>
      </c>
      <c r="M38" s="76"/>
      <c r="N38" s="76"/>
      <c r="O38" s="76"/>
      <c r="P38" s="50"/>
      <c r="Q38" s="58"/>
    </row>
    <row r="39" spans="1:17" x14ac:dyDescent="0.2">
      <c r="A39" s="1031">
        <v>635</v>
      </c>
      <c r="B39" s="1031" t="s">
        <v>111</v>
      </c>
      <c r="C39" s="1031" t="s">
        <v>477</v>
      </c>
      <c r="D39" s="1028">
        <v>500</v>
      </c>
      <c r="E39" s="1028">
        <v>60</v>
      </c>
      <c r="F39" s="1319">
        <v>300</v>
      </c>
      <c r="G39" s="1319">
        <v>300</v>
      </c>
      <c r="H39" s="1319">
        <v>300</v>
      </c>
      <c r="I39" s="1319">
        <v>300</v>
      </c>
      <c r="J39" s="1290">
        <v>300</v>
      </c>
      <c r="K39" s="1516">
        <v>1000</v>
      </c>
      <c r="L39" s="1028">
        <v>1000</v>
      </c>
      <c r="M39" s="76"/>
      <c r="N39" s="76"/>
      <c r="O39" s="76"/>
      <c r="P39" s="50"/>
      <c r="Q39" s="58"/>
    </row>
    <row r="40" spans="1:17" x14ac:dyDescent="0.2">
      <c r="A40" s="1031">
        <v>635</v>
      </c>
      <c r="B40" s="1031" t="s">
        <v>125</v>
      </c>
      <c r="C40" s="1031" t="s">
        <v>478</v>
      </c>
      <c r="D40" s="1028">
        <v>2500</v>
      </c>
      <c r="E40" s="1028">
        <v>972</v>
      </c>
      <c r="F40" s="1319">
        <v>1000</v>
      </c>
      <c r="G40" s="1530">
        <v>5000</v>
      </c>
      <c r="H40" s="1530">
        <v>5000</v>
      </c>
      <c r="I40" s="1319">
        <v>500</v>
      </c>
      <c r="J40" s="1290">
        <v>3000</v>
      </c>
      <c r="K40" s="1516">
        <v>3000</v>
      </c>
      <c r="L40" s="1028">
        <v>3000</v>
      </c>
      <c r="M40" s="76"/>
      <c r="N40" s="76"/>
      <c r="O40" s="76"/>
      <c r="P40" s="50"/>
      <c r="Q40" s="58"/>
    </row>
    <row r="41" spans="1:17" s="20" customFormat="1" x14ac:dyDescent="0.2">
      <c r="A41" s="1567">
        <v>636</v>
      </c>
      <c r="B41" s="1567"/>
      <c r="C41" s="1567" t="s">
        <v>479</v>
      </c>
      <c r="D41" s="1247">
        <f>SUM(D42:D44)</f>
        <v>100</v>
      </c>
      <c r="E41" s="1247">
        <f t="shared" ref="E41:L41" si="4">SUM(E42,E43,E44)</f>
        <v>3482</v>
      </c>
      <c r="F41" s="1514">
        <f>SUM(F42,F43,F44)</f>
        <v>2900</v>
      </c>
      <c r="G41" s="1247">
        <f t="shared" ref="G41" si="5">SUM(G42,G43,G44)</f>
        <v>215</v>
      </c>
      <c r="H41" s="1247">
        <f t="shared" si="4"/>
        <v>2200</v>
      </c>
      <c r="I41" s="1247">
        <f>SUM(I42,I43,I44)</f>
        <v>437</v>
      </c>
      <c r="J41" s="1305">
        <f>SUM(J42,J43,J44)</f>
        <v>10</v>
      </c>
      <c r="K41" s="1247">
        <f t="shared" si="4"/>
        <v>10</v>
      </c>
      <c r="L41" s="1247">
        <f t="shared" si="4"/>
        <v>10</v>
      </c>
      <c r="M41" s="484"/>
      <c r="N41" s="484"/>
      <c r="O41" s="484"/>
      <c r="P41" s="485"/>
      <c r="Q41" s="485"/>
    </row>
    <row r="42" spans="1:17" x14ac:dyDescent="0.2">
      <c r="A42" s="1031">
        <v>636</v>
      </c>
      <c r="B42" s="1031" t="s">
        <v>94</v>
      </c>
      <c r="C42" s="1031" t="s">
        <v>899</v>
      </c>
      <c r="D42" s="1028">
        <v>100</v>
      </c>
      <c r="E42" s="1028">
        <v>3470</v>
      </c>
      <c r="F42" s="1319">
        <v>2700</v>
      </c>
      <c r="G42" s="1028">
        <v>20</v>
      </c>
      <c r="H42" s="1319">
        <v>1200</v>
      </c>
      <c r="I42" s="1028">
        <v>20</v>
      </c>
      <c r="J42" s="1290">
        <v>10</v>
      </c>
      <c r="K42" s="1516">
        <v>10</v>
      </c>
      <c r="L42" s="1028">
        <v>10</v>
      </c>
      <c r="M42" s="76"/>
      <c r="N42" s="76"/>
      <c r="O42" s="76"/>
      <c r="P42" s="50"/>
      <c r="Q42" s="58"/>
    </row>
    <row r="43" spans="1:17" x14ac:dyDescent="0.2">
      <c r="A43" s="1031">
        <v>636</v>
      </c>
      <c r="B43" s="1031" t="s">
        <v>97</v>
      </c>
      <c r="C43" s="1031" t="s">
        <v>477</v>
      </c>
      <c r="D43" s="1028">
        <v>0</v>
      </c>
      <c r="E43" s="1028">
        <v>12</v>
      </c>
      <c r="F43" s="1319">
        <v>200</v>
      </c>
      <c r="G43" s="1028">
        <v>195</v>
      </c>
      <c r="H43" s="1319">
        <v>1000</v>
      </c>
      <c r="I43" s="1028">
        <v>417</v>
      </c>
      <c r="J43" s="1290">
        <v>0</v>
      </c>
      <c r="K43" s="1516">
        <v>0</v>
      </c>
      <c r="L43" s="1028">
        <v>0</v>
      </c>
      <c r="M43" s="76"/>
      <c r="N43" s="76"/>
      <c r="O43" s="76"/>
      <c r="P43" s="50"/>
      <c r="Q43" s="58"/>
    </row>
    <row r="44" spans="1:17" x14ac:dyDescent="0.2">
      <c r="A44" s="1031">
        <v>636</v>
      </c>
      <c r="B44" s="1031" t="s">
        <v>111</v>
      </c>
      <c r="C44" s="1031" t="s">
        <v>480</v>
      </c>
      <c r="D44" s="1028">
        <v>0</v>
      </c>
      <c r="E44" s="1028">
        <v>0</v>
      </c>
      <c r="F44" s="1319">
        <v>0</v>
      </c>
      <c r="G44" s="1028">
        <v>0</v>
      </c>
      <c r="H44" s="1319">
        <v>0</v>
      </c>
      <c r="I44" s="1028">
        <v>0</v>
      </c>
      <c r="J44" s="1290">
        <v>0</v>
      </c>
      <c r="K44" s="1516">
        <v>0</v>
      </c>
      <c r="L44" s="1028">
        <v>0</v>
      </c>
      <c r="M44" s="76"/>
      <c r="N44" s="76"/>
      <c r="O44" s="76"/>
      <c r="P44" s="50"/>
      <c r="Q44" s="58"/>
    </row>
    <row r="45" spans="1:17" hidden="1" x14ac:dyDescent="0.2">
      <c r="A45" s="1031"/>
      <c r="B45" s="1031"/>
      <c r="C45" s="1031"/>
      <c r="D45" s="1028"/>
      <c r="E45" s="1028"/>
      <c r="F45" s="1319"/>
      <c r="G45" s="1319"/>
      <c r="H45" s="1028"/>
      <c r="I45" s="1028"/>
      <c r="J45" s="1290"/>
      <c r="K45" s="1028"/>
      <c r="L45" s="1028"/>
      <c r="M45" s="76"/>
      <c r="N45" s="50"/>
      <c r="O45" s="76"/>
      <c r="P45" s="50"/>
      <c r="Q45" s="50"/>
    </row>
    <row r="46" spans="1:17" hidden="1" x14ac:dyDescent="0.2">
      <c r="A46" s="1031"/>
      <c r="B46" s="1031"/>
      <c r="C46" s="1031"/>
      <c r="D46" s="1028"/>
      <c r="E46" s="1028"/>
      <c r="F46" s="1319"/>
      <c r="G46" s="1319"/>
      <c r="H46" s="1028"/>
      <c r="I46" s="1028"/>
      <c r="J46" s="1290"/>
      <c r="K46" s="1028"/>
      <c r="L46" s="1028"/>
      <c r="M46" s="76"/>
      <c r="N46" s="50"/>
      <c r="O46" s="76"/>
      <c r="P46" s="50"/>
      <c r="Q46" s="50"/>
    </row>
    <row r="47" spans="1:17" hidden="1" x14ac:dyDescent="0.2">
      <c r="A47" s="1031"/>
      <c r="B47" s="1031"/>
      <c r="C47" s="1031"/>
      <c r="D47" s="1054"/>
      <c r="E47" s="1054"/>
      <c r="F47" s="1319"/>
      <c r="G47" s="1319"/>
      <c r="H47" s="1251"/>
      <c r="I47" s="1251"/>
      <c r="J47" s="1290"/>
      <c r="K47" s="1054"/>
      <c r="L47" s="1054"/>
      <c r="M47" s="21"/>
      <c r="O47" s="21"/>
    </row>
    <row r="48" spans="1:17" hidden="1" x14ac:dyDescent="0.2">
      <c r="A48" s="1031"/>
      <c r="B48" s="1031"/>
      <c r="C48" s="1031"/>
      <c r="D48" s="1054"/>
      <c r="E48" s="1054"/>
      <c r="F48" s="1319"/>
      <c r="G48" s="1319"/>
      <c r="H48" s="1251"/>
      <c r="I48" s="1251"/>
      <c r="J48" s="1290"/>
      <c r="K48" s="1054"/>
      <c r="L48" s="1054"/>
      <c r="M48" s="21"/>
      <c r="O48" s="21"/>
    </row>
    <row r="49" spans="1:17" s="20" customFormat="1" x14ac:dyDescent="0.2">
      <c r="A49" s="1567">
        <v>637</v>
      </c>
      <c r="B49" s="1567"/>
      <c r="C49" s="1567" t="s">
        <v>481</v>
      </c>
      <c r="D49" s="1247">
        <f>D50+D51+D52+D53+D55+D56+D57+D58+D60+D61+D62+D63+D64+D67+D70+D71+D59</f>
        <v>56803</v>
      </c>
      <c r="E49" s="1247">
        <f>E50+E51+E52+E53+E58+E60+E61+E62+E63+E64+E67+E68+E70+E71+E55+E57+E56</f>
        <v>37258</v>
      </c>
      <c r="F49" s="1514">
        <f>F50+F51+F52+F53+F55+F56+F57+F58+F60+F62+F63+F64+F67+F71+F70+F59</f>
        <v>78758</v>
      </c>
      <c r="G49" s="1514">
        <f>G50+G51+G52+G53+G55+G56+G57+G58+G60+G62+G63+G64+G67+G71+G70+G59+G69</f>
        <v>69832</v>
      </c>
      <c r="H49" s="1247">
        <f>H50+H51+H52+H53+H55+H56+H57+H58+H59+H60+H61+H62+H63+H64+H67+H69+H70+H71</f>
        <v>48675</v>
      </c>
      <c r="I49" s="1247">
        <f>I50+I51+I52+I53+I55+I56+I57+I58+I60+I62+I63+I64+I67+I71+I70+I59+I69+I65+I66</f>
        <v>46558</v>
      </c>
      <c r="J49" s="1305">
        <f>J50+J51+J52+J53+J55+J56+J57+J58+J60+J62+J63+J64+J67+J71+J70+J59</f>
        <v>33200</v>
      </c>
      <c r="K49" s="1247">
        <f>K50+K51+K52+K53+K55+K56+K57+K58+K60+K62+K63+K67</f>
        <v>32700</v>
      </c>
      <c r="L49" s="1247">
        <f>L50+L51+L52+L53+L55+L56+L57+L58+L60+L62+L63+L67</f>
        <v>32700</v>
      </c>
      <c r="M49" s="484"/>
      <c r="N49" s="484"/>
      <c r="O49" s="484"/>
      <c r="P49" s="485"/>
      <c r="Q49" s="485"/>
    </row>
    <row r="50" spans="1:17" x14ac:dyDescent="0.2">
      <c r="A50" s="1031">
        <v>637</v>
      </c>
      <c r="B50" s="1031" t="s">
        <v>94</v>
      </c>
      <c r="C50" s="1031" t="s">
        <v>482</v>
      </c>
      <c r="D50" s="1028">
        <v>300</v>
      </c>
      <c r="E50" s="1028">
        <v>180</v>
      </c>
      <c r="F50" s="1319">
        <v>300</v>
      </c>
      <c r="G50" s="1319">
        <v>380</v>
      </c>
      <c r="H50" s="1319">
        <v>300</v>
      </c>
      <c r="I50" s="1319">
        <v>40</v>
      </c>
      <c r="J50" s="1290">
        <v>300</v>
      </c>
      <c r="K50" s="1516">
        <v>300</v>
      </c>
      <c r="L50" s="1028">
        <v>300</v>
      </c>
      <c r="M50" s="76"/>
      <c r="N50" s="76"/>
      <c r="O50" s="76"/>
      <c r="P50" s="50"/>
      <c r="Q50" s="50"/>
    </row>
    <row r="51" spans="1:17" x14ac:dyDescent="0.2">
      <c r="A51" s="1031">
        <v>637</v>
      </c>
      <c r="B51" s="1031" t="s">
        <v>483</v>
      </c>
      <c r="C51" s="1031" t="s">
        <v>484</v>
      </c>
      <c r="D51" s="1028">
        <v>100</v>
      </c>
      <c r="E51" s="1028">
        <v>436</v>
      </c>
      <c r="F51" s="1319">
        <v>200</v>
      </c>
      <c r="G51" s="1319">
        <v>200</v>
      </c>
      <c r="H51" s="1319">
        <v>200</v>
      </c>
      <c r="I51" s="1319">
        <v>390</v>
      </c>
      <c r="J51" s="1290">
        <v>0</v>
      </c>
      <c r="K51" s="1516">
        <v>0</v>
      </c>
      <c r="L51" s="1028">
        <v>0</v>
      </c>
      <c r="M51" s="76"/>
      <c r="N51" s="76"/>
      <c r="O51" s="76"/>
      <c r="P51" s="50"/>
      <c r="Q51" s="50"/>
    </row>
    <row r="52" spans="1:17" x14ac:dyDescent="0.2">
      <c r="A52" s="1031">
        <v>637</v>
      </c>
      <c r="B52" s="1031" t="s">
        <v>92</v>
      </c>
      <c r="C52" s="1031" t="s">
        <v>837</v>
      </c>
      <c r="D52" s="1028">
        <v>1000</v>
      </c>
      <c r="E52" s="1028">
        <v>1863</v>
      </c>
      <c r="F52" s="1319">
        <v>2200</v>
      </c>
      <c r="G52" s="1319">
        <v>2200</v>
      </c>
      <c r="H52" s="1319">
        <v>2200</v>
      </c>
      <c r="I52" s="1319">
        <v>2200</v>
      </c>
      <c r="J52" s="1290">
        <v>2200</v>
      </c>
      <c r="K52" s="1516">
        <v>2200</v>
      </c>
      <c r="L52" s="1028">
        <v>2200</v>
      </c>
      <c r="M52" s="76"/>
      <c r="N52" s="76"/>
      <c r="O52" s="76"/>
      <c r="P52" s="50"/>
      <c r="Q52" s="50"/>
    </row>
    <row r="53" spans="1:17" x14ac:dyDescent="0.2">
      <c r="A53" s="1031">
        <v>637</v>
      </c>
      <c r="B53" s="1031" t="s">
        <v>111</v>
      </c>
      <c r="C53" s="1031" t="s">
        <v>485</v>
      </c>
      <c r="D53" s="1028">
        <v>12000</v>
      </c>
      <c r="E53" s="1028">
        <v>6646</v>
      </c>
      <c r="F53" s="1319">
        <v>12000</v>
      </c>
      <c r="G53" s="1319">
        <v>12000</v>
      </c>
      <c r="H53" s="1319">
        <v>12000</v>
      </c>
      <c r="I53" s="1319">
        <v>18000</v>
      </c>
      <c r="J53" s="1290">
        <v>15000</v>
      </c>
      <c r="K53" s="1516">
        <v>15000</v>
      </c>
      <c r="L53" s="1028">
        <v>15000</v>
      </c>
      <c r="M53" s="76"/>
      <c r="N53" s="76"/>
      <c r="O53" s="76"/>
      <c r="P53" s="50"/>
      <c r="Q53" s="50"/>
    </row>
    <row r="54" spans="1:17" hidden="1" x14ac:dyDescent="0.2">
      <c r="A54" s="1570"/>
      <c r="B54" s="1066"/>
      <c r="C54" s="1571"/>
      <c r="D54" s="1181"/>
      <c r="E54" s="1181"/>
      <c r="F54" s="1319"/>
      <c r="G54" s="1531"/>
      <c r="H54" s="1319"/>
      <c r="I54" s="1531"/>
      <c r="J54" s="1290"/>
      <c r="K54" s="1572"/>
      <c r="L54" s="1181"/>
      <c r="M54" s="76"/>
      <c r="N54" s="76"/>
      <c r="O54" s="76"/>
      <c r="P54" s="50"/>
      <c r="Q54" s="50"/>
    </row>
    <row r="55" spans="1:17" x14ac:dyDescent="0.2">
      <c r="A55" s="1031">
        <v>637</v>
      </c>
      <c r="B55" s="1031" t="s">
        <v>111</v>
      </c>
      <c r="C55" s="1031" t="s">
        <v>648</v>
      </c>
      <c r="D55" s="1028">
        <v>450</v>
      </c>
      <c r="E55" s="1028">
        <v>1466</v>
      </c>
      <c r="F55" s="1319">
        <v>500</v>
      </c>
      <c r="G55" s="1319">
        <v>500</v>
      </c>
      <c r="H55" s="1319">
        <v>500</v>
      </c>
      <c r="I55" s="1319">
        <v>1984</v>
      </c>
      <c r="J55" s="1290">
        <v>2000</v>
      </c>
      <c r="K55" s="1516">
        <v>2000</v>
      </c>
      <c r="L55" s="1028">
        <v>2000</v>
      </c>
      <c r="M55" s="76"/>
      <c r="N55" s="39"/>
      <c r="O55" s="76"/>
      <c r="P55" s="486"/>
      <c r="Q55" s="50"/>
    </row>
    <row r="56" spans="1:17" x14ac:dyDescent="0.2">
      <c r="A56" s="1031">
        <v>637</v>
      </c>
      <c r="B56" s="1031" t="s">
        <v>120</v>
      </c>
      <c r="C56" s="1031" t="s">
        <v>326</v>
      </c>
      <c r="D56" s="1028">
        <v>627</v>
      </c>
      <c r="E56" s="1028">
        <v>126</v>
      </c>
      <c r="F56" s="1319">
        <v>900</v>
      </c>
      <c r="G56" s="1319">
        <v>900</v>
      </c>
      <c r="H56" s="1319">
        <v>900</v>
      </c>
      <c r="I56" s="1319">
        <v>0</v>
      </c>
      <c r="J56" s="1290">
        <v>1000</v>
      </c>
      <c r="K56" s="1516">
        <v>1000</v>
      </c>
      <c r="L56" s="1028">
        <v>1000</v>
      </c>
      <c r="M56" s="76"/>
      <c r="N56" s="76"/>
      <c r="O56" s="76"/>
      <c r="P56" s="50"/>
      <c r="Q56" s="50"/>
    </row>
    <row r="57" spans="1:17" x14ac:dyDescent="0.2">
      <c r="A57" s="1031">
        <v>637</v>
      </c>
      <c r="B57" s="1031" t="s">
        <v>463</v>
      </c>
      <c r="C57" s="1031" t="s">
        <v>649</v>
      </c>
      <c r="D57" s="1028">
        <v>223</v>
      </c>
      <c r="E57" s="1028">
        <v>223</v>
      </c>
      <c r="F57" s="1319">
        <v>200</v>
      </c>
      <c r="G57" s="1319">
        <v>200</v>
      </c>
      <c r="H57" s="1319">
        <v>200</v>
      </c>
      <c r="I57" s="1319">
        <v>111</v>
      </c>
      <c r="J57" s="1290">
        <v>200</v>
      </c>
      <c r="K57" s="1516">
        <v>200</v>
      </c>
      <c r="L57" s="1028">
        <v>200</v>
      </c>
      <c r="M57" s="76"/>
      <c r="N57" s="76"/>
      <c r="O57" s="76"/>
      <c r="P57" s="50"/>
      <c r="Q57" s="50"/>
    </row>
    <row r="58" spans="1:17" x14ac:dyDescent="0.2">
      <c r="A58" s="1031">
        <v>637</v>
      </c>
      <c r="B58" s="1031" t="s">
        <v>102</v>
      </c>
      <c r="C58" s="1031" t="s">
        <v>486</v>
      </c>
      <c r="D58" s="1028">
        <v>2577</v>
      </c>
      <c r="E58" s="1028">
        <v>2851</v>
      </c>
      <c r="F58" s="1319">
        <v>3000</v>
      </c>
      <c r="G58" s="1319">
        <v>3000</v>
      </c>
      <c r="H58" s="1319">
        <v>3000</v>
      </c>
      <c r="I58" s="1319">
        <v>3000</v>
      </c>
      <c r="J58" s="1290">
        <v>3000</v>
      </c>
      <c r="K58" s="1516">
        <v>3000</v>
      </c>
      <c r="L58" s="1028">
        <v>3000</v>
      </c>
      <c r="M58" s="76"/>
      <c r="N58" s="76"/>
      <c r="O58" s="76"/>
      <c r="P58" s="50"/>
      <c r="Q58" s="50"/>
    </row>
    <row r="59" spans="1:17" x14ac:dyDescent="0.2">
      <c r="A59" s="1031">
        <v>637</v>
      </c>
      <c r="B59" s="1031" t="s">
        <v>102</v>
      </c>
      <c r="C59" s="1031" t="s">
        <v>762</v>
      </c>
      <c r="D59" s="1028">
        <v>3326</v>
      </c>
      <c r="E59" s="1028">
        <v>760</v>
      </c>
      <c r="F59" s="1319">
        <v>375</v>
      </c>
      <c r="G59" s="1319">
        <v>600</v>
      </c>
      <c r="H59" s="1319">
        <v>375</v>
      </c>
      <c r="I59" s="1319">
        <v>375</v>
      </c>
      <c r="J59" s="1290">
        <v>500</v>
      </c>
      <c r="K59" s="1516">
        <v>500</v>
      </c>
      <c r="L59" s="1028">
        <v>500</v>
      </c>
      <c r="M59" s="76"/>
      <c r="N59" s="76"/>
      <c r="O59" s="76"/>
      <c r="P59" s="50"/>
      <c r="Q59" s="50"/>
    </row>
    <row r="60" spans="1:17" x14ac:dyDescent="0.2">
      <c r="A60" s="1031">
        <v>637</v>
      </c>
      <c r="B60" s="1031" t="s">
        <v>105</v>
      </c>
      <c r="C60" s="1031" t="s">
        <v>487</v>
      </c>
      <c r="D60" s="1028">
        <v>30000</v>
      </c>
      <c r="E60" s="1028">
        <v>16467</v>
      </c>
      <c r="F60" s="1319">
        <v>20400</v>
      </c>
      <c r="G60" s="1319">
        <v>16500</v>
      </c>
      <c r="H60" s="1319">
        <v>20000</v>
      </c>
      <c r="I60" s="1319">
        <v>1570</v>
      </c>
      <c r="J60" s="1290">
        <v>0</v>
      </c>
      <c r="K60" s="1516">
        <v>0</v>
      </c>
      <c r="L60" s="1028">
        <v>0</v>
      </c>
      <c r="M60" s="64"/>
      <c r="O60" s="58"/>
      <c r="P60" s="50"/>
      <c r="Q60" s="50"/>
    </row>
    <row r="61" spans="1:17" s="480" customFormat="1" x14ac:dyDescent="0.2">
      <c r="A61" s="1555">
        <v>637</v>
      </c>
      <c r="B61" s="1555" t="s">
        <v>105</v>
      </c>
      <c r="C61" s="1555" t="s">
        <v>488</v>
      </c>
      <c r="D61" s="1573">
        <v>0</v>
      </c>
      <c r="E61" s="1573">
        <v>0</v>
      </c>
      <c r="F61" s="1319">
        <v>0</v>
      </c>
      <c r="G61" s="1516">
        <v>0</v>
      </c>
      <c r="H61" s="1319">
        <v>0</v>
      </c>
      <c r="I61" s="1516">
        <v>0</v>
      </c>
      <c r="J61" s="1290">
        <v>0</v>
      </c>
      <c r="K61" s="1545">
        <v>0</v>
      </c>
      <c r="L61" s="1573">
        <v>0</v>
      </c>
      <c r="M61" s="487"/>
      <c r="N61" s="477"/>
      <c r="O61" s="483"/>
      <c r="P61" s="482"/>
      <c r="Q61" s="482"/>
    </row>
    <row r="62" spans="1:17" x14ac:dyDescent="0.2">
      <c r="A62" s="1031">
        <v>637</v>
      </c>
      <c r="B62" s="1031" t="s">
        <v>489</v>
      </c>
      <c r="C62" s="1031" t="s">
        <v>490</v>
      </c>
      <c r="D62" s="1028">
        <v>1900</v>
      </c>
      <c r="E62" s="1028">
        <v>2695</v>
      </c>
      <c r="F62" s="1319">
        <v>4260</v>
      </c>
      <c r="G62" s="1319">
        <v>4500</v>
      </c>
      <c r="H62" s="1319">
        <v>4500</v>
      </c>
      <c r="I62" s="1319">
        <v>4500</v>
      </c>
      <c r="J62" s="1290">
        <v>4500</v>
      </c>
      <c r="K62" s="1516">
        <v>4500</v>
      </c>
      <c r="L62" s="1028">
        <v>4500</v>
      </c>
      <c r="M62" s="64"/>
      <c r="O62" s="58"/>
      <c r="P62" s="50"/>
      <c r="Q62" s="50"/>
    </row>
    <row r="63" spans="1:17" x14ac:dyDescent="0.2">
      <c r="A63" s="1031">
        <v>637</v>
      </c>
      <c r="B63" s="1031" t="s">
        <v>466</v>
      </c>
      <c r="C63" s="1031" t="s">
        <v>491</v>
      </c>
      <c r="D63" s="1028">
        <v>3000</v>
      </c>
      <c r="E63" s="1028">
        <v>4289</v>
      </c>
      <c r="F63" s="1319">
        <v>4000</v>
      </c>
      <c r="G63" s="1319">
        <v>4500</v>
      </c>
      <c r="H63" s="1319">
        <v>4000</v>
      </c>
      <c r="I63" s="1319">
        <v>4000</v>
      </c>
      <c r="J63" s="1290">
        <v>4000</v>
      </c>
      <c r="K63" s="1516">
        <v>4000</v>
      </c>
      <c r="L63" s="1028">
        <v>4000</v>
      </c>
      <c r="M63" s="488"/>
      <c r="O63" s="58"/>
      <c r="P63" s="50"/>
      <c r="Q63" s="50"/>
    </row>
    <row r="64" spans="1:17" x14ac:dyDescent="0.2">
      <c r="A64" s="1031">
        <v>637</v>
      </c>
      <c r="B64" s="1031" t="s">
        <v>492</v>
      </c>
      <c r="C64" s="1031" t="s">
        <v>838</v>
      </c>
      <c r="D64" s="1028">
        <v>600</v>
      </c>
      <c r="E64" s="1028">
        <v>0</v>
      </c>
      <c r="F64" s="1319">
        <v>20683</v>
      </c>
      <c r="G64" s="1319">
        <v>23287</v>
      </c>
      <c r="H64" s="1319">
        <v>0</v>
      </c>
      <c r="I64" s="1319">
        <v>2777</v>
      </c>
      <c r="J64" s="1290">
        <v>0</v>
      </c>
      <c r="K64" s="1516">
        <v>0</v>
      </c>
      <c r="L64" s="1028">
        <v>0</v>
      </c>
      <c r="M64" s="488"/>
      <c r="O64" s="58"/>
      <c r="P64" s="50"/>
      <c r="Q64" s="50"/>
    </row>
    <row r="65" spans="1:256" x14ac:dyDescent="0.2">
      <c r="A65" s="1031"/>
      <c r="B65" s="1031"/>
      <c r="C65" s="1031" t="s">
        <v>989</v>
      </c>
      <c r="D65" s="1028"/>
      <c r="E65" s="1028"/>
      <c r="F65" s="1319"/>
      <c r="G65" s="1319"/>
      <c r="H65" s="1319"/>
      <c r="I65" s="1319">
        <v>923</v>
      </c>
      <c r="J65" s="1290"/>
      <c r="K65" s="1516"/>
      <c r="L65" s="1028"/>
      <c r="M65" s="488"/>
      <c r="O65" s="58"/>
      <c r="P65" s="50"/>
      <c r="Q65" s="50"/>
    </row>
    <row r="66" spans="1:256" x14ac:dyDescent="0.2">
      <c r="A66" s="1031"/>
      <c r="B66" s="1031"/>
      <c r="C66" s="1031" t="s">
        <v>990</v>
      </c>
      <c r="D66" s="1028"/>
      <c r="E66" s="1028"/>
      <c r="F66" s="1319"/>
      <c r="G66" s="1319"/>
      <c r="H66" s="1319"/>
      <c r="I66" s="1319">
        <v>4415</v>
      </c>
      <c r="J66" s="1290"/>
      <c r="K66" s="1516"/>
      <c r="L66" s="1028"/>
      <c r="M66" s="488"/>
      <c r="O66" s="58"/>
      <c r="P66" s="50"/>
      <c r="Q66" s="50"/>
    </row>
    <row r="67" spans="1:256" x14ac:dyDescent="0.2">
      <c r="A67" s="1031">
        <v>637</v>
      </c>
      <c r="B67" s="1031" t="s">
        <v>102</v>
      </c>
      <c r="C67" s="1031" t="s">
        <v>493</v>
      </c>
      <c r="D67" s="1028">
        <v>700</v>
      </c>
      <c r="E67" s="1028">
        <v>16</v>
      </c>
      <c r="F67" s="1319">
        <v>500</v>
      </c>
      <c r="G67" s="1319">
        <v>500</v>
      </c>
      <c r="H67" s="1319">
        <v>500</v>
      </c>
      <c r="I67" s="1319">
        <v>500</v>
      </c>
      <c r="J67" s="1290">
        <v>500</v>
      </c>
      <c r="K67" s="1516">
        <v>500</v>
      </c>
      <c r="L67" s="1028">
        <v>500</v>
      </c>
      <c r="M67" s="64"/>
      <c r="O67" s="50"/>
      <c r="P67" s="50"/>
      <c r="Q67" s="50"/>
    </row>
    <row r="68" spans="1:256" hidden="1" x14ac:dyDescent="0.2">
      <c r="A68" s="1307"/>
      <c r="B68" s="1307"/>
      <c r="C68" s="1307"/>
      <c r="D68" s="1574"/>
      <c r="E68" s="1574"/>
      <c r="F68" s="1319" t="e">
        <f>[1]výdavky!B30</f>
        <v>#REF!</v>
      </c>
      <c r="G68" s="1319" t="e">
        <f>[1]výdavky!C30</f>
        <v>#REF!</v>
      </c>
      <c r="H68" s="1319">
        <f>[1]výdavky!D30</f>
        <v>13924.939999999999</v>
      </c>
      <c r="I68" s="1319">
        <f>[1]výdavky!E30</f>
        <v>14402</v>
      </c>
      <c r="J68" s="1290">
        <f>[1]výdavky!F30</f>
        <v>12650</v>
      </c>
      <c r="K68" s="1545">
        <f>[1]výdavky!E30</f>
        <v>14402</v>
      </c>
      <c r="L68" s="1574">
        <f>[1]výdavky!F30</f>
        <v>12650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x14ac:dyDescent="0.2">
      <c r="A69" s="1308">
        <v>637</v>
      </c>
      <c r="B69" s="1308" t="s">
        <v>840</v>
      </c>
      <c r="C69" s="1308" t="s">
        <v>839</v>
      </c>
      <c r="D69" s="1014"/>
      <c r="E69" s="1014">
        <v>0</v>
      </c>
      <c r="F69" s="1319"/>
      <c r="G69" s="1319">
        <v>115</v>
      </c>
      <c r="H69" s="1319"/>
      <c r="I69" s="1319">
        <v>0</v>
      </c>
      <c r="J69" s="1290"/>
      <c r="K69" s="1545"/>
      <c r="L69" s="1014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480" customFormat="1" x14ac:dyDescent="0.2">
      <c r="A70" s="1555">
        <v>637</v>
      </c>
      <c r="B70" s="1555" t="s">
        <v>494</v>
      </c>
      <c r="C70" s="1555" t="s">
        <v>860</v>
      </c>
      <c r="D70" s="1182">
        <v>0</v>
      </c>
      <c r="E70" s="1182">
        <v>0</v>
      </c>
      <c r="F70" s="1515">
        <v>9240</v>
      </c>
      <c r="G70" s="1516">
        <v>0</v>
      </c>
      <c r="H70" s="1515">
        <v>0</v>
      </c>
      <c r="I70" s="1516">
        <v>0</v>
      </c>
      <c r="J70" s="1304">
        <v>0</v>
      </c>
      <c r="K70" s="1516">
        <v>0</v>
      </c>
      <c r="L70" s="1182">
        <v>0</v>
      </c>
      <c r="M70" s="487"/>
      <c r="N70" s="477"/>
      <c r="O70" s="482"/>
      <c r="P70" s="467"/>
      <c r="Q70" s="482"/>
    </row>
    <row r="71" spans="1:256" s="480" customFormat="1" x14ac:dyDescent="0.2">
      <c r="A71" s="1031">
        <v>637</v>
      </c>
      <c r="B71" s="1031" t="s">
        <v>494</v>
      </c>
      <c r="C71" s="1031" t="s">
        <v>256</v>
      </c>
      <c r="D71" s="1087">
        <v>0</v>
      </c>
      <c r="E71" s="1087">
        <v>0</v>
      </c>
      <c r="F71" s="1319">
        <v>0</v>
      </c>
      <c r="G71" s="1521">
        <v>450</v>
      </c>
      <c r="H71" s="1319">
        <v>0</v>
      </c>
      <c r="I71" s="1521">
        <v>1773</v>
      </c>
      <c r="J71" s="1290">
        <v>0</v>
      </c>
      <c r="K71" s="1516">
        <v>0</v>
      </c>
      <c r="L71" s="1090">
        <v>0</v>
      </c>
      <c r="M71" s="487"/>
      <c r="N71" s="477"/>
      <c r="O71" s="482"/>
      <c r="P71" s="467"/>
      <c r="Q71" s="482"/>
    </row>
    <row r="72" spans="1:256" s="489" customFormat="1" x14ac:dyDescent="0.2">
      <c r="A72" s="1575">
        <v>640</v>
      </c>
      <c r="B72" s="1567"/>
      <c r="C72" s="1567" t="s">
        <v>495</v>
      </c>
      <c r="D72" s="1250">
        <f>SUM(D74:D82)</f>
        <v>13657</v>
      </c>
      <c r="E72" s="1250">
        <f t="shared" ref="E72:L72" si="6">SUM(E73:E79)</f>
        <v>4518</v>
      </c>
      <c r="F72" s="1514">
        <f>SUM(F73:F79)</f>
        <v>5800</v>
      </c>
      <c r="G72" s="1514">
        <f>SUM(G73:G79)</f>
        <v>23616</v>
      </c>
      <c r="H72" s="1250">
        <f t="shared" si="6"/>
        <v>10000</v>
      </c>
      <c r="I72" s="1250">
        <f>SUM(I73:I79)</f>
        <v>35737</v>
      </c>
      <c r="J72" s="1305">
        <f>SUM(J73:J79)</f>
        <v>28500</v>
      </c>
      <c r="K72" s="1250">
        <f t="shared" si="6"/>
        <v>28500</v>
      </c>
      <c r="L72" s="1250">
        <f t="shared" si="6"/>
        <v>28500</v>
      </c>
      <c r="M72" s="479"/>
      <c r="N72" s="479"/>
      <c r="O72" s="479"/>
      <c r="P72" s="479"/>
      <c r="Q72" s="479"/>
    </row>
    <row r="73" spans="1:256" s="489" customFormat="1" x14ac:dyDescent="0.2">
      <c r="A73" s="1576">
        <v>641</v>
      </c>
      <c r="B73" s="1071" t="s">
        <v>459</v>
      </c>
      <c r="C73" s="1071" t="s">
        <v>755</v>
      </c>
      <c r="D73" s="1089"/>
      <c r="E73" s="1089"/>
      <c r="F73" s="1319"/>
      <c r="G73" s="1089"/>
      <c r="H73" s="1319"/>
      <c r="I73" s="1089">
        <v>0</v>
      </c>
      <c r="J73" s="1290">
        <v>500</v>
      </c>
      <c r="K73" s="1516">
        <v>500</v>
      </c>
      <c r="L73" s="1089">
        <v>500</v>
      </c>
      <c r="M73" s="479"/>
      <c r="N73" s="479"/>
      <c r="O73" s="479"/>
      <c r="P73" s="479"/>
      <c r="Q73" s="479"/>
    </row>
    <row r="74" spans="1:256" s="20" customFormat="1" x14ac:dyDescent="0.2">
      <c r="A74" s="1091">
        <v>642</v>
      </c>
      <c r="B74" s="835" t="s">
        <v>94</v>
      </c>
      <c r="C74" s="835" t="s">
        <v>496</v>
      </c>
      <c r="D74" s="1058"/>
      <c r="E74" s="1028"/>
      <c r="F74" s="1319"/>
      <c r="G74" s="1028"/>
      <c r="H74" s="1319"/>
      <c r="I74" s="1028">
        <v>0</v>
      </c>
      <c r="J74" s="1290"/>
      <c r="K74" s="1516"/>
      <c r="L74" s="1028"/>
      <c r="M74" s="490"/>
      <c r="O74" s="50"/>
      <c r="P74" s="50"/>
      <c r="Q74" s="50"/>
    </row>
    <row r="75" spans="1:256" s="20" customFormat="1" x14ac:dyDescent="0.2">
      <c r="A75" s="1091">
        <v>642</v>
      </c>
      <c r="B75" s="835" t="s">
        <v>97</v>
      </c>
      <c r="C75" s="835" t="s">
        <v>961</v>
      </c>
      <c r="D75" s="1058">
        <v>0</v>
      </c>
      <c r="E75" s="1028">
        <v>0</v>
      </c>
      <c r="F75" s="1319">
        <v>0</v>
      </c>
      <c r="G75" s="1028">
        <v>12000</v>
      </c>
      <c r="H75" s="1319">
        <v>0</v>
      </c>
      <c r="I75" s="1028">
        <v>4860</v>
      </c>
      <c r="J75" s="1290">
        <v>0</v>
      </c>
      <c r="K75" s="1516">
        <v>0</v>
      </c>
      <c r="L75" s="1028">
        <v>0</v>
      </c>
      <c r="M75" s="490"/>
      <c r="O75" s="50"/>
      <c r="P75" s="50"/>
      <c r="Q75" s="50"/>
    </row>
    <row r="76" spans="1:256" x14ac:dyDescent="0.2">
      <c r="A76" s="1031">
        <v>642</v>
      </c>
      <c r="B76" s="835" t="s">
        <v>125</v>
      </c>
      <c r="C76" s="835" t="s">
        <v>763</v>
      </c>
      <c r="D76" s="1058">
        <v>10417</v>
      </c>
      <c r="E76" s="1028">
        <v>4518</v>
      </c>
      <c r="F76" s="1319">
        <v>5800</v>
      </c>
      <c r="G76" s="1028">
        <v>9400</v>
      </c>
      <c r="H76" s="1319">
        <v>10000</v>
      </c>
      <c r="I76" s="1028">
        <v>12277</v>
      </c>
      <c r="J76" s="1290">
        <v>10000</v>
      </c>
      <c r="K76" s="1516">
        <v>10000</v>
      </c>
      <c r="L76" s="1028">
        <v>10000</v>
      </c>
      <c r="M76" s="490"/>
      <c r="O76" s="50"/>
      <c r="P76" s="50"/>
      <c r="Q76" s="50"/>
    </row>
    <row r="77" spans="1:256" x14ac:dyDescent="0.2">
      <c r="A77" s="1031">
        <v>642</v>
      </c>
      <c r="B77" s="835" t="s">
        <v>105</v>
      </c>
      <c r="C77" s="835" t="s">
        <v>950</v>
      </c>
      <c r="D77" s="1058">
        <v>100</v>
      </c>
      <c r="E77" s="1028"/>
      <c r="F77" s="1319"/>
      <c r="G77" s="1028">
        <v>2216</v>
      </c>
      <c r="H77" s="1319"/>
      <c r="I77" s="1028">
        <v>0</v>
      </c>
      <c r="J77" s="1290"/>
      <c r="K77" s="1516"/>
      <c r="L77" s="1028"/>
      <c r="M77" s="490"/>
      <c r="O77" s="50"/>
      <c r="P77" s="50"/>
      <c r="Q77" s="50"/>
    </row>
    <row r="78" spans="1:256" x14ac:dyDescent="0.2">
      <c r="A78" s="1031">
        <v>642</v>
      </c>
      <c r="B78" s="835" t="s">
        <v>105</v>
      </c>
      <c r="C78" s="835" t="s">
        <v>991</v>
      </c>
      <c r="D78" s="1058"/>
      <c r="E78" s="1028"/>
      <c r="F78" s="1319"/>
      <c r="G78" s="1028"/>
      <c r="H78" s="1319"/>
      <c r="I78" s="1028">
        <v>18500</v>
      </c>
      <c r="J78" s="1290">
        <v>18000</v>
      </c>
      <c r="K78" s="1516">
        <v>18000</v>
      </c>
      <c r="L78" s="1028">
        <v>18000</v>
      </c>
      <c r="M78" s="490"/>
      <c r="O78" s="50"/>
      <c r="P78" s="50"/>
      <c r="Q78" s="50"/>
    </row>
    <row r="79" spans="1:256" x14ac:dyDescent="0.2">
      <c r="A79" s="1031">
        <v>642</v>
      </c>
      <c r="B79" s="835" t="s">
        <v>489</v>
      </c>
      <c r="C79" s="835" t="s">
        <v>302</v>
      </c>
      <c r="D79" s="1058">
        <v>0</v>
      </c>
      <c r="E79" s="1028"/>
      <c r="F79" s="1319"/>
      <c r="G79" s="1028"/>
      <c r="H79" s="1319"/>
      <c r="I79" s="1028">
        <v>100</v>
      </c>
      <c r="J79" s="1290"/>
      <c r="K79" s="1516"/>
      <c r="L79" s="1028"/>
      <c r="M79" s="490"/>
      <c r="O79" s="50"/>
      <c r="P79" s="50"/>
      <c r="Q79" s="50"/>
    </row>
    <row r="80" spans="1:256" x14ac:dyDescent="0.2">
      <c r="A80" s="2083" t="s">
        <v>812</v>
      </c>
      <c r="B80" s="2083"/>
      <c r="C80" s="2083"/>
      <c r="D80" s="2084"/>
      <c r="E80" s="2084">
        <f t="shared" ref="E80:L80" si="7">E81+E82</f>
        <v>14989</v>
      </c>
      <c r="F80" s="2085">
        <f t="shared" si="7"/>
        <v>10800</v>
      </c>
      <c r="G80" s="1577">
        <f>G81+G82</f>
        <v>11800</v>
      </c>
      <c r="H80" s="2085">
        <f t="shared" si="7"/>
        <v>10000</v>
      </c>
      <c r="I80" s="2085">
        <f t="shared" si="7"/>
        <v>12489</v>
      </c>
      <c r="J80" s="1577">
        <f>J81+J82</f>
        <v>9500</v>
      </c>
      <c r="K80" s="2084">
        <f t="shared" si="7"/>
        <v>8500</v>
      </c>
      <c r="L80" s="2084">
        <f t="shared" si="7"/>
        <v>7500</v>
      </c>
      <c r="M80" s="490"/>
      <c r="O80" s="50"/>
      <c r="P80" s="50"/>
      <c r="Q80" s="50"/>
    </row>
    <row r="81" spans="1:18" x14ac:dyDescent="0.2">
      <c r="A81" s="1031">
        <v>651</v>
      </c>
      <c r="B81" s="835" t="s">
        <v>97</v>
      </c>
      <c r="C81" s="835" t="s">
        <v>764</v>
      </c>
      <c r="D81" s="1058">
        <v>3020</v>
      </c>
      <c r="E81" s="1058">
        <v>14989</v>
      </c>
      <c r="F81" s="1319">
        <v>10000</v>
      </c>
      <c r="G81" s="1028">
        <v>11000</v>
      </c>
      <c r="H81" s="1028">
        <v>10000</v>
      </c>
      <c r="I81" s="1028">
        <v>12000</v>
      </c>
      <c r="J81" s="1290">
        <v>9000</v>
      </c>
      <c r="K81" s="1516">
        <v>8000</v>
      </c>
      <c r="L81" s="1028">
        <v>7000</v>
      </c>
      <c r="M81" s="490"/>
      <c r="O81" s="58"/>
      <c r="P81" s="50"/>
      <c r="Q81" s="50"/>
    </row>
    <row r="82" spans="1:18" x14ac:dyDescent="0.2">
      <c r="A82" s="835">
        <v>653</v>
      </c>
      <c r="B82" s="835" t="s">
        <v>97</v>
      </c>
      <c r="C82" s="835" t="s">
        <v>867</v>
      </c>
      <c r="D82" s="1058">
        <v>120</v>
      </c>
      <c r="E82" s="1058">
        <v>0</v>
      </c>
      <c r="F82" s="1319">
        <v>800</v>
      </c>
      <c r="G82" s="1028">
        <v>800</v>
      </c>
      <c r="H82" s="1028">
        <v>0</v>
      </c>
      <c r="I82" s="1028">
        <v>489</v>
      </c>
      <c r="J82" s="1290">
        <v>500</v>
      </c>
      <c r="K82" s="1516">
        <v>500</v>
      </c>
      <c r="L82" s="1028">
        <v>500</v>
      </c>
      <c r="M82" s="490"/>
      <c r="O82" s="50"/>
      <c r="P82" s="50"/>
      <c r="Q82" s="50"/>
    </row>
    <row r="83" spans="1:18" s="17" customFormat="1" x14ac:dyDescent="0.2">
      <c r="A83" s="2086" t="s">
        <v>497</v>
      </c>
      <c r="B83" s="2087"/>
      <c r="C83" s="2087"/>
      <c r="D83" s="2088">
        <f>SUM(D84:D90)</f>
        <v>20186</v>
      </c>
      <c r="E83" s="2089">
        <f>E84+E85+E88+E89+E90+E86</f>
        <v>20376</v>
      </c>
      <c r="F83" s="2089">
        <f>F84+F85+F86+F88+F89+F90</f>
        <v>21560</v>
      </c>
      <c r="G83" s="1306">
        <f>G84+G85+G86+G88+G89+G90</f>
        <v>20800</v>
      </c>
      <c r="H83" s="1532">
        <f>H84+H85+H86+H88+H89+H90</f>
        <v>22800</v>
      </c>
      <c r="I83" s="1532">
        <f>I84+I85+I86+I88+I89+I90</f>
        <v>23820</v>
      </c>
      <c r="J83" s="1306">
        <f>J84+J85+J86+J88+J89+J90</f>
        <v>25100</v>
      </c>
      <c r="K83" s="2089">
        <f>K84+K85+K88+K89+K90+K86</f>
        <v>25900</v>
      </c>
      <c r="L83" s="2089">
        <f>L84+L85+L88+L89+L90+L86</f>
        <v>26300</v>
      </c>
      <c r="M83" s="469"/>
      <c r="N83" s="491"/>
      <c r="O83" s="469"/>
      <c r="P83" s="469"/>
      <c r="Q83" s="469"/>
    </row>
    <row r="84" spans="1:18" x14ac:dyDescent="0.2">
      <c r="A84" s="1031">
        <v>610</v>
      </c>
      <c r="B84" s="1031"/>
      <c r="C84" s="1265" t="s">
        <v>447</v>
      </c>
      <c r="D84" s="1033">
        <v>7350</v>
      </c>
      <c r="E84" s="1087">
        <v>7498</v>
      </c>
      <c r="F84" s="1319">
        <v>8800</v>
      </c>
      <c r="G84" s="1319">
        <v>9000</v>
      </c>
      <c r="H84" s="1319">
        <v>9000</v>
      </c>
      <c r="I84" s="1087">
        <v>9550</v>
      </c>
      <c r="J84" s="1290">
        <v>9500</v>
      </c>
      <c r="K84" s="1545">
        <v>9700</v>
      </c>
      <c r="L84" s="1033">
        <v>10000</v>
      </c>
      <c r="M84" s="58"/>
      <c r="O84" s="58"/>
      <c r="P84" s="50"/>
      <c r="Q84" s="50"/>
    </row>
    <row r="85" spans="1:18" x14ac:dyDescent="0.2">
      <c r="A85" s="1031">
        <v>620</v>
      </c>
      <c r="B85" s="1031"/>
      <c r="C85" s="835" t="s">
        <v>193</v>
      </c>
      <c r="D85" s="1033">
        <v>2890</v>
      </c>
      <c r="E85" s="1087">
        <v>3756</v>
      </c>
      <c r="F85" s="1319">
        <v>3160</v>
      </c>
      <c r="G85" s="1319">
        <v>3200</v>
      </c>
      <c r="H85" s="1319">
        <v>3200</v>
      </c>
      <c r="I85" s="1087">
        <v>3370</v>
      </c>
      <c r="J85" s="1290">
        <v>3500</v>
      </c>
      <c r="K85" s="1545">
        <v>3600</v>
      </c>
      <c r="L85" s="1033">
        <v>3700</v>
      </c>
      <c r="M85" s="58"/>
      <c r="O85" s="58"/>
      <c r="P85" s="50"/>
      <c r="Q85" s="50"/>
    </row>
    <row r="86" spans="1:18" x14ac:dyDescent="0.2">
      <c r="A86" s="1031">
        <v>631</v>
      </c>
      <c r="B86" s="1031" t="s">
        <v>94</v>
      </c>
      <c r="C86" s="835" t="s">
        <v>512</v>
      </c>
      <c r="D86" s="1033">
        <v>400</v>
      </c>
      <c r="E86" s="1087">
        <v>0</v>
      </c>
      <c r="F86" s="1319">
        <v>100</v>
      </c>
      <c r="G86" s="1319">
        <v>100</v>
      </c>
      <c r="H86" s="1319">
        <v>100</v>
      </c>
      <c r="I86" s="1087">
        <v>100</v>
      </c>
      <c r="J86" s="1290">
        <v>100</v>
      </c>
      <c r="K86" s="1545">
        <v>100</v>
      </c>
      <c r="L86" s="1033">
        <v>100</v>
      </c>
      <c r="M86" s="58"/>
      <c r="O86" s="58"/>
      <c r="P86" s="50"/>
      <c r="Q86" s="50"/>
    </row>
    <row r="87" spans="1:18" hidden="1" x14ac:dyDescent="0.2">
      <c r="A87" s="1570"/>
      <c r="B87" s="1066"/>
      <c r="C87" s="1571"/>
      <c r="D87" s="1181"/>
      <c r="E87" s="1181"/>
      <c r="F87" s="1319"/>
      <c r="G87" s="1319"/>
      <c r="H87" s="1319"/>
      <c r="I87" s="1181"/>
      <c r="J87" s="1290"/>
      <c r="K87" s="1572"/>
      <c r="L87" s="1181"/>
      <c r="M87" s="58"/>
      <c r="O87" s="58"/>
      <c r="P87" s="50"/>
      <c r="Q87" s="50"/>
    </row>
    <row r="88" spans="1:18" x14ac:dyDescent="0.2">
      <c r="A88" s="1031">
        <v>637</v>
      </c>
      <c r="B88" s="1031"/>
      <c r="C88" s="835" t="s">
        <v>207</v>
      </c>
      <c r="D88" s="1033">
        <v>1246</v>
      </c>
      <c r="E88" s="1087">
        <v>67</v>
      </c>
      <c r="F88" s="1319">
        <v>500</v>
      </c>
      <c r="G88" s="1319">
        <v>500</v>
      </c>
      <c r="H88" s="1319">
        <v>500</v>
      </c>
      <c r="I88" s="1087">
        <v>500</v>
      </c>
      <c r="J88" s="1290">
        <v>500</v>
      </c>
      <c r="K88" s="1545">
        <v>500</v>
      </c>
      <c r="L88" s="1033">
        <v>500</v>
      </c>
      <c r="M88" s="58"/>
      <c r="O88" s="50"/>
      <c r="P88" s="50"/>
      <c r="Q88" s="50"/>
    </row>
    <row r="89" spans="1:18" x14ac:dyDescent="0.2">
      <c r="A89" s="1031">
        <v>637</v>
      </c>
      <c r="B89" s="1031" t="s">
        <v>498</v>
      </c>
      <c r="C89" s="1031" t="s">
        <v>499</v>
      </c>
      <c r="D89" s="1028">
        <v>3500</v>
      </c>
      <c r="E89" s="1028">
        <v>3055</v>
      </c>
      <c r="F89" s="1319">
        <v>3500</v>
      </c>
      <c r="G89" s="1319">
        <v>3500</v>
      </c>
      <c r="H89" s="1319">
        <v>5500</v>
      </c>
      <c r="I89" s="1028">
        <v>5500</v>
      </c>
      <c r="J89" s="1290">
        <v>6500</v>
      </c>
      <c r="K89" s="1516">
        <v>6500</v>
      </c>
      <c r="L89" s="1028">
        <v>6500</v>
      </c>
      <c r="M89" s="58"/>
      <c r="O89" s="50"/>
      <c r="P89" s="50"/>
      <c r="Q89" s="50"/>
    </row>
    <row r="90" spans="1:18" x14ac:dyDescent="0.2">
      <c r="A90" s="1031">
        <v>637</v>
      </c>
      <c r="B90" s="1031"/>
      <c r="C90" s="835" t="s">
        <v>500</v>
      </c>
      <c r="D90" s="1033">
        <v>4800</v>
      </c>
      <c r="E90" s="1087">
        <v>6000</v>
      </c>
      <c r="F90" s="1319">
        <v>5500</v>
      </c>
      <c r="G90" s="1319">
        <v>4500</v>
      </c>
      <c r="H90" s="1319">
        <v>4500</v>
      </c>
      <c r="I90" s="1087">
        <v>4800</v>
      </c>
      <c r="J90" s="1290">
        <v>5000</v>
      </c>
      <c r="K90" s="1516">
        <v>5500</v>
      </c>
      <c r="L90" s="1087">
        <v>5500</v>
      </c>
      <c r="M90" s="58"/>
      <c r="O90" s="50"/>
      <c r="P90" s="50"/>
      <c r="Q90" s="50"/>
    </row>
    <row r="91" spans="1:18" x14ac:dyDescent="0.2">
      <c r="A91" s="41"/>
      <c r="B91" s="41"/>
      <c r="C91" s="50"/>
      <c r="D91" s="58"/>
      <c r="E91" s="82"/>
      <c r="F91" s="37"/>
      <c r="G91" s="1314"/>
      <c r="H91" s="37"/>
      <c r="I91" s="37"/>
      <c r="J91" s="1314"/>
      <c r="K91" s="82"/>
      <c r="L91" s="82"/>
      <c r="M91" s="58"/>
      <c r="O91" s="50"/>
      <c r="P91" s="50"/>
      <c r="Q91" s="50"/>
    </row>
    <row r="92" spans="1:18" s="17" customFormat="1" x14ac:dyDescent="0.2">
      <c r="A92" s="1834" t="s">
        <v>794</v>
      </c>
      <c r="B92" s="2090"/>
      <c r="C92" s="2090"/>
      <c r="D92" s="1835">
        <f>D93+D95+D97+D98+D102+D104</f>
        <v>15046</v>
      </c>
      <c r="E92" s="1835">
        <f t="shared" ref="E92:L92" si="8">E93+E95+E97+E98+E101+E102+E104</f>
        <v>18401</v>
      </c>
      <c r="F92" s="1835">
        <f>F93+F95+F97+F98+F101+F102+F104+F103</f>
        <v>18140</v>
      </c>
      <c r="G92" s="1578">
        <f>G93+G95+G97+G98+G101+G102+G104+G103</f>
        <v>27444</v>
      </c>
      <c r="H92" s="1835">
        <f>H93+H95+H97+H98+H101+H102+H104+H103</f>
        <v>21270</v>
      </c>
      <c r="I92" s="1835">
        <f>I93+I95+I97+I98+I101+I102+I104+I103</f>
        <v>20570</v>
      </c>
      <c r="J92" s="1578">
        <f>J93+J95+J97+J98+J101+J102+J104+J103</f>
        <v>21370</v>
      </c>
      <c r="K92" s="1835">
        <f t="shared" si="8"/>
        <v>23070</v>
      </c>
      <c r="L92" s="1835">
        <f t="shared" si="8"/>
        <v>23570</v>
      </c>
      <c r="M92" s="469"/>
      <c r="N92" s="491"/>
      <c r="O92" s="469"/>
      <c r="P92" s="469"/>
      <c r="Q92" s="469"/>
      <c r="R92" s="467"/>
    </row>
    <row r="93" spans="1:18" s="20" customFormat="1" x14ac:dyDescent="0.2">
      <c r="A93" s="1031">
        <v>610</v>
      </c>
      <c r="B93" s="1031"/>
      <c r="C93" s="1265" t="s">
        <v>447</v>
      </c>
      <c r="D93" s="1028">
        <v>10856</v>
      </c>
      <c r="E93" s="1028">
        <v>14010</v>
      </c>
      <c r="F93" s="1319">
        <v>13400</v>
      </c>
      <c r="G93" s="1319">
        <v>15988</v>
      </c>
      <c r="H93" s="1319">
        <v>16200</v>
      </c>
      <c r="I93" s="1319">
        <v>14400</v>
      </c>
      <c r="J93" s="1290">
        <v>15000</v>
      </c>
      <c r="K93" s="1545">
        <v>16500</v>
      </c>
      <c r="L93" s="1027">
        <v>17000</v>
      </c>
      <c r="M93" s="488"/>
      <c r="O93" s="58"/>
      <c r="P93" s="50"/>
      <c r="Q93" s="50"/>
    </row>
    <row r="94" spans="1:18" x14ac:dyDescent="0.2">
      <c r="A94" s="1555">
        <v>610</v>
      </c>
      <c r="B94" s="1555"/>
      <c r="C94" s="1556" t="s">
        <v>650</v>
      </c>
      <c r="D94" s="1180">
        <v>5356</v>
      </c>
      <c r="E94" s="1180">
        <v>6506</v>
      </c>
      <c r="F94" s="1319">
        <v>6638</v>
      </c>
      <c r="G94" s="1521">
        <v>6638</v>
      </c>
      <c r="H94" s="1520">
        <v>6638</v>
      </c>
      <c r="I94" s="1521">
        <v>7052</v>
      </c>
      <c r="J94" s="1318">
        <v>7000</v>
      </c>
      <c r="K94" s="1579">
        <v>7100</v>
      </c>
      <c r="L94" s="1580">
        <v>7200</v>
      </c>
      <c r="M94" s="487"/>
      <c r="O94" s="483"/>
      <c r="P94" s="467"/>
      <c r="Q94" s="482"/>
    </row>
    <row r="95" spans="1:18" x14ac:dyDescent="0.2">
      <c r="A95" s="1031">
        <v>620</v>
      </c>
      <c r="B95" s="1031"/>
      <c r="C95" s="835" t="s">
        <v>193</v>
      </c>
      <c r="D95" s="1028">
        <v>3570</v>
      </c>
      <c r="E95" s="1028">
        <v>4198</v>
      </c>
      <c r="F95" s="1319">
        <v>4170</v>
      </c>
      <c r="G95" s="1319">
        <v>6250</v>
      </c>
      <c r="H95" s="1319">
        <v>4500</v>
      </c>
      <c r="I95" s="1319">
        <v>5600</v>
      </c>
      <c r="J95" s="1290">
        <v>5800</v>
      </c>
      <c r="K95" s="1545">
        <v>6000</v>
      </c>
      <c r="L95" s="1027">
        <v>6000</v>
      </c>
      <c r="M95" s="64"/>
      <c r="O95" s="58"/>
      <c r="P95" s="50"/>
      <c r="Q95" s="50"/>
    </row>
    <row r="96" spans="1:18" x14ac:dyDescent="0.2">
      <c r="A96" s="1555">
        <v>620</v>
      </c>
      <c r="B96" s="1555"/>
      <c r="C96" s="1565" t="s">
        <v>501</v>
      </c>
      <c r="D96" s="1180">
        <v>0</v>
      </c>
      <c r="E96" s="1180">
        <v>0</v>
      </c>
      <c r="F96" s="1319">
        <v>0</v>
      </c>
      <c r="G96" s="1521">
        <v>0</v>
      </c>
      <c r="H96" s="1319">
        <v>0</v>
      </c>
      <c r="I96" s="1521">
        <v>0</v>
      </c>
      <c r="J96" s="1290">
        <v>0</v>
      </c>
      <c r="K96" s="1545">
        <v>0</v>
      </c>
      <c r="L96" s="1580">
        <v>0</v>
      </c>
      <c r="M96" s="487"/>
      <c r="O96" s="483"/>
      <c r="P96" s="467"/>
      <c r="Q96" s="482"/>
      <c r="R96" s="482"/>
    </row>
    <row r="97" spans="1:18" x14ac:dyDescent="0.2">
      <c r="A97" s="835">
        <v>632</v>
      </c>
      <c r="B97" s="1031"/>
      <c r="C97" s="835" t="s">
        <v>197</v>
      </c>
      <c r="D97" s="1028">
        <v>20</v>
      </c>
      <c r="E97" s="1028">
        <v>4</v>
      </c>
      <c r="F97" s="1319">
        <v>20</v>
      </c>
      <c r="G97" s="1319">
        <v>20</v>
      </c>
      <c r="H97" s="1319">
        <v>20</v>
      </c>
      <c r="I97" s="1319">
        <v>20</v>
      </c>
      <c r="J97" s="1290">
        <v>20</v>
      </c>
      <c r="K97" s="1545">
        <v>20</v>
      </c>
      <c r="L97" s="1027">
        <v>20</v>
      </c>
      <c r="M97" s="64"/>
      <c r="O97" s="50"/>
      <c r="P97" s="50"/>
      <c r="Q97" s="50"/>
    </row>
    <row r="98" spans="1:18" x14ac:dyDescent="0.2">
      <c r="A98" s="835">
        <v>633</v>
      </c>
      <c r="B98" s="1031"/>
      <c r="C98" s="835" t="s">
        <v>199</v>
      </c>
      <c r="D98" s="1028">
        <f t="shared" ref="D98:L98" si="9">SUM(D99:D100)</f>
        <v>400</v>
      </c>
      <c r="E98" s="1028">
        <f>SUM(E99:E100)</f>
        <v>164</v>
      </c>
      <c r="F98" s="1319">
        <f t="shared" ref="F98:G98" si="10">SUM(F99:F100)</f>
        <v>300</v>
      </c>
      <c r="G98" s="1319">
        <f t="shared" si="10"/>
        <v>350</v>
      </c>
      <c r="H98" s="1319">
        <f t="shared" ref="H98" si="11">SUM(H99:H100)</f>
        <v>300</v>
      </c>
      <c r="I98" s="1319">
        <v>300</v>
      </c>
      <c r="J98" s="1290">
        <f t="shared" si="9"/>
        <v>300</v>
      </c>
      <c r="K98" s="1545">
        <f t="shared" si="9"/>
        <v>300</v>
      </c>
      <c r="L98" s="1027">
        <f t="shared" si="9"/>
        <v>300</v>
      </c>
      <c r="M98" s="64"/>
      <c r="N98" s="50"/>
      <c r="O98" s="50"/>
      <c r="P98" s="50"/>
      <c r="Q98" s="50"/>
    </row>
    <row r="99" spans="1:18" x14ac:dyDescent="0.2">
      <c r="A99" s="835">
        <v>633</v>
      </c>
      <c r="B99" s="1031" t="s">
        <v>125</v>
      </c>
      <c r="C99" s="835" t="s">
        <v>355</v>
      </c>
      <c r="D99" s="1090">
        <v>300</v>
      </c>
      <c r="E99" s="1090">
        <v>64</v>
      </c>
      <c r="F99" s="1319">
        <v>200</v>
      </c>
      <c r="G99" s="1521">
        <v>250</v>
      </c>
      <c r="H99" s="1319">
        <v>200</v>
      </c>
      <c r="I99" s="1521">
        <v>200</v>
      </c>
      <c r="J99" s="1290">
        <v>200</v>
      </c>
      <c r="K99" s="1545">
        <v>200</v>
      </c>
      <c r="L99" s="1581">
        <v>200</v>
      </c>
      <c r="M99" s="490"/>
      <c r="O99" s="50"/>
      <c r="P99" s="50"/>
      <c r="Q99" s="50"/>
    </row>
    <row r="100" spans="1:18" x14ac:dyDescent="0.2">
      <c r="A100" s="835">
        <v>633</v>
      </c>
      <c r="B100" s="1031"/>
      <c r="C100" s="835" t="s">
        <v>502</v>
      </c>
      <c r="D100" s="1090">
        <v>100</v>
      </c>
      <c r="E100" s="1237">
        <v>100</v>
      </c>
      <c r="F100" s="1319">
        <v>100</v>
      </c>
      <c r="G100" s="1521">
        <v>100</v>
      </c>
      <c r="H100" s="1319">
        <v>100</v>
      </c>
      <c r="I100" s="1521">
        <v>100</v>
      </c>
      <c r="J100" s="1290">
        <v>100</v>
      </c>
      <c r="K100" s="1582">
        <v>100</v>
      </c>
      <c r="L100" s="1583">
        <v>100</v>
      </c>
      <c r="M100" s="492"/>
      <c r="O100" s="50"/>
      <c r="P100" s="467"/>
      <c r="Q100" s="50"/>
    </row>
    <row r="101" spans="1:18" x14ac:dyDescent="0.2">
      <c r="A101" s="835">
        <v>635</v>
      </c>
      <c r="B101" s="1031"/>
      <c r="C101" s="835" t="s">
        <v>293</v>
      </c>
      <c r="D101" s="1028">
        <v>0</v>
      </c>
      <c r="E101" s="1028">
        <v>0</v>
      </c>
      <c r="F101" s="1319">
        <v>0</v>
      </c>
      <c r="G101" s="1319">
        <v>0</v>
      </c>
      <c r="H101" s="1319">
        <v>0</v>
      </c>
      <c r="I101" s="1319">
        <v>0</v>
      </c>
      <c r="J101" s="1290">
        <v>0</v>
      </c>
      <c r="K101" s="1545">
        <v>0</v>
      </c>
      <c r="L101" s="1027">
        <v>0</v>
      </c>
      <c r="M101" s="64"/>
      <c r="O101" s="50"/>
      <c r="P101" s="50"/>
      <c r="Q101" s="50"/>
    </row>
    <row r="102" spans="1:18" x14ac:dyDescent="0.2">
      <c r="A102" s="835">
        <v>637</v>
      </c>
      <c r="B102" s="1031"/>
      <c r="C102" s="835" t="s">
        <v>207</v>
      </c>
      <c r="D102" s="1028">
        <v>200</v>
      </c>
      <c r="E102" s="1028">
        <v>25</v>
      </c>
      <c r="F102" s="1319">
        <v>200</v>
      </c>
      <c r="G102" s="1319">
        <v>200</v>
      </c>
      <c r="H102" s="1319">
        <v>200</v>
      </c>
      <c r="I102" s="1319">
        <v>200</v>
      </c>
      <c r="J102" s="1290">
        <v>200</v>
      </c>
      <c r="K102" s="1545">
        <v>200</v>
      </c>
      <c r="L102" s="1027">
        <v>200</v>
      </c>
      <c r="M102" s="64"/>
      <c r="O102" s="50"/>
      <c r="P102" s="50"/>
      <c r="Q102" s="50"/>
    </row>
    <row r="103" spans="1:18" x14ac:dyDescent="0.2">
      <c r="A103" s="835">
        <v>642</v>
      </c>
      <c r="B103" s="1031"/>
      <c r="C103" s="835" t="s">
        <v>884</v>
      </c>
      <c r="D103" s="1028"/>
      <c r="E103" s="1028"/>
      <c r="F103" s="1319"/>
      <c r="G103" s="1319">
        <v>4586</v>
      </c>
      <c r="H103" s="1319">
        <v>0</v>
      </c>
      <c r="I103" s="1319">
        <v>0</v>
      </c>
      <c r="J103" s="1290">
        <v>0</v>
      </c>
      <c r="K103" s="1545">
        <v>0</v>
      </c>
      <c r="L103" s="1027"/>
      <c r="M103" s="64"/>
      <c r="O103" s="50"/>
      <c r="P103" s="50"/>
      <c r="Q103" s="50"/>
    </row>
    <row r="104" spans="1:18" x14ac:dyDescent="0.2">
      <c r="A104" s="835">
        <v>637</v>
      </c>
      <c r="B104" s="835" t="s">
        <v>94</v>
      </c>
      <c r="C104" s="835" t="s">
        <v>503</v>
      </c>
      <c r="D104" s="1028">
        <v>0</v>
      </c>
      <c r="E104" s="1028">
        <v>0</v>
      </c>
      <c r="F104" s="1319">
        <v>50</v>
      </c>
      <c r="G104" s="1319">
        <v>50</v>
      </c>
      <c r="H104" s="1319">
        <v>50</v>
      </c>
      <c r="I104" s="1319">
        <v>50</v>
      </c>
      <c r="J104" s="1290">
        <v>50</v>
      </c>
      <c r="K104" s="1545">
        <v>50</v>
      </c>
      <c r="L104" s="1027">
        <v>50</v>
      </c>
      <c r="M104" s="490"/>
      <c r="O104" s="50"/>
      <c r="P104" s="50"/>
      <c r="Q104" s="50"/>
    </row>
    <row r="105" spans="1:18" x14ac:dyDescent="0.2">
      <c r="A105" s="1546" t="s">
        <v>504</v>
      </c>
      <c r="B105" s="1063"/>
      <c r="C105" s="1548" t="s">
        <v>505</v>
      </c>
      <c r="D105" s="1550">
        <f>D7+D83+D92</f>
        <v>300478</v>
      </c>
      <c r="E105" s="1550">
        <f>SUM(E7,E83,E92)+E80</f>
        <v>289814</v>
      </c>
      <c r="F105" s="1550">
        <f t="shared" ref="F105:L105" si="12">F7+F83+F92+F80</f>
        <v>337548</v>
      </c>
      <c r="G105" s="1550">
        <f t="shared" si="12"/>
        <v>396499</v>
      </c>
      <c r="H105" s="1550">
        <f t="shared" si="12"/>
        <v>335345</v>
      </c>
      <c r="I105" s="1550">
        <f t="shared" si="12"/>
        <v>377004</v>
      </c>
      <c r="J105" s="1301">
        <f>J7+J83+J92+J80</f>
        <v>348620</v>
      </c>
      <c r="K105" s="1550">
        <f t="shared" si="12"/>
        <v>350530</v>
      </c>
      <c r="L105" s="1550">
        <f t="shared" si="12"/>
        <v>351430</v>
      </c>
      <c r="M105" s="65"/>
      <c r="N105" s="34"/>
      <c r="O105" s="65"/>
      <c r="P105" s="65"/>
      <c r="Q105" s="65"/>
      <c r="R105" s="493"/>
    </row>
    <row r="106" spans="1:18" s="20" customFormat="1" hidden="1" x14ac:dyDescent="0.2">
      <c r="A106" s="50"/>
      <c r="B106" s="50"/>
      <c r="C106" s="50"/>
      <c r="D106" s="50"/>
      <c r="E106" s="50"/>
      <c r="F106" s="50"/>
      <c r="G106" s="494"/>
      <c r="H106" s="494"/>
      <c r="I106" s="494"/>
      <c r="J106" s="1285"/>
      <c r="K106" s="494"/>
      <c r="L106" s="38"/>
      <c r="R106" s="16"/>
    </row>
    <row r="107" spans="1:18" s="20" customFormat="1" hidden="1" x14ac:dyDescent="0.2">
      <c r="A107" s="50"/>
      <c r="B107" s="50"/>
      <c r="C107" s="50"/>
      <c r="D107" s="50"/>
      <c r="E107" s="50"/>
      <c r="F107" s="50"/>
      <c r="G107" s="494"/>
      <c r="H107" s="494"/>
      <c r="I107" s="494"/>
      <c r="J107" s="1313"/>
      <c r="K107" s="494"/>
      <c r="L107" s="38"/>
      <c r="R107" s="16"/>
    </row>
    <row r="108" spans="1:18" s="20" customFormat="1" x14ac:dyDescent="0.2">
      <c r="A108" s="50"/>
      <c r="B108" s="50"/>
      <c r="C108" s="50"/>
      <c r="D108" s="50"/>
      <c r="E108" s="50"/>
      <c r="F108" s="50"/>
      <c r="G108" s="494"/>
      <c r="H108" s="494"/>
      <c r="I108" s="494"/>
      <c r="J108" s="1313"/>
      <c r="K108" s="494"/>
      <c r="L108" s="38"/>
      <c r="R108" s="16"/>
    </row>
    <row r="109" spans="1:18" s="20" customFormat="1" hidden="1" x14ac:dyDescent="0.2">
      <c r="A109" s="50"/>
      <c r="B109" s="50"/>
      <c r="C109" s="50"/>
      <c r="D109" s="50"/>
      <c r="E109" s="50"/>
      <c r="F109" s="50"/>
      <c r="G109" s="494"/>
      <c r="H109" s="494"/>
      <c r="I109" s="494"/>
      <c r="J109" s="1313"/>
      <c r="K109" s="494"/>
      <c r="L109" s="38"/>
      <c r="R109" s="16"/>
    </row>
    <row r="110" spans="1:18" s="20" customFormat="1" hidden="1" x14ac:dyDescent="0.2">
      <c r="A110" s="50"/>
      <c r="B110" s="50"/>
      <c r="C110" s="50"/>
      <c r="D110" s="50"/>
      <c r="E110" s="50"/>
      <c r="F110" s="50"/>
      <c r="G110" s="494"/>
      <c r="H110" s="494"/>
      <c r="I110" s="494"/>
      <c r="J110" s="1313"/>
      <c r="K110" s="494"/>
      <c r="L110" s="38"/>
      <c r="R110" s="16"/>
    </row>
    <row r="111" spans="1:18" s="20" customFormat="1" hidden="1" x14ac:dyDescent="0.2">
      <c r="A111" s="50"/>
      <c r="B111" s="50"/>
      <c r="C111" s="50"/>
      <c r="D111" s="50"/>
      <c r="E111" s="50"/>
      <c r="F111" s="50"/>
      <c r="G111" s="494"/>
      <c r="H111" s="494"/>
      <c r="I111" s="494"/>
      <c r="J111" s="1313"/>
      <c r="K111" s="494"/>
      <c r="L111" s="38"/>
      <c r="R111" s="16"/>
    </row>
    <row r="112" spans="1:18" s="20" customFormat="1" hidden="1" x14ac:dyDescent="0.2">
      <c r="A112" s="50"/>
      <c r="B112" s="50"/>
      <c r="C112" s="50"/>
      <c r="D112" s="50"/>
      <c r="E112" s="50"/>
      <c r="F112" s="50"/>
      <c r="G112" s="494"/>
      <c r="H112" s="494"/>
      <c r="I112" s="494"/>
      <c r="J112" s="1313"/>
      <c r="K112" s="494"/>
      <c r="L112" s="38"/>
      <c r="R112" s="16"/>
    </row>
    <row r="113" spans="1:18" s="20" customFormat="1" hidden="1" x14ac:dyDescent="0.2">
      <c r="A113" s="50"/>
      <c r="B113" s="50"/>
      <c r="C113" s="50"/>
      <c r="D113" s="50"/>
      <c r="E113" s="50"/>
      <c r="F113" s="50"/>
      <c r="G113" s="494"/>
      <c r="H113" s="494"/>
      <c r="I113" s="494"/>
      <c r="J113" s="1313"/>
      <c r="K113" s="494"/>
      <c r="L113" s="38"/>
      <c r="R113" s="16"/>
    </row>
    <row r="114" spans="1:18" s="20" customFormat="1" x14ac:dyDescent="0.2">
      <c r="A114" s="50"/>
      <c r="B114" s="50"/>
      <c r="C114" s="50"/>
      <c r="D114" s="50"/>
      <c r="E114" s="50"/>
      <c r="F114" s="50"/>
      <c r="G114" s="494"/>
      <c r="H114" s="494"/>
      <c r="I114" s="494"/>
      <c r="J114" s="1313"/>
      <c r="K114" s="2074" t="s">
        <v>506</v>
      </c>
      <c r="L114" s="2074"/>
      <c r="M114" s="86"/>
      <c r="O114" s="86"/>
      <c r="P114" s="86"/>
      <c r="Q114" s="86"/>
      <c r="R114" s="16"/>
    </row>
    <row r="115" spans="1:18" s="20" customFormat="1" ht="13.5" hidden="1" thickBot="1" x14ac:dyDescent="0.25">
      <c r="A115" s="50"/>
      <c r="B115" s="50"/>
      <c r="C115" s="50"/>
      <c r="D115" s="50"/>
      <c r="E115" s="50"/>
      <c r="F115" s="50"/>
      <c r="G115" s="494"/>
      <c r="H115" s="494"/>
      <c r="I115" s="494"/>
      <c r="J115" s="1285"/>
      <c r="K115" s="494"/>
      <c r="L115" s="38"/>
      <c r="R115" s="16"/>
    </row>
    <row r="116" spans="1:18" s="468" customFormat="1" x14ac:dyDescent="0.2">
      <c r="A116" s="1537" t="s">
        <v>431</v>
      </c>
      <c r="B116" s="1538"/>
      <c r="C116" s="1539"/>
      <c r="D116" s="1539">
        <v>2018</v>
      </c>
      <c r="E116" s="1540" t="s">
        <v>909</v>
      </c>
      <c r="F116" s="1540">
        <v>2021</v>
      </c>
      <c r="G116" s="1541">
        <v>2022</v>
      </c>
      <c r="H116" s="1818">
        <v>2023</v>
      </c>
      <c r="I116" s="1542" t="s">
        <v>981</v>
      </c>
      <c r="J116" s="1543">
        <v>2024</v>
      </c>
      <c r="K116" s="1541">
        <v>2025</v>
      </c>
      <c r="L116" s="1541">
        <v>2026</v>
      </c>
      <c r="M116" s="495"/>
      <c r="N116" s="496"/>
      <c r="O116" s="497"/>
      <c r="P116" s="465"/>
      <c r="Q116" s="466"/>
      <c r="R116" s="498"/>
    </row>
    <row r="117" spans="1:18" s="88" customFormat="1" x14ac:dyDescent="0.2">
      <c r="A117" s="1834" t="s">
        <v>507</v>
      </c>
      <c r="B117" s="2090"/>
      <c r="C117" s="2090"/>
      <c r="D117" s="1836">
        <f>SUM(D118:D120)</f>
        <v>1240</v>
      </c>
      <c r="E117" s="1836">
        <f>SUM(E118,E120,E119)+E121</f>
        <v>4775</v>
      </c>
      <c r="F117" s="1836">
        <f>SUM(F118:F121)</f>
        <v>26220</v>
      </c>
      <c r="G117" s="1544">
        <f>G118+G119+G120+G121</f>
        <v>2280</v>
      </c>
      <c r="H117" s="1836">
        <f>H118+H119+H120+H121</f>
        <v>1220</v>
      </c>
      <c r="I117" s="1836">
        <f>I118+I119+I120+I121</f>
        <v>1274</v>
      </c>
      <c r="J117" s="1544">
        <f>J118+J119+J120+J121</f>
        <v>1290</v>
      </c>
      <c r="K117" s="1836">
        <f>SUM(K118,K119,K120)</f>
        <v>1290</v>
      </c>
      <c r="L117" s="1836">
        <f>SUM(L118,L119,L120)</f>
        <v>1590</v>
      </c>
      <c r="M117" s="499"/>
      <c r="N117" s="500"/>
      <c r="O117" s="501"/>
      <c r="P117" s="501"/>
      <c r="Q117" s="501"/>
      <c r="R117" s="502"/>
    </row>
    <row r="118" spans="1:18" s="20" customFormat="1" x14ac:dyDescent="0.2">
      <c r="A118" s="835">
        <v>632</v>
      </c>
      <c r="B118" s="1031" t="s">
        <v>92</v>
      </c>
      <c r="C118" s="835" t="s">
        <v>508</v>
      </c>
      <c r="D118" s="1027">
        <v>300</v>
      </c>
      <c r="E118" s="1028">
        <v>200</v>
      </c>
      <c r="F118" s="1319">
        <v>200</v>
      </c>
      <c r="G118" s="1028">
        <v>150</v>
      </c>
      <c r="H118" s="1319">
        <v>200</v>
      </c>
      <c r="I118" s="1028">
        <v>200</v>
      </c>
      <c r="J118" s="1290">
        <v>200</v>
      </c>
      <c r="K118" s="1545">
        <v>200</v>
      </c>
      <c r="L118" s="1027">
        <v>200</v>
      </c>
      <c r="M118" s="503"/>
      <c r="N118" s="50"/>
      <c r="O118" s="50"/>
      <c r="P118" s="50"/>
      <c r="Q118" s="50"/>
      <c r="R118" s="16"/>
    </row>
    <row r="119" spans="1:18" s="20" customFormat="1" x14ac:dyDescent="0.2">
      <c r="A119" s="835">
        <v>637</v>
      </c>
      <c r="B119" s="1031" t="s">
        <v>111</v>
      </c>
      <c r="C119" s="835" t="s">
        <v>207</v>
      </c>
      <c r="D119" s="1027">
        <v>640</v>
      </c>
      <c r="E119" s="1028"/>
      <c r="F119" s="1319">
        <v>640</v>
      </c>
      <c r="G119" s="1028">
        <v>1730</v>
      </c>
      <c r="H119" s="1319">
        <v>640</v>
      </c>
      <c r="I119" s="1028">
        <v>640</v>
      </c>
      <c r="J119" s="1290">
        <v>640</v>
      </c>
      <c r="K119" s="1545">
        <v>640</v>
      </c>
      <c r="L119" s="1027">
        <v>940</v>
      </c>
      <c r="M119" s="503"/>
      <c r="N119" s="50"/>
      <c r="O119" s="50"/>
      <c r="P119" s="50"/>
      <c r="Q119" s="50"/>
      <c r="R119" s="16"/>
    </row>
    <row r="120" spans="1:18" x14ac:dyDescent="0.2">
      <c r="A120" s="835">
        <v>637</v>
      </c>
      <c r="B120" s="1031" t="s">
        <v>498</v>
      </c>
      <c r="C120" s="835" t="s">
        <v>256</v>
      </c>
      <c r="D120" s="1027">
        <v>300</v>
      </c>
      <c r="E120" s="1028">
        <v>360</v>
      </c>
      <c r="F120" s="1319">
        <v>380</v>
      </c>
      <c r="G120" s="1028">
        <v>400</v>
      </c>
      <c r="H120" s="1319">
        <v>380</v>
      </c>
      <c r="I120" s="1028">
        <v>434</v>
      </c>
      <c r="J120" s="1290">
        <v>450</v>
      </c>
      <c r="K120" s="1545">
        <v>450</v>
      </c>
      <c r="L120" s="1027">
        <v>450</v>
      </c>
      <c r="M120" s="61"/>
      <c r="N120" s="50"/>
      <c r="O120" s="50"/>
      <c r="P120" s="50"/>
      <c r="Q120" s="50"/>
      <c r="R120" s="41"/>
    </row>
    <row r="121" spans="1:18" x14ac:dyDescent="0.2">
      <c r="A121" s="835">
        <v>637</v>
      </c>
      <c r="B121" s="1031" t="s">
        <v>498</v>
      </c>
      <c r="C121" s="835" t="s">
        <v>868</v>
      </c>
      <c r="D121" s="1027"/>
      <c r="E121" s="1028">
        <v>4215</v>
      </c>
      <c r="F121" s="1319">
        <v>25000</v>
      </c>
      <c r="G121" s="1028">
        <v>0</v>
      </c>
      <c r="H121" s="1319">
        <v>0</v>
      </c>
      <c r="I121" s="1028">
        <v>0</v>
      </c>
      <c r="J121" s="1290">
        <v>0</v>
      </c>
      <c r="K121" s="1545"/>
      <c r="L121" s="1027"/>
      <c r="M121" s="61"/>
      <c r="N121" s="50"/>
      <c r="O121" s="50"/>
      <c r="P121" s="50"/>
      <c r="Q121" s="50"/>
      <c r="R121" s="41"/>
    </row>
    <row r="122" spans="1:18" x14ac:dyDescent="0.2">
      <c r="A122" s="1546" t="s">
        <v>509</v>
      </c>
      <c r="B122" s="1063"/>
      <c r="C122" s="1548" t="s">
        <v>253</v>
      </c>
      <c r="D122" s="1055">
        <f>D117</f>
        <v>1240</v>
      </c>
      <c r="E122" s="1584">
        <f>E117</f>
        <v>4775</v>
      </c>
      <c r="F122" s="1584">
        <f>F117</f>
        <v>26220</v>
      </c>
      <c r="G122" s="1584">
        <f>SUM(G118,G119,G120)</f>
        <v>2280</v>
      </c>
      <c r="H122" s="1584">
        <f>H117</f>
        <v>1220</v>
      </c>
      <c r="I122" s="1584">
        <f>I117</f>
        <v>1274</v>
      </c>
      <c r="J122" s="1300">
        <f>J117</f>
        <v>1290</v>
      </c>
      <c r="K122" s="1584">
        <f>K117</f>
        <v>1290</v>
      </c>
      <c r="L122" s="1584">
        <f>L117</f>
        <v>1590</v>
      </c>
      <c r="M122" s="65"/>
      <c r="N122" s="500"/>
      <c r="O122" s="491"/>
      <c r="P122" s="491"/>
      <c r="Q122" s="491"/>
    </row>
    <row r="123" spans="1:18" hidden="1" x14ac:dyDescent="0.2">
      <c r="A123" s="504"/>
      <c r="B123" s="50"/>
      <c r="C123" s="88"/>
      <c r="D123" s="88"/>
      <c r="E123" s="88"/>
      <c r="F123" s="88"/>
      <c r="G123" s="505"/>
      <c r="H123" s="505"/>
      <c r="I123" s="505"/>
      <c r="J123" s="1284"/>
      <c r="K123" s="505"/>
      <c r="L123" s="506"/>
      <c r="M123" s="90"/>
    </row>
    <row r="124" spans="1:18" x14ac:dyDescent="0.2">
      <c r="A124" s="504"/>
      <c r="B124" s="50"/>
      <c r="C124" s="88"/>
      <c r="D124" s="88"/>
      <c r="E124" s="88"/>
      <c r="F124" s="88"/>
      <c r="G124" s="505"/>
      <c r="H124" s="505"/>
      <c r="I124" s="505"/>
      <c r="J124" s="1238"/>
      <c r="K124" s="505"/>
      <c r="L124" s="506"/>
      <c r="M124" s="90"/>
    </row>
    <row r="125" spans="1:18" x14ac:dyDescent="0.2">
      <c r="A125" s="504"/>
      <c r="B125" s="50"/>
      <c r="C125" s="88"/>
      <c r="D125" s="88"/>
      <c r="E125" s="88"/>
      <c r="F125" s="88"/>
      <c r="G125" s="505"/>
      <c r="H125" s="505"/>
      <c r="I125" s="505"/>
      <c r="J125" s="1238"/>
      <c r="K125" s="2074" t="s">
        <v>510</v>
      </c>
      <c r="L125" s="2074"/>
      <c r="M125" s="86"/>
      <c r="O125" s="86"/>
      <c r="P125" s="86"/>
      <c r="Q125" s="86"/>
    </row>
    <row r="126" spans="1:18" ht="13.5" hidden="1" thickBot="1" x14ac:dyDescent="0.25">
      <c r="A126" s="504"/>
      <c r="B126" s="50"/>
      <c r="C126" s="88"/>
      <c r="D126" s="88"/>
      <c r="E126" s="88"/>
      <c r="F126" s="88"/>
      <c r="G126" s="505"/>
      <c r="H126" s="505"/>
      <c r="I126" s="505"/>
      <c r="J126" s="1284"/>
      <c r="K126" s="505"/>
      <c r="L126" s="506"/>
      <c r="M126" s="90"/>
      <c r="O126" s="507"/>
      <c r="P126" s="507"/>
      <c r="Q126" s="507"/>
    </row>
    <row r="127" spans="1:18" s="498" customFormat="1" x14ac:dyDescent="0.2">
      <c r="A127" s="1537" t="s">
        <v>431</v>
      </c>
      <c r="B127" s="1538"/>
      <c r="C127" s="1539"/>
      <c r="D127" s="1539">
        <v>2018</v>
      </c>
      <c r="E127" s="1540" t="s">
        <v>909</v>
      </c>
      <c r="F127" s="1540">
        <v>2021</v>
      </c>
      <c r="G127" s="1541">
        <v>2022</v>
      </c>
      <c r="H127" s="1818">
        <v>2023</v>
      </c>
      <c r="I127" s="1542" t="s">
        <v>981</v>
      </c>
      <c r="J127" s="1543">
        <v>2024</v>
      </c>
      <c r="K127" s="1541">
        <v>2025</v>
      </c>
      <c r="L127" s="1541">
        <v>2026</v>
      </c>
      <c r="M127" s="495"/>
      <c r="N127" s="496"/>
      <c r="O127" s="497"/>
      <c r="P127" s="465"/>
      <c r="Q127" s="466"/>
    </row>
    <row r="128" spans="1:18" s="17" customFormat="1" x14ac:dyDescent="0.2">
      <c r="A128" s="1834" t="s">
        <v>511</v>
      </c>
      <c r="B128" s="2090"/>
      <c r="C128" s="2090"/>
      <c r="D128" s="1835">
        <f t="shared" ref="D128:I128" si="13">D129+D130+D131+D132+D133+D142+D146+D147+D148+D149</f>
        <v>82967</v>
      </c>
      <c r="E128" s="1836">
        <f t="shared" si="13"/>
        <v>108032</v>
      </c>
      <c r="F128" s="1836">
        <f t="shared" si="13"/>
        <v>107824</v>
      </c>
      <c r="G128" s="1836">
        <f t="shared" si="13"/>
        <v>109174</v>
      </c>
      <c r="H128" s="1836">
        <f>H129+H130+H131+H132+H133+H142+H146+H147+H148+H149</f>
        <v>104646</v>
      </c>
      <c r="I128" s="1836">
        <f t="shared" si="13"/>
        <v>117144</v>
      </c>
      <c r="J128" s="1544">
        <f>J129+J130+J131+J132+J133+J142+J146+J147+J148+J149</f>
        <v>105780</v>
      </c>
      <c r="K128" s="1836">
        <f>K129+K130+K131+K132+K133+K142+K146+K147+K148</f>
        <v>112380</v>
      </c>
      <c r="L128" s="1836">
        <f>L129+L130+L131+L132+L133+L142+L146+L147+L148</f>
        <v>112880</v>
      </c>
      <c r="M128" s="508"/>
      <c r="N128" s="491"/>
      <c r="O128" s="469"/>
      <c r="P128" s="469"/>
      <c r="Q128" s="469"/>
    </row>
    <row r="129" spans="1:18" s="20" customFormat="1" x14ac:dyDescent="0.2">
      <c r="A129" s="1031">
        <v>610</v>
      </c>
      <c r="B129" s="1031"/>
      <c r="C129" s="1265" t="s">
        <v>447</v>
      </c>
      <c r="D129" s="1028">
        <v>53000</v>
      </c>
      <c r="E129" s="1028">
        <v>70780</v>
      </c>
      <c r="F129" s="1319">
        <v>70000</v>
      </c>
      <c r="G129" s="1028">
        <v>70000</v>
      </c>
      <c r="H129" s="1319">
        <v>70000</v>
      </c>
      <c r="I129" s="1028">
        <v>75986</v>
      </c>
      <c r="J129" s="1290">
        <v>70000</v>
      </c>
      <c r="K129" s="1516">
        <v>75000</v>
      </c>
      <c r="L129" s="1028">
        <v>75000</v>
      </c>
      <c r="M129" s="64"/>
      <c r="O129" s="58"/>
      <c r="P129" s="50"/>
      <c r="Q129" s="50"/>
      <c r="R129" s="16"/>
    </row>
    <row r="130" spans="1:18" x14ac:dyDescent="0.2">
      <c r="A130" s="1031">
        <v>620</v>
      </c>
      <c r="B130" s="1031"/>
      <c r="C130" s="835" t="s">
        <v>193</v>
      </c>
      <c r="D130" s="1028">
        <v>19455</v>
      </c>
      <c r="E130" s="1028">
        <v>25264</v>
      </c>
      <c r="F130" s="1319">
        <v>26000</v>
      </c>
      <c r="G130" s="1028">
        <v>25000</v>
      </c>
      <c r="H130" s="1319">
        <v>25000</v>
      </c>
      <c r="I130" s="1028">
        <v>27200</v>
      </c>
      <c r="J130" s="1290">
        <v>25000</v>
      </c>
      <c r="K130" s="1516">
        <v>27000</v>
      </c>
      <c r="L130" s="1028">
        <v>27000</v>
      </c>
      <c r="M130" s="64"/>
      <c r="O130" s="58"/>
      <c r="P130" s="50"/>
      <c r="Q130" s="50"/>
    </row>
    <row r="131" spans="1:18" x14ac:dyDescent="0.2">
      <c r="A131" s="1031">
        <v>631</v>
      </c>
      <c r="B131" s="1031"/>
      <c r="C131" s="835" t="s">
        <v>512</v>
      </c>
      <c r="D131" s="1028">
        <v>50</v>
      </c>
      <c r="E131" s="1028">
        <v>0</v>
      </c>
      <c r="F131" s="1319">
        <v>50</v>
      </c>
      <c r="G131" s="1028">
        <v>50</v>
      </c>
      <c r="H131" s="1319">
        <v>50</v>
      </c>
      <c r="I131" s="1028">
        <v>50</v>
      </c>
      <c r="J131" s="1290">
        <v>50</v>
      </c>
      <c r="K131" s="1545">
        <v>50</v>
      </c>
      <c r="L131" s="1027">
        <v>50</v>
      </c>
      <c r="M131" s="64"/>
      <c r="O131" s="58"/>
      <c r="P131" s="50"/>
      <c r="Q131" s="50"/>
    </row>
    <row r="132" spans="1:18" x14ac:dyDescent="0.2">
      <c r="A132" s="1031">
        <v>632</v>
      </c>
      <c r="B132" s="1031"/>
      <c r="C132" s="835" t="s">
        <v>197</v>
      </c>
      <c r="D132" s="1028">
        <v>890</v>
      </c>
      <c r="E132" s="1028">
        <v>650</v>
      </c>
      <c r="F132" s="1319">
        <v>880</v>
      </c>
      <c r="G132" s="1028">
        <v>880</v>
      </c>
      <c r="H132" s="1319">
        <v>880</v>
      </c>
      <c r="I132" s="1028">
        <v>880</v>
      </c>
      <c r="J132" s="1290">
        <v>880</v>
      </c>
      <c r="K132" s="1545">
        <v>880</v>
      </c>
      <c r="L132" s="1027">
        <v>880</v>
      </c>
      <c r="M132" s="64"/>
      <c r="O132" s="58"/>
      <c r="P132" s="50"/>
      <c r="Q132" s="50"/>
    </row>
    <row r="133" spans="1:18" x14ac:dyDescent="0.2">
      <c r="A133" s="1031">
        <v>633</v>
      </c>
      <c r="B133" s="1031"/>
      <c r="C133" s="835" t="s">
        <v>199</v>
      </c>
      <c r="D133" s="1087">
        <f>D137+D138+D139+D135+D134+D136+D141</f>
        <v>3356</v>
      </c>
      <c r="E133" s="1087">
        <f t="shared" ref="E133:F133" si="14">E137+E138+E139+E135+E134+E136</f>
        <v>6195</v>
      </c>
      <c r="F133" s="1319">
        <f t="shared" si="14"/>
        <v>2850</v>
      </c>
      <c r="G133" s="1087">
        <f>G137+G138+G139+G135+G134+G136</f>
        <v>4170</v>
      </c>
      <c r="H133" s="1319">
        <f t="shared" ref="H133" si="15">H137+H138+H139+H135+H134+H136</f>
        <v>2850</v>
      </c>
      <c r="I133" s="1087">
        <f>I137+I138+I139+I135+I134+I136</f>
        <v>2657</v>
      </c>
      <c r="J133" s="1290">
        <f t="shared" ref="J133:L133" si="16">J137+J138+J139+J135+J134+J136</f>
        <v>2950</v>
      </c>
      <c r="K133" s="1545">
        <f t="shared" si="16"/>
        <v>2950</v>
      </c>
      <c r="L133" s="1033">
        <f t="shared" si="16"/>
        <v>2950</v>
      </c>
      <c r="M133" s="64"/>
      <c r="N133" s="64"/>
      <c r="O133" s="64"/>
      <c r="P133" s="64"/>
      <c r="Q133" s="64"/>
    </row>
    <row r="134" spans="1:18" x14ac:dyDescent="0.2">
      <c r="A134" s="1031">
        <v>633</v>
      </c>
      <c r="B134" s="1031" t="s">
        <v>94</v>
      </c>
      <c r="C134" s="835" t="s">
        <v>454</v>
      </c>
      <c r="D134" s="1090">
        <v>100</v>
      </c>
      <c r="E134" s="1090">
        <v>0</v>
      </c>
      <c r="F134" s="1319">
        <v>100</v>
      </c>
      <c r="G134" s="1090">
        <v>100</v>
      </c>
      <c r="H134" s="1319">
        <v>100</v>
      </c>
      <c r="I134" s="1090">
        <v>100</v>
      </c>
      <c r="J134" s="1290">
        <v>0</v>
      </c>
      <c r="K134" s="1545">
        <v>0</v>
      </c>
      <c r="L134" s="1581">
        <v>0</v>
      </c>
      <c r="M134" s="64"/>
      <c r="N134" s="64"/>
      <c r="O134" s="64"/>
      <c r="P134" s="64"/>
      <c r="Q134" s="64"/>
    </row>
    <row r="135" spans="1:18" x14ac:dyDescent="0.2">
      <c r="A135" s="1031">
        <v>633</v>
      </c>
      <c r="B135" s="1031" t="s">
        <v>97</v>
      </c>
      <c r="C135" s="835" t="s">
        <v>962</v>
      </c>
      <c r="D135" s="1090">
        <v>0</v>
      </c>
      <c r="E135" s="1090">
        <v>0</v>
      </c>
      <c r="F135" s="1319">
        <v>0</v>
      </c>
      <c r="G135" s="1090">
        <v>1320</v>
      </c>
      <c r="H135" s="1319">
        <v>0</v>
      </c>
      <c r="I135" s="1090">
        <v>0</v>
      </c>
      <c r="J135" s="1290">
        <v>0</v>
      </c>
      <c r="K135" s="1545">
        <v>0</v>
      </c>
      <c r="L135" s="1581">
        <v>0</v>
      </c>
      <c r="M135" s="64"/>
      <c r="N135" s="64"/>
      <c r="O135" s="64"/>
      <c r="P135" s="64"/>
      <c r="Q135" s="64"/>
    </row>
    <row r="136" spans="1:18" x14ac:dyDescent="0.2">
      <c r="A136" s="1031">
        <v>633</v>
      </c>
      <c r="B136" s="1031" t="s">
        <v>111</v>
      </c>
      <c r="C136" s="835" t="s">
        <v>456</v>
      </c>
      <c r="D136" s="1090">
        <v>500</v>
      </c>
      <c r="E136" s="1090">
        <v>123</v>
      </c>
      <c r="F136" s="1319">
        <v>300</v>
      </c>
      <c r="G136" s="1090">
        <v>300</v>
      </c>
      <c r="H136" s="1319">
        <v>300</v>
      </c>
      <c r="I136" s="1090">
        <v>300</v>
      </c>
      <c r="J136" s="1290">
        <v>500</v>
      </c>
      <c r="K136" s="1545">
        <v>500</v>
      </c>
      <c r="L136" s="1581">
        <v>500</v>
      </c>
      <c r="M136" s="64"/>
      <c r="N136" s="64"/>
      <c r="O136" s="64"/>
      <c r="P136" s="64"/>
      <c r="Q136" s="64"/>
    </row>
    <row r="137" spans="1:18" x14ac:dyDescent="0.2">
      <c r="A137" s="1031">
        <v>633</v>
      </c>
      <c r="B137" s="1031" t="s">
        <v>125</v>
      </c>
      <c r="C137" s="835" t="s">
        <v>355</v>
      </c>
      <c r="D137" s="1090">
        <v>1000</v>
      </c>
      <c r="E137" s="1090">
        <v>3710</v>
      </c>
      <c r="F137" s="1319">
        <v>800</v>
      </c>
      <c r="G137" s="1090">
        <v>800</v>
      </c>
      <c r="H137" s="1319">
        <v>800</v>
      </c>
      <c r="I137" s="1090">
        <v>1600</v>
      </c>
      <c r="J137" s="1290">
        <v>800</v>
      </c>
      <c r="K137" s="1545">
        <v>800</v>
      </c>
      <c r="L137" s="1581">
        <v>800</v>
      </c>
      <c r="M137" s="490"/>
      <c r="O137" s="509"/>
      <c r="P137" s="509"/>
      <c r="Q137" s="509"/>
    </row>
    <row r="138" spans="1:18" x14ac:dyDescent="0.2">
      <c r="A138" s="1031">
        <v>633</v>
      </c>
      <c r="B138" s="1031" t="s">
        <v>459</v>
      </c>
      <c r="C138" s="835" t="s">
        <v>513</v>
      </c>
      <c r="D138" s="1090">
        <v>26</v>
      </c>
      <c r="E138" s="1090">
        <v>44</v>
      </c>
      <c r="F138" s="1319">
        <v>150</v>
      </c>
      <c r="G138" s="1090">
        <v>150</v>
      </c>
      <c r="H138" s="1319">
        <v>150</v>
      </c>
      <c r="I138" s="1090">
        <v>150</v>
      </c>
      <c r="J138" s="1290">
        <v>150</v>
      </c>
      <c r="K138" s="1545">
        <v>150</v>
      </c>
      <c r="L138" s="1581">
        <v>150</v>
      </c>
      <c r="M138" s="490"/>
      <c r="O138" s="509"/>
      <c r="P138" s="509"/>
      <c r="Q138" s="509"/>
    </row>
    <row r="139" spans="1:18" x14ac:dyDescent="0.2">
      <c r="A139" s="1031">
        <v>633</v>
      </c>
      <c r="B139" s="1031" t="s">
        <v>461</v>
      </c>
      <c r="C139" s="835" t="s">
        <v>514</v>
      </c>
      <c r="D139" s="1090">
        <v>1700</v>
      </c>
      <c r="E139" s="1090">
        <v>2318</v>
      </c>
      <c r="F139" s="1319">
        <v>1500</v>
      </c>
      <c r="G139" s="1090">
        <v>1500</v>
      </c>
      <c r="H139" s="1319">
        <v>1500</v>
      </c>
      <c r="I139" s="1090">
        <v>507</v>
      </c>
      <c r="J139" s="1290">
        <v>1500</v>
      </c>
      <c r="K139" s="1545">
        <v>1500</v>
      </c>
      <c r="L139" s="1581">
        <v>1500</v>
      </c>
      <c r="M139" s="490"/>
      <c r="O139" s="509"/>
      <c r="P139" s="509"/>
      <c r="Q139" s="50"/>
    </row>
    <row r="140" spans="1:18" x14ac:dyDescent="0.2">
      <c r="A140" s="1031">
        <v>633</v>
      </c>
      <c r="B140" s="1031" t="s">
        <v>103</v>
      </c>
      <c r="C140" s="835" t="s">
        <v>465</v>
      </c>
      <c r="D140" s="1090"/>
      <c r="E140" s="1090"/>
      <c r="F140" s="1319"/>
      <c r="G140" s="1090"/>
      <c r="H140" s="1319"/>
      <c r="I140" s="1090">
        <v>570</v>
      </c>
      <c r="J140" s="1290">
        <v>500</v>
      </c>
      <c r="K140" s="1545">
        <v>500</v>
      </c>
      <c r="L140" s="1581">
        <v>500</v>
      </c>
      <c r="M140" s="490"/>
      <c r="O140" s="509"/>
      <c r="P140" s="509"/>
      <c r="Q140" s="50"/>
    </row>
    <row r="141" spans="1:18" x14ac:dyDescent="0.2">
      <c r="A141" s="1031">
        <v>633</v>
      </c>
      <c r="B141" s="1031" t="s">
        <v>466</v>
      </c>
      <c r="C141" s="835" t="s">
        <v>467</v>
      </c>
      <c r="D141" s="1090">
        <v>30</v>
      </c>
      <c r="E141" s="1090"/>
      <c r="F141" s="1319"/>
      <c r="G141" s="1090"/>
      <c r="H141" s="1319"/>
      <c r="I141" s="1090">
        <v>65</v>
      </c>
      <c r="J141" s="1290"/>
      <c r="K141" s="1545"/>
      <c r="L141" s="1581"/>
      <c r="M141" s="490"/>
      <c r="O141" s="509"/>
      <c r="P141" s="509"/>
      <c r="Q141" s="50"/>
    </row>
    <row r="142" spans="1:18" x14ac:dyDescent="0.2">
      <c r="A142" s="1031">
        <v>634</v>
      </c>
      <c r="B142" s="1031"/>
      <c r="C142" s="835" t="s">
        <v>201</v>
      </c>
      <c r="D142" s="1028">
        <f t="shared" ref="D142" si="17">SUM(D143,D144,D145)</f>
        <v>5350</v>
      </c>
      <c r="E142" s="1028">
        <f t="shared" ref="E142" si="18">SUM(E143,E144,E145)</f>
        <v>4800</v>
      </c>
      <c r="F142" s="1319">
        <f>SUM(F143,F144,F145)</f>
        <v>6650</v>
      </c>
      <c r="G142" s="1028">
        <f t="shared" ref="G142" si="19">SUM(G143,G144,G145)</f>
        <v>7200</v>
      </c>
      <c r="H142" s="1319">
        <f>SUM(H143,H144,H145)</f>
        <v>5300</v>
      </c>
      <c r="I142" s="1028">
        <f t="shared" ref="I142" si="20">SUM(I143,I144,I145)</f>
        <v>8060</v>
      </c>
      <c r="J142" s="1290">
        <f>SUM(J143,J144,J145)</f>
        <v>6300</v>
      </c>
      <c r="K142" s="1545">
        <v>6000</v>
      </c>
      <c r="L142" s="1027">
        <v>6500</v>
      </c>
      <c r="M142" s="64"/>
      <c r="O142" s="50"/>
      <c r="P142" s="50"/>
      <c r="Q142" s="50"/>
    </row>
    <row r="143" spans="1:18" x14ac:dyDescent="0.2">
      <c r="A143" s="1031">
        <v>634</v>
      </c>
      <c r="B143" s="1031" t="s">
        <v>94</v>
      </c>
      <c r="C143" s="835" t="s">
        <v>515</v>
      </c>
      <c r="D143" s="1090">
        <v>3500</v>
      </c>
      <c r="E143" s="1090">
        <v>3642</v>
      </c>
      <c r="F143" s="1319">
        <v>3500</v>
      </c>
      <c r="G143" s="1090">
        <v>4400</v>
      </c>
      <c r="H143" s="1319">
        <v>3500</v>
      </c>
      <c r="I143" s="1090">
        <v>4000</v>
      </c>
      <c r="J143" s="1290">
        <v>4000</v>
      </c>
      <c r="K143" s="1545">
        <v>4000</v>
      </c>
      <c r="L143" s="1581">
        <v>4000</v>
      </c>
      <c r="M143" s="490"/>
      <c r="O143" s="490"/>
      <c r="P143" s="509"/>
      <c r="Q143" s="509"/>
      <c r="R143" s="33"/>
    </row>
    <row r="144" spans="1:18" x14ac:dyDescent="0.2">
      <c r="A144" s="1031">
        <v>634</v>
      </c>
      <c r="B144" s="1031" t="s">
        <v>97</v>
      </c>
      <c r="C144" s="835" t="s">
        <v>516</v>
      </c>
      <c r="D144" s="1090">
        <v>1500</v>
      </c>
      <c r="E144" s="1090">
        <v>821</v>
      </c>
      <c r="F144" s="1319">
        <v>1000</v>
      </c>
      <c r="G144" s="1090">
        <v>2000</v>
      </c>
      <c r="H144" s="1319">
        <v>1000</v>
      </c>
      <c r="I144" s="1090">
        <v>3800</v>
      </c>
      <c r="J144" s="1290">
        <v>2000</v>
      </c>
      <c r="K144" s="1545">
        <v>2000</v>
      </c>
      <c r="L144" s="1581">
        <v>2000</v>
      </c>
      <c r="M144" s="490"/>
      <c r="O144" s="509"/>
      <c r="P144" s="509"/>
      <c r="Q144" s="509"/>
    </row>
    <row r="145" spans="1:18" x14ac:dyDescent="0.2">
      <c r="A145" s="1031">
        <v>634</v>
      </c>
      <c r="B145" s="1031" t="s">
        <v>92</v>
      </c>
      <c r="C145" s="835" t="s">
        <v>517</v>
      </c>
      <c r="D145" s="1090">
        <v>350</v>
      </c>
      <c r="E145" s="1090">
        <v>337</v>
      </c>
      <c r="F145" s="1319">
        <v>2150</v>
      </c>
      <c r="G145" s="1090">
        <v>800</v>
      </c>
      <c r="H145" s="1319">
        <v>800</v>
      </c>
      <c r="I145" s="1090">
        <v>260</v>
      </c>
      <c r="J145" s="1290">
        <v>300</v>
      </c>
      <c r="K145" s="1545">
        <v>300</v>
      </c>
      <c r="L145" s="1581">
        <v>300</v>
      </c>
      <c r="M145" s="490"/>
      <c r="O145" s="509"/>
      <c r="P145" s="509"/>
      <c r="Q145" s="509"/>
      <c r="R145" s="41"/>
    </row>
    <row r="146" spans="1:18" x14ac:dyDescent="0.2">
      <c r="A146" s="1031">
        <v>635</v>
      </c>
      <c r="B146" s="1031"/>
      <c r="C146" s="835" t="s">
        <v>518</v>
      </c>
      <c r="D146" s="1028">
        <v>400</v>
      </c>
      <c r="E146" s="1028">
        <v>144</v>
      </c>
      <c r="F146" s="1319">
        <v>1028</v>
      </c>
      <c r="G146" s="1028">
        <v>878</v>
      </c>
      <c r="H146" s="1319">
        <v>200</v>
      </c>
      <c r="I146" s="1028">
        <v>250</v>
      </c>
      <c r="J146" s="1290">
        <v>200</v>
      </c>
      <c r="K146" s="1545">
        <v>100</v>
      </c>
      <c r="L146" s="1027">
        <v>100</v>
      </c>
      <c r="M146" s="490"/>
      <c r="O146" s="509"/>
      <c r="P146" s="509"/>
      <c r="Q146" s="509"/>
      <c r="R146" s="41"/>
    </row>
    <row r="147" spans="1:18" x14ac:dyDescent="0.2">
      <c r="A147" s="1031">
        <v>637</v>
      </c>
      <c r="B147" s="1031"/>
      <c r="C147" s="835" t="s">
        <v>519</v>
      </c>
      <c r="D147" s="1028">
        <v>400</v>
      </c>
      <c r="E147" s="1028">
        <v>133</v>
      </c>
      <c r="F147" s="1319">
        <v>300</v>
      </c>
      <c r="G147" s="1028">
        <v>930</v>
      </c>
      <c r="H147" s="1319">
        <v>300</v>
      </c>
      <c r="I147" s="1028">
        <v>1440</v>
      </c>
      <c r="J147" s="1290">
        <v>300</v>
      </c>
      <c r="K147" s="1545">
        <v>300</v>
      </c>
      <c r="L147" s="1027">
        <v>300</v>
      </c>
      <c r="M147" s="64"/>
      <c r="O147" s="50"/>
      <c r="P147" s="50"/>
      <c r="Q147" s="50"/>
      <c r="R147" s="41"/>
    </row>
    <row r="148" spans="1:18" x14ac:dyDescent="0.2">
      <c r="A148" s="1031">
        <v>642</v>
      </c>
      <c r="B148" s="1031"/>
      <c r="C148" s="835" t="s">
        <v>520</v>
      </c>
      <c r="D148" s="1028">
        <v>66</v>
      </c>
      <c r="E148" s="1028">
        <v>66</v>
      </c>
      <c r="F148" s="1319">
        <v>66</v>
      </c>
      <c r="G148" s="1028">
        <v>66</v>
      </c>
      <c r="H148" s="1319">
        <v>66</v>
      </c>
      <c r="I148" s="1028">
        <v>66</v>
      </c>
      <c r="J148" s="1290">
        <v>100</v>
      </c>
      <c r="K148" s="1545">
        <v>100</v>
      </c>
      <c r="L148" s="1027">
        <v>100</v>
      </c>
      <c r="M148" s="64"/>
      <c r="O148" s="50"/>
      <c r="P148" s="50"/>
      <c r="Q148" s="50"/>
    </row>
    <row r="149" spans="1:18" x14ac:dyDescent="0.2">
      <c r="A149" s="1031">
        <v>637</v>
      </c>
      <c r="B149" s="1031" t="s">
        <v>494</v>
      </c>
      <c r="C149" s="835" t="s">
        <v>1008</v>
      </c>
      <c r="D149" s="1028">
        <v>0</v>
      </c>
      <c r="E149" s="1028"/>
      <c r="F149" s="1319">
        <v>0</v>
      </c>
      <c r="G149" s="1028">
        <v>0</v>
      </c>
      <c r="H149" s="1319">
        <v>0</v>
      </c>
      <c r="I149" s="1028">
        <v>555</v>
      </c>
      <c r="J149" s="1302">
        <v>0</v>
      </c>
      <c r="K149" s="1545">
        <v>0</v>
      </c>
      <c r="L149" s="1027">
        <v>0</v>
      </c>
      <c r="M149" s="64"/>
      <c r="O149" s="50"/>
      <c r="P149" s="50"/>
      <c r="Q149" s="50"/>
      <c r="R149" s="510"/>
    </row>
    <row r="150" spans="1:18" hidden="1" x14ac:dyDescent="0.2">
      <c r="A150" s="511"/>
      <c r="B150" s="20"/>
      <c r="C150" s="20"/>
      <c r="D150" s="75"/>
      <c r="E150" s="75"/>
      <c r="F150" s="75"/>
      <c r="G150" s="75"/>
      <c r="H150" s="75"/>
      <c r="I150" s="75"/>
      <c r="J150" s="1238"/>
      <c r="K150" s="75"/>
      <c r="L150" s="75"/>
    </row>
    <row r="151" spans="1:18" s="17" customFormat="1" x14ac:dyDescent="0.2">
      <c r="A151" s="2091" t="s">
        <v>521</v>
      </c>
      <c r="B151" s="2087"/>
      <c r="C151" s="2087"/>
      <c r="D151" s="2089">
        <f>D152+D153+D160+D167+D168+D165</f>
        <v>9727</v>
      </c>
      <c r="E151" s="2088">
        <f>SUM(E152,E153,E160,E165,E166,E168,E167)</f>
        <v>7697</v>
      </c>
      <c r="F151" s="2092">
        <f>SUM(F152,F153,F160,F165,F166,F168)+F167</f>
        <v>14850</v>
      </c>
      <c r="G151" s="2092">
        <f>SUM(G152,G153,G160,G165,G166,G168,G167)</f>
        <v>14522</v>
      </c>
      <c r="H151" s="2092">
        <f>SUM(H152,H153,H160,H165,H166,H168)+H167</f>
        <v>8650</v>
      </c>
      <c r="I151" s="2092">
        <f>SUM(I152,I153,I160,I165,I166,I168)+I167</f>
        <v>15396</v>
      </c>
      <c r="J151" s="1585">
        <f>SUM(J152,J153,J160,J165,J166,J168)+J167</f>
        <v>13200</v>
      </c>
      <c r="K151" s="2092">
        <f>SUM(K152,K153,K160,K165,K166,K168)+K167</f>
        <v>13350</v>
      </c>
      <c r="L151" s="2092">
        <f>SUM(L152,L153,L160,L165,L166,L168)+L167</f>
        <v>13350</v>
      </c>
      <c r="M151" s="469"/>
      <c r="N151" s="491"/>
      <c r="O151" s="469"/>
      <c r="P151" s="469"/>
      <c r="Q151" s="469"/>
    </row>
    <row r="152" spans="1:18" s="20" customFormat="1" x14ac:dyDescent="0.2">
      <c r="A152" s="835">
        <v>632</v>
      </c>
      <c r="B152" s="1031"/>
      <c r="C152" s="835" t="s">
        <v>197</v>
      </c>
      <c r="D152" s="1028">
        <v>2270</v>
      </c>
      <c r="E152" s="1028">
        <v>2202</v>
      </c>
      <c r="F152" s="1319">
        <v>2300</v>
      </c>
      <c r="G152" s="1527">
        <v>5156</v>
      </c>
      <c r="H152" s="1319">
        <v>3000</v>
      </c>
      <c r="I152" s="1527">
        <v>5660</v>
      </c>
      <c r="J152" s="1290">
        <v>5500</v>
      </c>
      <c r="K152" s="1545">
        <v>5500</v>
      </c>
      <c r="L152" s="1027">
        <v>5500</v>
      </c>
      <c r="M152" s="64"/>
      <c r="O152" s="58"/>
      <c r="P152" s="50"/>
      <c r="Q152" s="50"/>
      <c r="R152" s="16"/>
    </row>
    <row r="153" spans="1:18" x14ac:dyDescent="0.2">
      <c r="A153" s="835">
        <v>633</v>
      </c>
      <c r="B153" s="1031"/>
      <c r="C153" s="835" t="s">
        <v>199</v>
      </c>
      <c r="D153" s="1028">
        <f t="shared" ref="D153" si="21">D154+D155+D156+D157+D159</f>
        <v>4301</v>
      </c>
      <c r="E153" s="1028">
        <f>E154+E155+E156+E157+E159+E158</f>
        <v>3693</v>
      </c>
      <c r="F153" s="1319">
        <f>F154+F155+F156+F157+F159</f>
        <v>9900</v>
      </c>
      <c r="G153" s="1527">
        <v>5000</v>
      </c>
      <c r="H153" s="1319">
        <v>3000</v>
      </c>
      <c r="I153" s="1527">
        <v>5216</v>
      </c>
      <c r="J153" s="1290">
        <f>SUM(J154:J157)</f>
        <v>4400</v>
      </c>
      <c r="K153" s="1545">
        <f>SUM(K154:K157)</f>
        <v>4400</v>
      </c>
      <c r="L153" s="1027">
        <f>SUM(L154:L157)</f>
        <v>4400</v>
      </c>
      <c r="M153" s="64"/>
      <c r="O153" s="58"/>
      <c r="P153" s="58"/>
      <c r="Q153" s="58"/>
    </row>
    <row r="154" spans="1:18" x14ac:dyDescent="0.2">
      <c r="A154" s="835">
        <v>633</v>
      </c>
      <c r="B154" s="1031" t="s">
        <v>94</v>
      </c>
      <c r="C154" s="835" t="s">
        <v>522</v>
      </c>
      <c r="D154" s="1090">
        <v>501</v>
      </c>
      <c r="E154" s="1090">
        <v>0</v>
      </c>
      <c r="F154" s="1319">
        <v>500</v>
      </c>
      <c r="G154" s="1529">
        <v>500</v>
      </c>
      <c r="H154" s="1319">
        <v>500</v>
      </c>
      <c r="I154" s="1529">
        <v>500</v>
      </c>
      <c r="J154" s="1290">
        <v>500</v>
      </c>
      <c r="K154" s="1545">
        <v>500</v>
      </c>
      <c r="L154" s="1581">
        <v>500</v>
      </c>
      <c r="M154" s="490"/>
      <c r="O154" s="50"/>
      <c r="P154" s="509"/>
      <c r="Q154" s="509"/>
    </row>
    <row r="155" spans="1:18" x14ac:dyDescent="0.2">
      <c r="A155" s="1565">
        <v>633</v>
      </c>
      <c r="B155" s="1555" t="s">
        <v>111</v>
      </c>
      <c r="C155" s="1565" t="s">
        <v>523</v>
      </c>
      <c r="D155" s="1180">
        <v>3000</v>
      </c>
      <c r="E155" s="1180">
        <v>3000</v>
      </c>
      <c r="F155" s="1533">
        <v>3000</v>
      </c>
      <c r="G155" s="1534">
        <v>3000</v>
      </c>
      <c r="H155" s="1533">
        <v>3000</v>
      </c>
      <c r="I155" s="1534">
        <v>3000</v>
      </c>
      <c r="J155" s="1586">
        <v>3000</v>
      </c>
      <c r="K155" s="1545">
        <v>3000</v>
      </c>
      <c r="L155" s="1580">
        <v>3000</v>
      </c>
      <c r="M155" s="492"/>
      <c r="O155" s="512"/>
      <c r="P155" s="467"/>
      <c r="Q155" s="509"/>
    </row>
    <row r="156" spans="1:18" x14ac:dyDescent="0.2">
      <c r="A156" s="835">
        <v>633</v>
      </c>
      <c r="B156" s="1031" t="s">
        <v>111</v>
      </c>
      <c r="C156" s="835" t="s">
        <v>523</v>
      </c>
      <c r="D156" s="1090">
        <v>400</v>
      </c>
      <c r="E156" s="1090">
        <v>0</v>
      </c>
      <c r="F156" s="1319">
        <v>400</v>
      </c>
      <c r="G156" s="1529">
        <v>400</v>
      </c>
      <c r="H156" s="1319">
        <v>400</v>
      </c>
      <c r="I156" s="1529">
        <v>0</v>
      </c>
      <c r="J156" s="1290">
        <v>400</v>
      </c>
      <c r="K156" s="1545">
        <v>400</v>
      </c>
      <c r="L156" s="1581">
        <v>400</v>
      </c>
      <c r="M156" s="490"/>
      <c r="O156" s="58"/>
      <c r="P156" s="509"/>
      <c r="Q156" s="509"/>
    </row>
    <row r="157" spans="1:18" x14ac:dyDescent="0.2">
      <c r="A157" s="835">
        <v>633</v>
      </c>
      <c r="B157" s="1031" t="s">
        <v>125</v>
      </c>
      <c r="C157" s="835" t="s">
        <v>355</v>
      </c>
      <c r="D157" s="1090">
        <v>300</v>
      </c>
      <c r="E157" s="1090">
        <v>359</v>
      </c>
      <c r="F157" s="1319">
        <v>3000</v>
      </c>
      <c r="G157" s="1529">
        <v>500</v>
      </c>
      <c r="H157" s="1319">
        <v>500</v>
      </c>
      <c r="I157" s="1529">
        <v>500</v>
      </c>
      <c r="J157" s="1290">
        <v>500</v>
      </c>
      <c r="K157" s="1545">
        <v>500</v>
      </c>
      <c r="L157" s="1581">
        <v>500</v>
      </c>
      <c r="M157" s="490"/>
      <c r="O157" s="50"/>
      <c r="P157" s="509"/>
      <c r="Q157" s="509"/>
    </row>
    <row r="158" spans="1:18" x14ac:dyDescent="0.2">
      <c r="A158" s="835">
        <v>633</v>
      </c>
      <c r="B158" s="1031" t="s">
        <v>461</v>
      </c>
      <c r="C158" s="835" t="s">
        <v>841</v>
      </c>
      <c r="D158" s="1090"/>
      <c r="E158" s="1090">
        <v>207</v>
      </c>
      <c r="F158" s="1319"/>
      <c r="G158" s="1529"/>
      <c r="H158" s="1319"/>
      <c r="I158" s="1529">
        <v>205</v>
      </c>
      <c r="J158" s="1290"/>
      <c r="K158" s="1545"/>
      <c r="L158" s="1581"/>
      <c r="M158" s="490"/>
      <c r="O158" s="50"/>
      <c r="P158" s="509"/>
      <c r="Q158" s="509"/>
    </row>
    <row r="159" spans="1:18" x14ac:dyDescent="0.2">
      <c r="A159" s="835">
        <v>633</v>
      </c>
      <c r="B159" s="1031" t="s">
        <v>466</v>
      </c>
      <c r="C159" s="835" t="s">
        <v>356</v>
      </c>
      <c r="D159" s="1090">
        <v>100</v>
      </c>
      <c r="E159" s="1090">
        <v>127</v>
      </c>
      <c r="F159" s="1319">
        <v>3000</v>
      </c>
      <c r="G159" s="1529">
        <v>1000</v>
      </c>
      <c r="H159" s="1319">
        <v>1000</v>
      </c>
      <c r="I159" s="1529">
        <v>1011</v>
      </c>
      <c r="J159" s="1290">
        <v>1000</v>
      </c>
      <c r="K159" s="1545">
        <v>1000</v>
      </c>
      <c r="L159" s="1581">
        <v>1000</v>
      </c>
      <c r="M159" s="490"/>
      <c r="O159" s="50"/>
      <c r="P159" s="509"/>
      <c r="Q159" s="50"/>
    </row>
    <row r="160" spans="1:18" x14ac:dyDescent="0.2">
      <c r="A160" s="835">
        <v>634</v>
      </c>
      <c r="B160" s="1031"/>
      <c r="C160" s="835" t="s">
        <v>201</v>
      </c>
      <c r="D160" s="1028">
        <f>D161+D163+D164+D162</f>
        <v>1360</v>
      </c>
      <c r="E160" s="1028">
        <f>E161+E162+E163+E164</f>
        <v>498</v>
      </c>
      <c r="F160" s="1319">
        <f t="shared" ref="F160" si="22">SUM(F161:F164)</f>
        <v>1550</v>
      </c>
      <c r="G160" s="1527">
        <f t="shared" ref="G160:H160" si="23">SUM(G161:G164)</f>
        <v>2560</v>
      </c>
      <c r="H160" s="1319">
        <f t="shared" si="23"/>
        <v>1550</v>
      </c>
      <c r="I160" s="1527">
        <v>1935</v>
      </c>
      <c r="J160" s="1290">
        <v>2000</v>
      </c>
      <c r="K160" s="1545">
        <f t="shared" ref="K160:L160" si="24">SUM(K161:K164)</f>
        <v>2350</v>
      </c>
      <c r="L160" s="1027">
        <f t="shared" si="24"/>
        <v>2350</v>
      </c>
      <c r="M160" s="64"/>
      <c r="O160" s="50"/>
      <c r="P160" s="50"/>
      <c r="Q160" s="50"/>
    </row>
    <row r="161" spans="1:18" x14ac:dyDescent="0.2">
      <c r="A161" s="1031">
        <v>634</v>
      </c>
      <c r="B161" s="1031" t="s">
        <v>94</v>
      </c>
      <c r="C161" s="835" t="s">
        <v>515</v>
      </c>
      <c r="D161" s="1090">
        <v>500</v>
      </c>
      <c r="E161" s="1090">
        <v>0</v>
      </c>
      <c r="F161" s="1319">
        <v>500</v>
      </c>
      <c r="G161" s="1529">
        <v>500</v>
      </c>
      <c r="H161" s="1319">
        <v>500</v>
      </c>
      <c r="I161" s="1529">
        <v>1100</v>
      </c>
      <c r="J161" s="1290">
        <v>1000</v>
      </c>
      <c r="K161" s="1545">
        <v>1000</v>
      </c>
      <c r="L161" s="1581">
        <v>1000</v>
      </c>
      <c r="M161" s="490"/>
      <c r="O161" s="509"/>
      <c r="P161" s="509"/>
      <c r="Q161" s="509"/>
      <c r="R161" s="480"/>
    </row>
    <row r="162" spans="1:18" x14ac:dyDescent="0.2">
      <c r="A162" s="1031">
        <v>634</v>
      </c>
      <c r="B162" s="1031" t="s">
        <v>97</v>
      </c>
      <c r="C162" s="835" t="s">
        <v>651</v>
      </c>
      <c r="D162" s="1090">
        <v>300</v>
      </c>
      <c r="E162" s="1090">
        <v>138</v>
      </c>
      <c r="F162" s="1319">
        <v>500</v>
      </c>
      <c r="G162" s="1529">
        <v>1500</v>
      </c>
      <c r="H162" s="1319">
        <v>500</v>
      </c>
      <c r="I162" s="1529">
        <v>275</v>
      </c>
      <c r="J162" s="1290">
        <v>800</v>
      </c>
      <c r="K162" s="1545">
        <v>800</v>
      </c>
      <c r="L162" s="1581">
        <v>800</v>
      </c>
      <c r="M162" s="490"/>
      <c r="O162" s="509"/>
      <c r="P162" s="509"/>
      <c r="Q162" s="509"/>
      <c r="R162" s="480"/>
    </row>
    <row r="163" spans="1:18" x14ac:dyDescent="0.2">
      <c r="A163" s="1031">
        <v>634</v>
      </c>
      <c r="B163" s="1031" t="s">
        <v>111</v>
      </c>
      <c r="C163" s="835" t="s">
        <v>346</v>
      </c>
      <c r="D163" s="1090">
        <v>200</v>
      </c>
      <c r="E163" s="1090"/>
      <c r="F163" s="1319">
        <v>200</v>
      </c>
      <c r="G163" s="1529">
        <v>200</v>
      </c>
      <c r="H163" s="1319">
        <v>200</v>
      </c>
      <c r="I163" s="1529">
        <v>200</v>
      </c>
      <c r="J163" s="1290">
        <v>200</v>
      </c>
      <c r="K163" s="1545">
        <v>200</v>
      </c>
      <c r="L163" s="1581">
        <v>200</v>
      </c>
      <c r="M163" s="490"/>
      <c r="O163" s="509"/>
      <c r="P163" s="509"/>
      <c r="Q163" s="509"/>
    </row>
    <row r="164" spans="1:18" x14ac:dyDescent="0.2">
      <c r="A164" s="1031">
        <v>634</v>
      </c>
      <c r="B164" s="1031" t="s">
        <v>92</v>
      </c>
      <c r="C164" s="835" t="s">
        <v>517</v>
      </c>
      <c r="D164" s="1090">
        <v>360</v>
      </c>
      <c r="E164" s="1090">
        <v>360</v>
      </c>
      <c r="F164" s="1319">
        <v>350</v>
      </c>
      <c r="G164" s="1529">
        <v>360</v>
      </c>
      <c r="H164" s="1319">
        <v>350</v>
      </c>
      <c r="I164" s="1529">
        <v>360</v>
      </c>
      <c r="J164" s="1290">
        <v>350</v>
      </c>
      <c r="K164" s="1545">
        <v>350</v>
      </c>
      <c r="L164" s="1581">
        <v>350</v>
      </c>
      <c r="M164" s="490"/>
      <c r="O164" s="509"/>
      <c r="P164" s="509"/>
      <c r="Q164" s="509"/>
    </row>
    <row r="165" spans="1:18" x14ac:dyDescent="0.2">
      <c r="A165" s="835">
        <v>635</v>
      </c>
      <c r="B165" s="1031"/>
      <c r="C165" s="835" t="s">
        <v>293</v>
      </c>
      <c r="D165" s="1028">
        <v>500</v>
      </c>
      <c r="E165" s="1028">
        <v>0</v>
      </c>
      <c r="F165" s="1319">
        <v>500</v>
      </c>
      <c r="G165" s="1527">
        <v>500</v>
      </c>
      <c r="H165" s="1319">
        <v>500</v>
      </c>
      <c r="I165" s="1527">
        <v>500</v>
      </c>
      <c r="J165" s="1290">
        <v>500</v>
      </c>
      <c r="K165" s="1545">
        <v>500</v>
      </c>
      <c r="L165" s="1027">
        <v>500</v>
      </c>
      <c r="M165" s="64"/>
      <c r="O165" s="50"/>
      <c r="P165" s="50"/>
      <c r="Q165" s="50"/>
    </row>
    <row r="166" spans="1:18" x14ac:dyDescent="0.2">
      <c r="A166" s="1565">
        <v>637</v>
      </c>
      <c r="B166" s="1555" t="s">
        <v>120</v>
      </c>
      <c r="C166" s="1565" t="s">
        <v>320</v>
      </c>
      <c r="D166" s="1087">
        <v>0</v>
      </c>
      <c r="E166" s="1087">
        <v>0</v>
      </c>
      <c r="F166" s="1319">
        <v>0</v>
      </c>
      <c r="G166" s="1535">
        <v>0</v>
      </c>
      <c r="H166" s="1319">
        <v>0</v>
      </c>
      <c r="I166" s="1535">
        <v>0</v>
      </c>
      <c r="J166" s="1290">
        <v>0</v>
      </c>
      <c r="K166" s="1545">
        <v>0</v>
      </c>
      <c r="L166" s="1033">
        <v>0</v>
      </c>
      <c r="M166" s="487"/>
      <c r="O166" s="512"/>
      <c r="P166" s="467"/>
      <c r="Q166" s="50"/>
    </row>
    <row r="167" spans="1:18" x14ac:dyDescent="0.2">
      <c r="A167" s="835">
        <v>637</v>
      </c>
      <c r="B167" s="1031"/>
      <c r="C167" s="835" t="s">
        <v>519</v>
      </c>
      <c r="D167" s="1087">
        <v>1296</v>
      </c>
      <c r="E167" s="1087">
        <v>1304</v>
      </c>
      <c r="F167" s="1319">
        <v>600</v>
      </c>
      <c r="G167" s="1535">
        <v>600</v>
      </c>
      <c r="H167" s="1319">
        <v>600</v>
      </c>
      <c r="I167" s="1535">
        <v>1570</v>
      </c>
      <c r="J167" s="1290">
        <v>800</v>
      </c>
      <c r="K167" s="1545">
        <v>600</v>
      </c>
      <c r="L167" s="1033">
        <v>600</v>
      </c>
      <c r="M167" s="487"/>
      <c r="O167" s="512"/>
      <c r="P167" s="467"/>
      <c r="Q167" s="50"/>
    </row>
    <row r="168" spans="1:18" x14ac:dyDescent="0.2">
      <c r="A168" s="835">
        <v>642</v>
      </c>
      <c r="B168" s="1031" t="s">
        <v>97</v>
      </c>
      <c r="C168" s="835" t="s">
        <v>524</v>
      </c>
      <c r="D168" s="1028">
        <v>0</v>
      </c>
      <c r="E168" s="1028"/>
      <c r="F168" s="1319"/>
      <c r="G168" s="1527">
        <v>706</v>
      </c>
      <c r="H168" s="1319"/>
      <c r="I168" s="1527">
        <v>515</v>
      </c>
      <c r="J168" s="1290"/>
      <c r="K168" s="1545"/>
      <c r="L168" s="1027"/>
      <c r="M168" s="64"/>
      <c r="O168" s="50"/>
      <c r="P168" s="50"/>
      <c r="Q168" s="50"/>
      <c r="R168" s="513"/>
    </row>
    <row r="169" spans="1:18" x14ac:dyDescent="0.2">
      <c r="A169" s="1546" t="s">
        <v>525</v>
      </c>
      <c r="B169" s="1547"/>
      <c r="C169" s="1548" t="s">
        <v>526</v>
      </c>
      <c r="D169" s="1550">
        <f>D128+D151</f>
        <v>92694</v>
      </c>
      <c r="E169" s="1549">
        <f>SUM(E128,E151)</f>
        <v>115729</v>
      </c>
      <c r="F169" s="1549">
        <f t="shared" ref="F169:L169" si="25">F128+F151</f>
        <v>122674</v>
      </c>
      <c r="G169" s="1550">
        <f t="shared" si="25"/>
        <v>123696</v>
      </c>
      <c r="H169" s="1550">
        <f t="shared" si="25"/>
        <v>113296</v>
      </c>
      <c r="I169" s="1550">
        <f t="shared" si="25"/>
        <v>132540</v>
      </c>
      <c r="J169" s="1301">
        <f>J128+J151</f>
        <v>118980</v>
      </c>
      <c r="K169" s="1550">
        <f t="shared" si="25"/>
        <v>125730</v>
      </c>
      <c r="L169" s="1550">
        <f t="shared" si="25"/>
        <v>126230</v>
      </c>
      <c r="M169" s="65"/>
      <c r="N169" s="500"/>
      <c r="O169" s="469"/>
      <c r="P169" s="469"/>
      <c r="Q169" s="469"/>
      <c r="R169" s="510"/>
    </row>
    <row r="170" spans="1:18" hidden="1" x14ac:dyDescent="0.2">
      <c r="A170" s="514"/>
      <c r="B170" s="515"/>
      <c r="C170" s="516"/>
      <c r="D170" s="516"/>
      <c r="E170" s="516"/>
      <c r="F170" s="516"/>
      <c r="G170" s="517"/>
      <c r="H170" s="517"/>
      <c r="I170" s="517"/>
      <c r="J170" s="1238"/>
      <c r="K170" s="517"/>
      <c r="L170" s="518"/>
      <c r="M170" s="90"/>
      <c r="N170" s="519"/>
      <c r="O170" s="70"/>
      <c r="P170" s="70"/>
      <c r="Q170" s="70"/>
    </row>
    <row r="171" spans="1:18" hidden="1" x14ac:dyDescent="0.2">
      <c r="A171" s="514"/>
      <c r="B171" s="515"/>
      <c r="C171" s="516"/>
      <c r="D171" s="516"/>
      <c r="E171" s="516"/>
      <c r="F171" s="516"/>
      <c r="G171" s="517"/>
      <c r="H171" s="517"/>
      <c r="I171" s="517"/>
      <c r="J171" s="1238"/>
      <c r="K171" s="517"/>
      <c r="L171" s="518"/>
      <c r="M171" s="90"/>
      <c r="N171" s="519"/>
      <c r="O171" s="70"/>
      <c r="P171" s="70"/>
      <c r="Q171" s="70"/>
    </row>
    <row r="172" spans="1:18" hidden="1" x14ac:dyDescent="0.2">
      <c r="A172" s="514"/>
      <c r="B172" s="515"/>
      <c r="C172" s="516"/>
      <c r="D172" s="516"/>
      <c r="E172" s="516"/>
      <c r="F172" s="516"/>
      <c r="G172" s="517"/>
      <c r="H172" s="517"/>
      <c r="I172" s="517"/>
      <c r="J172" s="1238"/>
      <c r="K172" s="517"/>
      <c r="L172" s="518"/>
      <c r="M172" s="90"/>
      <c r="N172" s="519"/>
      <c r="O172" s="70"/>
      <c r="P172" s="70"/>
      <c r="Q172" s="70"/>
    </row>
    <row r="173" spans="1:18" hidden="1" x14ac:dyDescent="0.2">
      <c r="A173" s="514"/>
      <c r="B173" s="515"/>
      <c r="C173" s="516"/>
      <c r="D173" s="516"/>
      <c r="E173" s="516"/>
      <c r="F173" s="516"/>
      <c r="G173" s="517"/>
      <c r="H173" s="517"/>
      <c r="I173" s="517"/>
      <c r="J173" s="1238"/>
      <c r="K173" s="517"/>
      <c r="L173" s="518"/>
      <c r="M173" s="90"/>
      <c r="N173" s="519"/>
      <c r="O173" s="70"/>
      <c r="P173" s="70"/>
      <c r="Q173" s="70"/>
    </row>
    <row r="174" spans="1:18" hidden="1" x14ac:dyDescent="0.2">
      <c r="A174" s="514"/>
      <c r="B174" s="515"/>
      <c r="C174" s="516"/>
      <c r="D174" s="516"/>
      <c r="E174" s="516"/>
      <c r="F174" s="516"/>
      <c r="G174" s="517"/>
      <c r="H174" s="517"/>
      <c r="I174" s="517"/>
      <c r="J174" s="1238"/>
      <c r="K174" s="517"/>
      <c r="L174" s="518"/>
      <c r="M174" s="90"/>
      <c r="N174" s="519"/>
      <c r="O174" s="70"/>
      <c r="P174" s="70"/>
      <c r="Q174" s="70"/>
    </row>
    <row r="175" spans="1:18" hidden="1" x14ac:dyDescent="0.2">
      <c r="A175" s="514"/>
      <c r="B175" s="515"/>
      <c r="C175" s="516"/>
      <c r="D175" s="516"/>
      <c r="E175" s="516"/>
      <c r="F175" s="516"/>
      <c r="G175" s="517"/>
      <c r="H175" s="517"/>
      <c r="I175" s="517"/>
      <c r="J175" s="1238"/>
      <c r="K175" s="517"/>
      <c r="L175" s="518"/>
      <c r="M175" s="90"/>
      <c r="N175" s="519"/>
      <c r="O175" s="70"/>
      <c r="P175" s="70"/>
      <c r="Q175" s="70"/>
    </row>
    <row r="176" spans="1:18" hidden="1" x14ac:dyDescent="0.2">
      <c r="A176" s="514"/>
      <c r="B176" s="515"/>
      <c r="C176" s="516"/>
      <c r="D176" s="516"/>
      <c r="E176" s="516"/>
      <c r="F176" s="516"/>
      <c r="G176" s="517"/>
      <c r="H176" s="517"/>
      <c r="I176" s="517"/>
      <c r="J176" s="1238"/>
      <c r="K176" s="517"/>
      <c r="L176" s="518"/>
      <c r="M176" s="90"/>
      <c r="N176" s="519"/>
      <c r="O176" s="70"/>
      <c r="P176" s="70"/>
      <c r="Q176" s="70"/>
    </row>
    <row r="177" spans="1:18" hidden="1" x14ac:dyDescent="0.2">
      <c r="A177" s="514"/>
      <c r="B177" s="515"/>
      <c r="C177" s="516"/>
      <c r="D177" s="516"/>
      <c r="E177" s="516"/>
      <c r="F177" s="516"/>
      <c r="G177" s="517"/>
      <c r="H177" s="517"/>
      <c r="I177" s="517"/>
      <c r="J177" s="1238"/>
      <c r="K177" s="517"/>
      <c r="L177" s="518"/>
      <c r="M177" s="90"/>
      <c r="N177" s="519"/>
      <c r="O177" s="70"/>
      <c r="P177" s="70"/>
      <c r="Q177" s="70"/>
    </row>
    <row r="178" spans="1:18" hidden="1" x14ac:dyDescent="0.2">
      <c r="A178" s="514"/>
      <c r="B178" s="515"/>
      <c r="C178" s="516"/>
      <c r="D178" s="516"/>
      <c r="E178" s="516"/>
      <c r="F178" s="516"/>
      <c r="G178" s="517"/>
      <c r="H178" s="517"/>
      <c r="I178" s="517"/>
      <c r="J178" s="1238"/>
      <c r="K178" s="517"/>
      <c r="L178" s="518"/>
      <c r="M178" s="90"/>
      <c r="N178" s="519"/>
      <c r="O178" s="70"/>
      <c r="P178" s="70"/>
      <c r="Q178" s="70"/>
    </row>
    <row r="179" spans="1:18" hidden="1" x14ac:dyDescent="0.2">
      <c r="A179" s="514"/>
      <c r="B179" s="515"/>
      <c r="C179" s="516"/>
      <c r="D179" s="516"/>
      <c r="E179" s="516"/>
      <c r="F179" s="516"/>
      <c r="G179" s="517"/>
      <c r="H179" s="517"/>
      <c r="I179" s="517"/>
      <c r="J179" s="1238"/>
      <c r="K179" s="517"/>
      <c r="L179" s="518"/>
      <c r="M179" s="90"/>
      <c r="N179" s="519"/>
      <c r="O179" s="70"/>
      <c r="P179" s="70"/>
      <c r="Q179" s="70"/>
    </row>
    <row r="180" spans="1:18" hidden="1" x14ac:dyDescent="0.2">
      <c r="A180" s="514"/>
      <c r="B180" s="515"/>
      <c r="C180" s="516"/>
      <c r="D180" s="516"/>
      <c r="E180" s="516"/>
      <c r="F180" s="516"/>
      <c r="G180" s="517"/>
      <c r="H180" s="517"/>
      <c r="I180" s="517"/>
      <c r="J180" s="1238"/>
      <c r="K180" s="517"/>
      <c r="L180" s="518"/>
      <c r="M180" s="90"/>
      <c r="N180" s="519"/>
      <c r="O180" s="70"/>
      <c r="P180" s="70"/>
      <c r="Q180" s="70"/>
    </row>
    <row r="181" spans="1:18" hidden="1" x14ac:dyDescent="0.2">
      <c r="A181" s="514"/>
      <c r="B181" s="515"/>
      <c r="C181" s="516"/>
      <c r="D181" s="516"/>
      <c r="E181" s="516"/>
      <c r="F181" s="516"/>
      <c r="G181" s="517"/>
      <c r="H181" s="517"/>
      <c r="I181" s="517"/>
      <c r="J181" s="1238"/>
      <c r="K181" s="517"/>
      <c r="L181" s="518"/>
      <c r="M181" s="90"/>
      <c r="N181" s="519"/>
      <c r="O181" s="70"/>
      <c r="P181" s="70"/>
      <c r="Q181" s="70"/>
    </row>
    <row r="182" spans="1:18" hidden="1" x14ac:dyDescent="0.2">
      <c r="A182" s="514"/>
      <c r="B182" s="515"/>
      <c r="C182" s="516"/>
      <c r="D182" s="516"/>
      <c r="E182" s="516"/>
      <c r="F182" s="516"/>
      <c r="G182" s="517"/>
      <c r="H182" s="517"/>
      <c r="I182" s="517"/>
      <c r="J182" s="1238"/>
      <c r="K182" s="517"/>
      <c r="L182" s="518"/>
      <c r="M182" s="90"/>
      <c r="N182" s="519"/>
      <c r="O182" s="70"/>
      <c r="P182" s="70"/>
      <c r="Q182" s="70"/>
    </row>
    <row r="183" spans="1:18" hidden="1" x14ac:dyDescent="0.2">
      <c r="A183" s="514"/>
      <c r="B183" s="515"/>
      <c r="C183" s="516"/>
      <c r="D183" s="516"/>
      <c r="E183" s="516"/>
      <c r="F183" s="516"/>
      <c r="G183" s="517"/>
      <c r="H183" s="517"/>
      <c r="I183" s="517"/>
      <c r="J183" s="1238"/>
      <c r="K183" s="517"/>
      <c r="L183" s="518"/>
      <c r="M183" s="90"/>
      <c r="N183" s="519"/>
      <c r="O183" s="70"/>
      <c r="P183" s="70"/>
      <c r="Q183" s="70"/>
    </row>
    <row r="184" spans="1:18" x14ac:dyDescent="0.2">
      <c r="A184" s="514"/>
      <c r="B184" s="515"/>
      <c r="C184" s="516"/>
      <c r="D184" s="516"/>
      <c r="E184" s="516"/>
      <c r="F184" s="516"/>
      <c r="G184" s="517"/>
      <c r="H184" s="517"/>
      <c r="I184" s="517"/>
      <c r="J184" s="1238"/>
      <c r="K184" s="517"/>
      <c r="L184" s="518"/>
      <c r="M184" s="90"/>
      <c r="N184" s="519"/>
      <c r="O184" s="70"/>
      <c r="P184" s="70"/>
      <c r="Q184" s="70"/>
    </row>
    <row r="185" spans="1:18" x14ac:dyDescent="0.2">
      <c r="A185" s="504"/>
      <c r="B185" s="50"/>
      <c r="C185" s="88"/>
      <c r="D185" s="88"/>
      <c r="E185" s="88"/>
      <c r="F185" s="88"/>
      <c r="G185" s="2012" t="s">
        <v>527</v>
      </c>
      <c r="H185" s="2012"/>
      <c r="I185" s="2012"/>
      <c r="J185" s="2012"/>
      <c r="K185" s="2012"/>
      <c r="L185" s="2012"/>
      <c r="M185" s="520"/>
      <c r="N185" s="520"/>
      <c r="O185" s="520"/>
      <c r="P185" s="520"/>
      <c r="Q185" s="520"/>
    </row>
    <row r="186" spans="1:18" ht="13.5" hidden="1" thickBot="1" x14ac:dyDescent="0.25">
      <c r="A186" s="504"/>
      <c r="B186" s="50"/>
      <c r="C186" s="88"/>
      <c r="D186" s="88"/>
      <c r="E186" s="88"/>
      <c r="F186" s="88"/>
      <c r="G186" s="505"/>
      <c r="H186" s="505"/>
      <c r="I186" s="505"/>
      <c r="J186" s="1238"/>
      <c r="K186" s="505"/>
      <c r="L186" s="506"/>
      <c r="M186" s="90"/>
    </row>
    <row r="187" spans="1:18" s="498" customFormat="1" x14ac:dyDescent="0.2">
      <c r="A187" s="1537" t="s">
        <v>431</v>
      </c>
      <c r="B187" s="1538"/>
      <c r="C187" s="1539"/>
      <c r="D187" s="1539">
        <v>2018</v>
      </c>
      <c r="E187" s="1540" t="s">
        <v>909</v>
      </c>
      <c r="F187" s="1540">
        <v>2021</v>
      </c>
      <c r="G187" s="1541">
        <v>2022</v>
      </c>
      <c r="H187" s="1818">
        <v>2023</v>
      </c>
      <c r="I187" s="1542" t="s">
        <v>981</v>
      </c>
      <c r="J187" s="1543">
        <v>2024</v>
      </c>
      <c r="K187" s="1541">
        <v>2025</v>
      </c>
      <c r="L187" s="1541">
        <v>2026</v>
      </c>
      <c r="M187" s="495"/>
      <c r="N187" s="496"/>
      <c r="O187" s="497"/>
      <c r="P187" s="465"/>
      <c r="Q187" s="466"/>
    </row>
    <row r="188" spans="1:18" s="17" customFormat="1" x14ac:dyDescent="0.2">
      <c r="A188" s="1834" t="s">
        <v>528</v>
      </c>
      <c r="B188" s="2090"/>
      <c r="C188" s="2090"/>
      <c r="D188" s="1835">
        <f>D189+D191+D192+D193+D199+D204+D205+D206+D207+D190</f>
        <v>111230</v>
      </c>
      <c r="E188" s="1836">
        <f>SUM(E189,E191,E192,E193,E199,E204,E205,E206,E207)+E190</f>
        <v>117427</v>
      </c>
      <c r="F188" s="1836">
        <f>F189+F190+F191+F192+F193+F199+F204+F205+F206+F207</f>
        <v>147920</v>
      </c>
      <c r="G188" s="1836">
        <f>SUM(G189,G191,G192,G193,G199,G204,G205,G206,G207)+G190</f>
        <v>135560</v>
      </c>
      <c r="H188" s="1836">
        <f>SUM(H189,H191,H192,H193,H199,H204,H205,H206,H207)+H190</f>
        <v>134760</v>
      </c>
      <c r="I188" s="1836">
        <f>SUM(I189,I191,I192,I193,I199,I204,I205,I206,I207)+I190</f>
        <v>149490</v>
      </c>
      <c r="J188" s="1544">
        <f>SUM(J189,J191,J192,J193,J199,J204,J205,J206,J207)+J190</f>
        <v>138300</v>
      </c>
      <c r="K188" s="1836">
        <f>SUM(K189,K191,K192,K193,K199,K204,K205,K206,K207)</f>
        <v>141050</v>
      </c>
      <c r="L188" s="1836">
        <f>SUM(L189,L191,L192,L193,L199,L204,L205,L206,L207)</f>
        <v>141050</v>
      </c>
      <c r="M188" s="508"/>
      <c r="N188" s="500"/>
      <c r="O188" s="469"/>
      <c r="P188" s="469"/>
      <c r="Q188" s="469"/>
    </row>
    <row r="189" spans="1:18" s="20" customFormat="1" x14ac:dyDescent="0.2">
      <c r="A189" s="1031">
        <v>610</v>
      </c>
      <c r="B189" s="1031"/>
      <c r="C189" s="1265" t="s">
        <v>447</v>
      </c>
      <c r="D189" s="1028">
        <v>58000</v>
      </c>
      <c r="E189" s="1028">
        <v>71299</v>
      </c>
      <c r="F189" s="1319">
        <v>84000</v>
      </c>
      <c r="G189" s="1319">
        <v>84000</v>
      </c>
      <c r="H189" s="1319">
        <v>84000</v>
      </c>
      <c r="I189" s="1319">
        <v>85830</v>
      </c>
      <c r="J189" s="1290">
        <v>85000</v>
      </c>
      <c r="K189" s="1545">
        <v>87000</v>
      </c>
      <c r="L189" s="1027">
        <v>87000</v>
      </c>
      <c r="M189" s="64"/>
      <c r="O189" s="58"/>
      <c r="P189" s="58"/>
      <c r="Q189" s="58"/>
      <c r="R189" s="16"/>
    </row>
    <row r="190" spans="1:18" s="20" customFormat="1" x14ac:dyDescent="0.2">
      <c r="A190" s="1552">
        <v>610</v>
      </c>
      <c r="B190" s="1552"/>
      <c r="C190" s="1554" t="s">
        <v>645</v>
      </c>
      <c r="D190" s="1028">
        <v>15000</v>
      </c>
      <c r="E190" s="1028">
        <v>0</v>
      </c>
      <c r="F190" s="1319">
        <v>0</v>
      </c>
      <c r="G190" s="1319">
        <v>0</v>
      </c>
      <c r="H190" s="1319">
        <v>0</v>
      </c>
      <c r="I190" s="1319">
        <v>0</v>
      </c>
      <c r="J190" s="1290">
        <v>0</v>
      </c>
      <c r="K190" s="1587">
        <v>0</v>
      </c>
      <c r="L190" s="1588">
        <v>0</v>
      </c>
      <c r="M190" s="64"/>
      <c r="O190" s="58"/>
      <c r="P190" s="58"/>
      <c r="Q190" s="58"/>
      <c r="R190" s="16"/>
    </row>
    <row r="191" spans="1:18" x14ac:dyDescent="0.2">
      <c r="A191" s="1031">
        <v>620</v>
      </c>
      <c r="B191" s="1031"/>
      <c r="C191" s="835" t="s">
        <v>193</v>
      </c>
      <c r="D191" s="1028">
        <v>18000</v>
      </c>
      <c r="E191" s="1028">
        <v>25688</v>
      </c>
      <c r="F191" s="1319">
        <v>29000</v>
      </c>
      <c r="G191" s="1319">
        <v>29000</v>
      </c>
      <c r="H191" s="1319">
        <v>30000</v>
      </c>
      <c r="I191" s="1319">
        <v>30600</v>
      </c>
      <c r="J191" s="1290">
        <v>30000</v>
      </c>
      <c r="K191" s="1545">
        <v>30000</v>
      </c>
      <c r="L191" s="1027">
        <v>30000</v>
      </c>
      <c r="M191" s="64"/>
      <c r="O191" s="58"/>
      <c r="P191" s="58"/>
      <c r="Q191" s="58"/>
    </row>
    <row r="192" spans="1:18" x14ac:dyDescent="0.2">
      <c r="A192" s="1031">
        <v>632</v>
      </c>
      <c r="B192" s="1031"/>
      <c r="C192" s="835" t="s">
        <v>197</v>
      </c>
      <c r="D192" s="1028">
        <v>1600</v>
      </c>
      <c r="E192" s="1028">
        <v>592</v>
      </c>
      <c r="F192" s="1319">
        <v>750</v>
      </c>
      <c r="G192" s="1319">
        <v>750</v>
      </c>
      <c r="H192" s="1319">
        <v>750</v>
      </c>
      <c r="I192" s="1319">
        <v>750</v>
      </c>
      <c r="J192" s="1290">
        <v>750</v>
      </c>
      <c r="K192" s="1545">
        <v>750</v>
      </c>
      <c r="L192" s="1027">
        <v>750</v>
      </c>
      <c r="M192" s="64"/>
      <c r="O192" s="58"/>
      <c r="P192" s="50"/>
      <c r="Q192" s="50"/>
    </row>
    <row r="193" spans="1:18" x14ac:dyDescent="0.2">
      <c r="A193" s="1031">
        <v>633</v>
      </c>
      <c r="B193" s="1031"/>
      <c r="C193" s="835" t="s">
        <v>199</v>
      </c>
      <c r="D193" s="1087">
        <f t="shared" ref="D193:L193" si="26">SUM(D194:D198)</f>
        <v>14050</v>
      </c>
      <c r="E193" s="1087">
        <f t="shared" ref="E193" si="27">SUM(E194:E198)</f>
        <v>8979</v>
      </c>
      <c r="F193" s="1319">
        <f>SUM(F194:F198)</f>
        <v>28960</v>
      </c>
      <c r="G193" s="1516">
        <f>SUM(G194:G198)</f>
        <v>15700</v>
      </c>
      <c r="H193" s="1319">
        <f>SUM(H194:H198)</f>
        <v>14800</v>
      </c>
      <c r="I193" s="1516">
        <v>18600</v>
      </c>
      <c r="J193" s="1290">
        <f>SUM(J194:J198)</f>
        <v>14800</v>
      </c>
      <c r="K193" s="1545">
        <f t="shared" si="26"/>
        <v>14200</v>
      </c>
      <c r="L193" s="1033">
        <f t="shared" si="26"/>
        <v>14200</v>
      </c>
      <c r="M193" s="64"/>
      <c r="N193" s="64"/>
      <c r="O193" s="64"/>
      <c r="P193" s="64"/>
      <c r="Q193" s="64"/>
    </row>
    <row r="194" spans="1:18" x14ac:dyDescent="0.2">
      <c r="A194" s="1031">
        <v>633</v>
      </c>
      <c r="B194" s="1031" t="s">
        <v>111</v>
      </c>
      <c r="C194" s="835" t="s">
        <v>529</v>
      </c>
      <c r="D194" s="1090">
        <v>1200</v>
      </c>
      <c r="E194" s="1090">
        <v>985</v>
      </c>
      <c r="F194" s="1319">
        <v>1200</v>
      </c>
      <c r="G194" s="1521">
        <v>1200</v>
      </c>
      <c r="H194" s="1319">
        <v>1200</v>
      </c>
      <c r="I194" s="1521">
        <v>1200</v>
      </c>
      <c r="J194" s="1290">
        <v>1200</v>
      </c>
      <c r="K194" s="1545">
        <v>1200</v>
      </c>
      <c r="L194" s="1581">
        <v>1200</v>
      </c>
      <c r="M194" s="64"/>
      <c r="N194" s="64"/>
      <c r="O194" s="64"/>
      <c r="P194" s="64"/>
      <c r="Q194" s="64"/>
    </row>
    <row r="195" spans="1:18" x14ac:dyDescent="0.2">
      <c r="A195" s="835">
        <v>633</v>
      </c>
      <c r="B195" s="1031" t="s">
        <v>125</v>
      </c>
      <c r="C195" s="835" t="s">
        <v>355</v>
      </c>
      <c r="D195" s="1090">
        <v>9000</v>
      </c>
      <c r="E195" s="1090">
        <v>5136</v>
      </c>
      <c r="F195" s="1319">
        <v>24160</v>
      </c>
      <c r="G195" s="1521">
        <v>10000</v>
      </c>
      <c r="H195" s="1319">
        <v>10000</v>
      </c>
      <c r="I195" s="1521">
        <v>13000</v>
      </c>
      <c r="J195" s="1290">
        <v>10000</v>
      </c>
      <c r="K195" s="1545">
        <v>10000</v>
      </c>
      <c r="L195" s="1581">
        <v>10000</v>
      </c>
      <c r="M195" s="490"/>
      <c r="O195" s="50"/>
      <c r="P195" s="509"/>
      <c r="Q195" s="509"/>
    </row>
    <row r="196" spans="1:18" x14ac:dyDescent="0.2">
      <c r="A196" s="835">
        <v>633</v>
      </c>
      <c r="B196" s="1031" t="s">
        <v>461</v>
      </c>
      <c r="C196" s="835" t="s">
        <v>530</v>
      </c>
      <c r="D196" s="1090">
        <v>850</v>
      </c>
      <c r="E196" s="1090">
        <v>1120</v>
      </c>
      <c r="F196" s="1319">
        <v>1000</v>
      </c>
      <c r="G196" s="1521">
        <v>1000</v>
      </c>
      <c r="H196" s="1319">
        <v>1000</v>
      </c>
      <c r="I196" s="1521">
        <v>1000</v>
      </c>
      <c r="J196" s="1290">
        <v>1000</v>
      </c>
      <c r="K196" s="1545">
        <v>1000</v>
      </c>
      <c r="L196" s="1581">
        <v>1000</v>
      </c>
      <c r="M196" s="490"/>
      <c r="O196" s="50"/>
      <c r="P196" s="509"/>
      <c r="Q196" s="509"/>
    </row>
    <row r="197" spans="1:18" x14ac:dyDescent="0.2">
      <c r="A197" s="1589">
        <v>633</v>
      </c>
      <c r="B197" s="1552" t="s">
        <v>461</v>
      </c>
      <c r="C197" s="1589" t="s">
        <v>652</v>
      </c>
      <c r="D197" s="1267">
        <v>0</v>
      </c>
      <c r="E197" s="1267">
        <v>0</v>
      </c>
      <c r="F197" s="1319">
        <v>0</v>
      </c>
      <c r="G197" s="1521">
        <v>0</v>
      </c>
      <c r="H197" s="1319">
        <v>0</v>
      </c>
      <c r="I197" s="1521">
        <v>0</v>
      </c>
      <c r="J197" s="1290">
        <v>0</v>
      </c>
      <c r="K197" s="1590">
        <v>0</v>
      </c>
      <c r="L197" s="1591">
        <v>0</v>
      </c>
      <c r="M197" s="490"/>
      <c r="O197" s="50"/>
      <c r="P197" s="509"/>
      <c r="Q197" s="509"/>
    </row>
    <row r="198" spans="1:18" x14ac:dyDescent="0.2">
      <c r="A198" s="835">
        <v>633</v>
      </c>
      <c r="B198" s="1031" t="s">
        <v>489</v>
      </c>
      <c r="C198" s="835" t="s">
        <v>531</v>
      </c>
      <c r="D198" s="1090">
        <v>3000</v>
      </c>
      <c r="E198" s="1090">
        <v>1738</v>
      </c>
      <c r="F198" s="1319">
        <v>2600</v>
      </c>
      <c r="G198" s="1521">
        <v>3500</v>
      </c>
      <c r="H198" s="1319">
        <v>2600</v>
      </c>
      <c r="I198" s="1521">
        <v>3400</v>
      </c>
      <c r="J198" s="1290">
        <v>2600</v>
      </c>
      <c r="K198" s="1545">
        <v>2000</v>
      </c>
      <c r="L198" s="1581">
        <v>2000</v>
      </c>
      <c r="M198" s="490"/>
      <c r="O198" s="50"/>
      <c r="P198" s="509"/>
      <c r="Q198" s="509"/>
    </row>
    <row r="199" spans="1:18" x14ac:dyDescent="0.2">
      <c r="A199" s="835">
        <v>634</v>
      </c>
      <c r="B199" s="1031"/>
      <c r="C199" s="835" t="s">
        <v>201</v>
      </c>
      <c r="D199" s="1028">
        <f t="shared" ref="D199" si="28">SUM(D200,D201,D202)</f>
        <v>2718</v>
      </c>
      <c r="E199" s="1028">
        <f t="shared" ref="E199" si="29">SUM(E200,E201,E202)</f>
        <v>4290</v>
      </c>
      <c r="F199" s="1319">
        <f>SUM(F200,F201,F202)</f>
        <v>750</v>
      </c>
      <c r="G199" s="1319">
        <f>SUM(G200,G201,G202)</f>
        <v>1650</v>
      </c>
      <c r="H199" s="1319">
        <f>SUM(H200,H201,H202)</f>
        <v>750</v>
      </c>
      <c r="I199" s="1319">
        <f>SUM(I200:I203)</f>
        <v>9250</v>
      </c>
      <c r="J199" s="1290">
        <f>SUM(J200,J201,J202)</f>
        <v>3250</v>
      </c>
      <c r="K199" s="1545">
        <f>SUM(K200,K201,K202)+K203</f>
        <v>4600</v>
      </c>
      <c r="L199" s="1027">
        <f>SUM(L200,L201,L202)+L203</f>
        <v>4600</v>
      </c>
      <c r="M199" s="64"/>
      <c r="O199" s="58"/>
      <c r="P199" s="58"/>
      <c r="Q199" s="58"/>
    </row>
    <row r="200" spans="1:18" x14ac:dyDescent="0.2">
      <c r="A200" s="1031">
        <v>634</v>
      </c>
      <c r="B200" s="1031" t="s">
        <v>94</v>
      </c>
      <c r="C200" s="835" t="s">
        <v>515</v>
      </c>
      <c r="D200" s="1090">
        <v>1500</v>
      </c>
      <c r="E200" s="1090">
        <v>628</v>
      </c>
      <c r="F200" s="1319">
        <v>150</v>
      </c>
      <c r="G200" s="1521">
        <v>150</v>
      </c>
      <c r="H200" s="1319">
        <v>150</v>
      </c>
      <c r="I200" s="1521">
        <v>150</v>
      </c>
      <c r="J200" s="1290">
        <v>150</v>
      </c>
      <c r="K200" s="1545">
        <v>1500</v>
      </c>
      <c r="L200" s="1581">
        <v>1500</v>
      </c>
      <c r="M200" s="490"/>
      <c r="O200" s="58"/>
      <c r="P200" s="509"/>
      <c r="Q200" s="509"/>
    </row>
    <row r="201" spans="1:18" x14ac:dyDescent="0.2">
      <c r="A201" s="1031">
        <v>634</v>
      </c>
      <c r="B201" s="1031" t="s">
        <v>92</v>
      </c>
      <c r="C201" s="835" t="s">
        <v>517</v>
      </c>
      <c r="D201" s="1090">
        <v>18</v>
      </c>
      <c r="E201" s="1090">
        <v>49</v>
      </c>
      <c r="F201" s="1319">
        <v>100</v>
      </c>
      <c r="G201" s="1521">
        <v>100</v>
      </c>
      <c r="H201" s="1319">
        <v>100</v>
      </c>
      <c r="I201" s="1521">
        <v>100</v>
      </c>
      <c r="J201" s="1290">
        <v>100</v>
      </c>
      <c r="K201" s="1545">
        <v>100</v>
      </c>
      <c r="L201" s="1581">
        <v>100</v>
      </c>
      <c r="M201" s="490"/>
      <c r="O201" s="50"/>
      <c r="P201" s="509"/>
      <c r="Q201" s="509"/>
    </row>
    <row r="202" spans="1:18" x14ac:dyDescent="0.2">
      <c r="A202" s="1031">
        <v>634</v>
      </c>
      <c r="B202" s="1031" t="s">
        <v>97</v>
      </c>
      <c r="C202" s="835" t="s">
        <v>516</v>
      </c>
      <c r="D202" s="1090">
        <v>1200</v>
      </c>
      <c r="E202" s="1090">
        <v>3613</v>
      </c>
      <c r="F202" s="1319">
        <v>500</v>
      </c>
      <c r="G202" s="1521">
        <v>1400</v>
      </c>
      <c r="H202" s="1319">
        <v>500</v>
      </c>
      <c r="I202" s="1521">
        <v>9000</v>
      </c>
      <c r="J202" s="1290">
        <v>3000</v>
      </c>
      <c r="K202" s="1545">
        <v>3000</v>
      </c>
      <c r="L202" s="1581">
        <v>3000</v>
      </c>
      <c r="M202" s="490"/>
      <c r="O202" s="58"/>
      <c r="P202" s="509"/>
      <c r="Q202" s="509"/>
    </row>
    <row r="203" spans="1:18" x14ac:dyDescent="0.2">
      <c r="A203" s="1031"/>
      <c r="B203" s="1031"/>
      <c r="C203" s="835" t="s">
        <v>813</v>
      </c>
      <c r="D203" s="1090"/>
      <c r="E203" s="1090"/>
      <c r="F203" s="1319"/>
      <c r="G203" s="1521"/>
      <c r="H203" s="1319"/>
      <c r="I203" s="1521"/>
      <c r="J203" s="1290"/>
      <c r="K203" s="1590">
        <v>0</v>
      </c>
      <c r="L203" s="1581"/>
      <c r="M203" s="490"/>
      <c r="O203" s="58"/>
      <c r="P203" s="509"/>
      <c r="Q203" s="509"/>
    </row>
    <row r="204" spans="1:18" x14ac:dyDescent="0.2">
      <c r="A204" s="835">
        <v>635</v>
      </c>
      <c r="B204" s="1031"/>
      <c r="C204" s="835" t="s">
        <v>293</v>
      </c>
      <c r="D204" s="1028">
        <v>1000</v>
      </c>
      <c r="E204" s="1028">
        <v>2964</v>
      </c>
      <c r="F204" s="1319">
        <v>3500</v>
      </c>
      <c r="G204" s="1319">
        <v>3500</v>
      </c>
      <c r="H204" s="1319">
        <v>3500</v>
      </c>
      <c r="I204" s="1319">
        <v>3500</v>
      </c>
      <c r="J204" s="1290">
        <v>3500</v>
      </c>
      <c r="K204" s="1545">
        <v>3500</v>
      </c>
      <c r="L204" s="1027">
        <v>3500</v>
      </c>
      <c r="M204" s="64"/>
      <c r="O204" s="58"/>
      <c r="P204" s="50"/>
      <c r="Q204" s="50"/>
    </row>
    <row r="205" spans="1:18" x14ac:dyDescent="0.2">
      <c r="A205" s="835">
        <v>637</v>
      </c>
      <c r="B205" s="1031"/>
      <c r="C205" s="835" t="s">
        <v>532</v>
      </c>
      <c r="D205" s="1028">
        <v>862</v>
      </c>
      <c r="E205" s="1028">
        <v>1935</v>
      </c>
      <c r="F205" s="1319">
        <v>960</v>
      </c>
      <c r="G205" s="1319">
        <v>960</v>
      </c>
      <c r="H205" s="1319">
        <v>960</v>
      </c>
      <c r="I205" s="1319">
        <v>960</v>
      </c>
      <c r="J205" s="1290">
        <v>1000</v>
      </c>
      <c r="K205" s="1545">
        <v>1000</v>
      </c>
      <c r="L205" s="1027">
        <v>1000</v>
      </c>
      <c r="M205" s="64"/>
      <c r="O205" s="50"/>
      <c r="P205" s="50"/>
      <c r="Q205" s="50"/>
    </row>
    <row r="206" spans="1:18" x14ac:dyDescent="0.2">
      <c r="A206" s="835">
        <v>642</v>
      </c>
      <c r="B206" s="1031" t="s">
        <v>102</v>
      </c>
      <c r="C206" s="835" t="s">
        <v>900</v>
      </c>
      <c r="D206" s="1028">
        <v>0</v>
      </c>
      <c r="E206" s="1028">
        <v>1582</v>
      </c>
      <c r="F206" s="1319">
        <v>0</v>
      </c>
      <c r="G206" s="1319">
        <v>0</v>
      </c>
      <c r="H206" s="1319">
        <v>0</v>
      </c>
      <c r="I206" s="1319">
        <v>0</v>
      </c>
      <c r="J206" s="1290">
        <v>0</v>
      </c>
      <c r="K206" s="1590">
        <v>0</v>
      </c>
      <c r="L206" s="1027">
        <v>0</v>
      </c>
      <c r="M206" s="64"/>
      <c r="O206" s="50"/>
      <c r="P206" s="50"/>
      <c r="Q206" s="50"/>
      <c r="R206" s="510"/>
    </row>
    <row r="207" spans="1:18" x14ac:dyDescent="0.2">
      <c r="A207" s="835">
        <v>642</v>
      </c>
      <c r="B207" s="1031" t="s">
        <v>489</v>
      </c>
      <c r="C207" s="835" t="s">
        <v>302</v>
      </c>
      <c r="D207" s="1087">
        <v>0</v>
      </c>
      <c r="E207" s="1087">
        <v>98</v>
      </c>
      <c r="F207" s="1319">
        <v>0</v>
      </c>
      <c r="G207" s="1516">
        <v>0</v>
      </c>
      <c r="H207" s="1319">
        <v>0</v>
      </c>
      <c r="I207" s="1516">
        <v>0</v>
      </c>
      <c r="J207" s="1290">
        <v>0</v>
      </c>
      <c r="K207" s="1590">
        <v>0</v>
      </c>
      <c r="L207" s="1033">
        <v>0</v>
      </c>
    </row>
    <row r="208" spans="1:18" s="17" customFormat="1" ht="12.75" customHeight="1" x14ac:dyDescent="0.2">
      <c r="A208" s="1834" t="s">
        <v>533</v>
      </c>
      <c r="B208" s="2090"/>
      <c r="C208" s="2090"/>
      <c r="D208" s="1835">
        <f>SUM(D209:D217)-D210-D212</f>
        <v>12695</v>
      </c>
      <c r="E208" s="1836">
        <f>E209+E211+E215+E213+E214+E217+E216</f>
        <v>16100</v>
      </c>
      <c r="F208" s="1836">
        <f>F209+F211+F215+F214+F216+F217+F213</f>
        <v>15050</v>
      </c>
      <c r="G208" s="1836">
        <f>G209+G211+G215+G213+G214+G217+G216+G210</f>
        <v>19199</v>
      </c>
      <c r="H208" s="1836">
        <f>H209+H211+H215+H214+H216+H217+H213</f>
        <v>19550</v>
      </c>
      <c r="I208" s="1836">
        <f>I209+I211+I215+I214+I216+I217+I213</f>
        <v>18800</v>
      </c>
      <c r="J208" s="1592">
        <f>J209+J211+J215+J214+J216+J217+J213</f>
        <v>19250</v>
      </c>
      <c r="K208" s="1836">
        <f>K209+K211+K215+K213+K214+K216+K217</f>
        <v>19950</v>
      </c>
      <c r="L208" s="1836">
        <f>L209+L211+L215+L213+L214+L216+L217</f>
        <v>19950</v>
      </c>
      <c r="M208" s="508"/>
      <c r="N208" s="491"/>
      <c r="O208" s="469"/>
      <c r="P208" s="469"/>
      <c r="Q208" s="469"/>
      <c r="R208" s="481"/>
    </row>
    <row r="209" spans="1:18" x14ac:dyDescent="0.2">
      <c r="A209" s="1031">
        <v>610</v>
      </c>
      <c r="B209" s="1031"/>
      <c r="C209" s="1265" t="s">
        <v>447</v>
      </c>
      <c r="D209" s="1028">
        <v>8700</v>
      </c>
      <c r="E209" s="1028">
        <v>11814</v>
      </c>
      <c r="F209" s="1319">
        <v>11000</v>
      </c>
      <c r="G209" s="1319">
        <v>12150</v>
      </c>
      <c r="H209" s="1319">
        <v>12500</v>
      </c>
      <c r="I209" s="1319">
        <v>13700</v>
      </c>
      <c r="J209" s="1290">
        <v>14000</v>
      </c>
      <c r="K209" s="1319">
        <v>14500</v>
      </c>
      <c r="L209" s="1319">
        <v>14500</v>
      </c>
      <c r="M209" s="64"/>
      <c r="O209" s="58"/>
      <c r="P209" s="50"/>
      <c r="Q209" s="50"/>
    </row>
    <row r="210" spans="1:18" s="20" customFormat="1" x14ac:dyDescent="0.2">
      <c r="A210" s="1555">
        <v>610</v>
      </c>
      <c r="B210" s="1555"/>
      <c r="C210" s="1556" t="s">
        <v>814</v>
      </c>
      <c r="D210" s="1180">
        <v>0</v>
      </c>
      <c r="E210" s="1182">
        <v>0</v>
      </c>
      <c r="F210" s="1319">
        <v>0</v>
      </c>
      <c r="G210" s="1319">
        <v>0</v>
      </c>
      <c r="H210" s="1319">
        <v>0</v>
      </c>
      <c r="I210" s="1319">
        <v>0</v>
      </c>
      <c r="J210" s="1290">
        <v>0</v>
      </c>
      <c r="K210" s="1319">
        <v>0</v>
      </c>
      <c r="L210" s="1319">
        <v>0</v>
      </c>
      <c r="M210" s="487"/>
      <c r="O210" s="512"/>
      <c r="P210" s="467"/>
      <c r="Q210" s="521"/>
      <c r="R210" s="16"/>
    </row>
    <row r="211" spans="1:18" ht="12.75" customHeight="1" x14ac:dyDescent="0.2">
      <c r="A211" s="1031">
        <v>620</v>
      </c>
      <c r="B211" s="1031"/>
      <c r="C211" s="835" t="s">
        <v>193</v>
      </c>
      <c r="D211" s="1028">
        <v>3085</v>
      </c>
      <c r="E211" s="1028">
        <v>3969</v>
      </c>
      <c r="F211" s="1319">
        <v>3800</v>
      </c>
      <c r="G211" s="1319">
        <v>5000</v>
      </c>
      <c r="H211" s="1319">
        <v>5200</v>
      </c>
      <c r="I211" s="1319">
        <v>4850</v>
      </c>
      <c r="J211" s="1290">
        <v>5000</v>
      </c>
      <c r="K211" s="1319">
        <v>5200</v>
      </c>
      <c r="L211" s="1319">
        <v>5200</v>
      </c>
      <c r="M211" s="64"/>
      <c r="O211" s="50"/>
      <c r="P211" s="50"/>
      <c r="Q211" s="50"/>
    </row>
    <row r="212" spans="1:18" ht="12.75" customHeight="1" x14ac:dyDescent="0.2">
      <c r="A212" s="1555">
        <v>620</v>
      </c>
      <c r="B212" s="1555"/>
      <c r="C212" s="1565" t="s">
        <v>534</v>
      </c>
      <c r="D212" s="1180">
        <v>0</v>
      </c>
      <c r="E212" s="1180">
        <v>0</v>
      </c>
      <c r="F212" s="1319">
        <v>0</v>
      </c>
      <c r="G212" s="1319">
        <v>0</v>
      </c>
      <c r="H212" s="1319">
        <v>0</v>
      </c>
      <c r="I212" s="1319">
        <v>0</v>
      </c>
      <c r="J212" s="1290">
        <v>0</v>
      </c>
      <c r="K212" s="1319">
        <v>0</v>
      </c>
      <c r="L212" s="1319">
        <v>0</v>
      </c>
      <c r="M212" s="487"/>
      <c r="O212" s="512"/>
      <c r="P212" s="467"/>
      <c r="Q212" s="521"/>
    </row>
    <row r="213" spans="1:18" ht="12.75" customHeight="1" x14ac:dyDescent="0.2">
      <c r="A213" s="1031">
        <v>632</v>
      </c>
      <c r="B213" s="1031"/>
      <c r="C213" s="835" t="s">
        <v>653</v>
      </c>
      <c r="D213" s="1087">
        <v>110</v>
      </c>
      <c r="E213" s="1087">
        <v>72</v>
      </c>
      <c r="F213" s="1319">
        <v>100</v>
      </c>
      <c r="G213" s="1319">
        <v>100</v>
      </c>
      <c r="H213" s="1319">
        <v>100</v>
      </c>
      <c r="I213" s="1319">
        <v>100</v>
      </c>
      <c r="J213" s="1290">
        <v>100</v>
      </c>
      <c r="K213" s="1319">
        <v>100</v>
      </c>
      <c r="L213" s="1319">
        <v>100</v>
      </c>
      <c r="M213" s="487"/>
      <c r="O213" s="512"/>
      <c r="P213" s="467"/>
      <c r="Q213" s="521"/>
    </row>
    <row r="214" spans="1:18" ht="12.75" customHeight="1" x14ac:dyDescent="0.2">
      <c r="A214" s="1555">
        <v>633</v>
      </c>
      <c r="B214" s="1555"/>
      <c r="C214" s="1565" t="s">
        <v>535</v>
      </c>
      <c r="D214" s="1182">
        <v>0</v>
      </c>
      <c r="E214" s="1182">
        <v>0</v>
      </c>
      <c r="F214" s="1319">
        <v>0</v>
      </c>
      <c r="G214" s="1319">
        <v>0</v>
      </c>
      <c r="H214" s="1319">
        <v>0</v>
      </c>
      <c r="I214" s="1319">
        <v>0</v>
      </c>
      <c r="J214" s="1290">
        <v>0</v>
      </c>
      <c r="K214" s="1319">
        <v>0</v>
      </c>
      <c r="L214" s="1319">
        <v>0</v>
      </c>
      <c r="M214" s="487"/>
      <c r="O214" s="512"/>
      <c r="P214" s="467"/>
      <c r="Q214" s="522"/>
    </row>
    <row r="215" spans="1:18" x14ac:dyDescent="0.2">
      <c r="A215" s="1031">
        <v>633</v>
      </c>
      <c r="B215" s="1555"/>
      <c r="C215" s="835" t="s">
        <v>246</v>
      </c>
      <c r="D215" s="1087">
        <v>800</v>
      </c>
      <c r="E215" s="1087">
        <v>245</v>
      </c>
      <c r="F215" s="1319">
        <v>150</v>
      </c>
      <c r="G215" s="1319">
        <v>150</v>
      </c>
      <c r="H215" s="1319">
        <v>150</v>
      </c>
      <c r="I215" s="1319">
        <v>150</v>
      </c>
      <c r="J215" s="1290">
        <v>150</v>
      </c>
      <c r="K215" s="1319">
        <v>150</v>
      </c>
      <c r="L215" s="1319">
        <v>150</v>
      </c>
      <c r="M215" s="64"/>
      <c r="O215" s="50"/>
      <c r="P215" s="50"/>
      <c r="Q215" s="50"/>
    </row>
    <row r="216" spans="1:18" x14ac:dyDescent="0.2">
      <c r="A216" s="1031">
        <v>634</v>
      </c>
      <c r="B216" s="1031"/>
      <c r="C216" s="835" t="s">
        <v>201</v>
      </c>
      <c r="D216" s="1028">
        <v>0</v>
      </c>
      <c r="E216" s="1028">
        <v>0</v>
      </c>
      <c r="F216" s="1319">
        <v>0</v>
      </c>
      <c r="G216" s="1319">
        <v>0</v>
      </c>
      <c r="H216" s="1319">
        <v>0</v>
      </c>
      <c r="I216" s="1319">
        <v>0</v>
      </c>
      <c r="J216" s="1290">
        <v>0</v>
      </c>
      <c r="K216" s="1319">
        <v>0</v>
      </c>
      <c r="L216" s="1319">
        <v>0</v>
      </c>
      <c r="M216" s="64"/>
      <c r="O216" s="50"/>
      <c r="P216" s="50"/>
      <c r="Q216" s="50"/>
    </row>
    <row r="217" spans="1:18" x14ac:dyDescent="0.2">
      <c r="A217" s="1031">
        <v>642</v>
      </c>
      <c r="B217" s="1031"/>
      <c r="C217" s="835" t="s">
        <v>883</v>
      </c>
      <c r="D217" s="1028">
        <v>0</v>
      </c>
      <c r="E217" s="1028">
        <v>0</v>
      </c>
      <c r="F217" s="1319"/>
      <c r="G217" s="1319">
        <v>1799</v>
      </c>
      <c r="H217" s="1319">
        <v>1600</v>
      </c>
      <c r="I217" s="1319">
        <v>0</v>
      </c>
      <c r="J217" s="1290">
        <v>0</v>
      </c>
      <c r="K217" s="1319"/>
      <c r="L217" s="1319"/>
      <c r="M217" s="64"/>
      <c r="O217" s="50"/>
      <c r="P217" s="50"/>
      <c r="Q217" s="50"/>
    </row>
    <row r="218" spans="1:18" hidden="1" x14ac:dyDescent="0.2">
      <c r="A218" s="1252"/>
      <c r="B218" s="1252"/>
      <c r="C218" s="1253"/>
      <c r="D218" s="1593"/>
      <c r="E218" s="1594"/>
      <c r="F218" s="1594"/>
      <c r="G218" s="1594"/>
      <c r="H218" s="1528">
        <v>1799</v>
      </c>
      <c r="I218" s="1594"/>
      <c r="J218" s="1303"/>
      <c r="K218" s="1594"/>
      <c r="L218" s="1594"/>
      <c r="M218" s="65"/>
    </row>
    <row r="219" spans="1:18" s="92" customFormat="1" ht="11.25" x14ac:dyDescent="0.2">
      <c r="A219" s="1834" t="s">
        <v>536</v>
      </c>
      <c r="B219" s="1834"/>
      <c r="C219" s="1834"/>
      <c r="D219" s="1835">
        <f>SUM(D220:D221)</f>
        <v>3500</v>
      </c>
      <c r="E219" s="1836">
        <f t="shared" ref="E219:L219" si="30">SUM(E220,E221)</f>
        <v>0</v>
      </c>
      <c r="F219" s="1836">
        <f t="shared" si="30"/>
        <v>497</v>
      </c>
      <c r="G219" s="1836">
        <f t="shared" si="30"/>
        <v>3000</v>
      </c>
      <c r="H219" s="1836">
        <f t="shared" si="30"/>
        <v>1000</v>
      </c>
      <c r="I219" s="1836">
        <f>SUM(I220,I221)</f>
        <v>2292</v>
      </c>
      <c r="J219" s="1544">
        <f>SUM(J220,J221)</f>
        <v>2000</v>
      </c>
      <c r="K219" s="1836">
        <f t="shared" si="30"/>
        <v>2000</v>
      </c>
      <c r="L219" s="1836">
        <f t="shared" si="30"/>
        <v>2000</v>
      </c>
      <c r="M219" s="508"/>
      <c r="N219" s="500"/>
      <c r="O219" s="491"/>
      <c r="P219" s="491"/>
      <c r="Q219" s="491"/>
    </row>
    <row r="220" spans="1:18" x14ac:dyDescent="0.2">
      <c r="A220" s="1031">
        <v>637</v>
      </c>
      <c r="B220" s="1031"/>
      <c r="C220" s="835" t="s">
        <v>207</v>
      </c>
      <c r="D220" s="1027">
        <v>0</v>
      </c>
      <c r="E220" s="1027">
        <v>0</v>
      </c>
      <c r="F220" s="1248">
        <v>0</v>
      </c>
      <c r="G220" s="1028">
        <v>0</v>
      </c>
      <c r="H220" s="1028">
        <v>0</v>
      </c>
      <c r="I220" s="1028">
        <v>0</v>
      </c>
      <c r="J220" s="1290">
        <v>0</v>
      </c>
      <c r="K220" s="1590">
        <v>0</v>
      </c>
      <c r="L220" s="1027">
        <v>0</v>
      </c>
      <c r="M220" s="58"/>
      <c r="O220" s="50"/>
      <c r="P220" s="50"/>
      <c r="Q220" s="50"/>
    </row>
    <row r="221" spans="1:18" x14ac:dyDescent="0.2">
      <c r="A221" s="1031">
        <v>637</v>
      </c>
      <c r="B221" s="1031" t="s">
        <v>120</v>
      </c>
      <c r="C221" s="835" t="s">
        <v>320</v>
      </c>
      <c r="D221" s="1027">
        <v>3500</v>
      </c>
      <c r="E221" s="1027">
        <v>0</v>
      </c>
      <c r="F221" s="1248">
        <v>497</v>
      </c>
      <c r="G221" s="1028">
        <v>3000</v>
      </c>
      <c r="H221" s="1028">
        <v>1000</v>
      </c>
      <c r="I221" s="1028">
        <v>2292</v>
      </c>
      <c r="J221" s="1290">
        <v>2000</v>
      </c>
      <c r="K221" s="1590">
        <v>2000</v>
      </c>
      <c r="L221" s="1027">
        <v>2000</v>
      </c>
      <c r="M221" s="490"/>
      <c r="O221" s="509"/>
      <c r="P221" s="50"/>
      <c r="Q221" s="50"/>
    </row>
    <row r="222" spans="1:18" hidden="1" x14ac:dyDescent="0.2">
      <c r="A222" s="1252"/>
      <c r="B222" s="1252"/>
      <c r="C222" s="1253"/>
      <c r="D222" s="1593"/>
      <c r="E222" s="1054"/>
      <c r="F222" s="1033"/>
      <c r="G222" s="1054"/>
      <c r="H222" s="1033"/>
      <c r="I222" s="1033"/>
      <c r="J222" s="1303"/>
      <c r="K222" s="1033"/>
      <c r="L222" s="1033"/>
    </row>
    <row r="223" spans="1:18" s="92" customFormat="1" ht="11.25" x14ac:dyDescent="0.2">
      <c r="A223" s="1834" t="s">
        <v>537</v>
      </c>
      <c r="B223" s="1834"/>
      <c r="C223" s="1834"/>
      <c r="D223" s="1835">
        <f>SUM(D224:D226)-D225</f>
        <v>2500</v>
      </c>
      <c r="E223" s="1836">
        <f>SUM(E224,E226)+E225</f>
        <v>1324</v>
      </c>
      <c r="F223" s="1836">
        <f>SUM(F224:F226)</f>
        <v>3000</v>
      </c>
      <c r="G223" s="1836">
        <f>SUM(G224,G226)+G225</f>
        <v>3000</v>
      </c>
      <c r="H223" s="1836">
        <f>SUM(H224:H226)</f>
        <v>3000</v>
      </c>
      <c r="I223" s="1836">
        <f>SUM(I224:I226)</f>
        <v>1000</v>
      </c>
      <c r="J223" s="1544">
        <f>SUM(J224:J226)</f>
        <v>3000</v>
      </c>
      <c r="K223" s="1836">
        <f>SUM(K224,K226)+K225</f>
        <v>5000</v>
      </c>
      <c r="L223" s="1836">
        <f>SUM(L224,L226)+L225</f>
        <v>5000</v>
      </c>
      <c r="M223" s="508"/>
      <c r="N223" s="500"/>
      <c r="O223" s="469"/>
      <c r="P223" s="469"/>
      <c r="Q223" s="469"/>
    </row>
    <row r="224" spans="1:18" x14ac:dyDescent="0.2">
      <c r="A224" s="1031">
        <v>633</v>
      </c>
      <c r="B224" s="1031"/>
      <c r="C224" s="835" t="s">
        <v>199</v>
      </c>
      <c r="D224" s="1027">
        <v>0</v>
      </c>
      <c r="E224" s="1027">
        <v>0</v>
      </c>
      <c r="F224" s="1248">
        <v>0</v>
      </c>
      <c r="G224" s="1027">
        <v>0</v>
      </c>
      <c r="H224" s="1028"/>
      <c r="I224" s="1028"/>
      <c r="J224" s="1290"/>
      <c r="K224" s="1545"/>
      <c r="L224" s="1027"/>
      <c r="M224" s="58"/>
      <c r="N224" s="48"/>
      <c r="O224" s="50"/>
      <c r="P224" s="50"/>
      <c r="Q224" s="50"/>
    </row>
    <row r="225" spans="1:18" s="33" customFormat="1" x14ac:dyDescent="0.2">
      <c r="A225" s="1031">
        <v>633</v>
      </c>
      <c r="B225" s="1031" t="s">
        <v>125</v>
      </c>
      <c r="C225" s="835" t="s">
        <v>355</v>
      </c>
      <c r="D225" s="1033">
        <v>0</v>
      </c>
      <c r="E225" s="1033">
        <v>1324</v>
      </c>
      <c r="F225" s="1248">
        <v>3000</v>
      </c>
      <c r="G225" s="1033">
        <v>3000</v>
      </c>
      <c r="H225" s="1028">
        <v>3000</v>
      </c>
      <c r="I225" s="1028">
        <v>1000</v>
      </c>
      <c r="J225" s="1290">
        <v>3000</v>
      </c>
      <c r="K225" s="1545">
        <v>5000</v>
      </c>
      <c r="L225" s="1027">
        <v>5000</v>
      </c>
      <c r="M225" s="490"/>
      <c r="N225" s="48"/>
      <c r="O225" s="490"/>
      <c r="P225" s="50"/>
      <c r="Q225" s="50"/>
      <c r="R225" s="16"/>
    </row>
    <row r="226" spans="1:18" s="33" customFormat="1" x14ac:dyDescent="0.2">
      <c r="A226" s="835">
        <v>635</v>
      </c>
      <c r="B226" s="1031"/>
      <c r="C226" s="835" t="s">
        <v>293</v>
      </c>
      <c r="D226" s="1027">
        <v>2500</v>
      </c>
      <c r="E226" s="1027">
        <v>0</v>
      </c>
      <c r="F226" s="1248">
        <v>0</v>
      </c>
      <c r="G226" s="1027">
        <v>0</v>
      </c>
      <c r="H226" s="1028">
        <v>0</v>
      </c>
      <c r="I226" s="1028">
        <v>0</v>
      </c>
      <c r="J226" s="1290">
        <v>0</v>
      </c>
      <c r="K226" s="1545"/>
      <c r="L226" s="1027"/>
      <c r="M226" s="58"/>
      <c r="N226" s="20"/>
      <c r="O226" s="58"/>
      <c r="P226" s="50"/>
      <c r="Q226" s="50"/>
      <c r="R226" s="16"/>
    </row>
    <row r="227" spans="1:18" s="33" customFormat="1" hidden="1" x14ac:dyDescent="0.2">
      <c r="A227" s="1253"/>
      <c r="B227" s="1252"/>
      <c r="C227" s="1253"/>
      <c r="D227" s="1593"/>
      <c r="E227" s="1054"/>
      <c r="F227" s="1594"/>
      <c r="G227" s="1054"/>
      <c r="H227" s="1594"/>
      <c r="I227" s="1594"/>
      <c r="J227" s="1303"/>
      <c r="K227" s="1594"/>
      <c r="L227" s="1594"/>
      <c r="M227" s="59"/>
      <c r="N227" s="20"/>
      <c r="O227" s="20"/>
      <c r="P227" s="20"/>
      <c r="Q227" s="20"/>
      <c r="R227" s="16"/>
    </row>
    <row r="228" spans="1:18" s="92" customFormat="1" ht="11.25" x14ac:dyDescent="0.2">
      <c r="A228" s="1834" t="s">
        <v>538</v>
      </c>
      <c r="B228" s="1834"/>
      <c r="C228" s="1834"/>
      <c r="D228" s="1835">
        <v>0</v>
      </c>
      <c r="E228" s="1836">
        <f t="shared" ref="E228:L228" si="31">SUM(E229)</f>
        <v>0</v>
      </c>
      <c r="F228" s="1836">
        <f t="shared" si="31"/>
        <v>0</v>
      </c>
      <c r="G228" s="1836">
        <f t="shared" si="31"/>
        <v>0</v>
      </c>
      <c r="H228" s="1836">
        <f t="shared" si="31"/>
        <v>0</v>
      </c>
      <c r="I228" s="1836">
        <f t="shared" si="31"/>
        <v>0</v>
      </c>
      <c r="J228" s="1290">
        <v>0</v>
      </c>
      <c r="K228" s="1836">
        <f t="shared" si="31"/>
        <v>0</v>
      </c>
      <c r="L228" s="1836">
        <f t="shared" si="31"/>
        <v>0</v>
      </c>
      <c r="M228" s="508"/>
      <c r="N228" s="500"/>
      <c r="O228" s="491"/>
      <c r="P228" s="491"/>
      <c r="Q228" s="491"/>
    </row>
    <row r="229" spans="1:18" x14ac:dyDescent="0.2">
      <c r="A229" s="1031">
        <v>637</v>
      </c>
      <c r="B229" s="1031"/>
      <c r="C229" s="835" t="s">
        <v>207</v>
      </c>
      <c r="D229" s="1027">
        <v>0</v>
      </c>
      <c r="E229" s="1027">
        <v>0</v>
      </c>
      <c r="F229" s="1028">
        <v>0</v>
      </c>
      <c r="G229" s="1027">
        <v>0</v>
      </c>
      <c r="H229" s="1028">
        <v>0</v>
      </c>
      <c r="I229" s="1028">
        <v>0</v>
      </c>
      <c r="J229" s="1290">
        <v>0</v>
      </c>
      <c r="K229" s="1027">
        <v>0</v>
      </c>
      <c r="L229" s="1027">
        <v>0</v>
      </c>
      <c r="M229" s="58"/>
      <c r="O229" s="50"/>
      <c r="P229" s="50"/>
      <c r="Q229" s="50"/>
    </row>
    <row r="230" spans="1:18" x14ac:dyDescent="0.2">
      <c r="A230" s="1031">
        <v>637</v>
      </c>
      <c r="B230" s="1031" t="s">
        <v>120</v>
      </c>
      <c r="C230" s="835" t="s">
        <v>320</v>
      </c>
      <c r="D230" s="1027">
        <v>0</v>
      </c>
      <c r="E230" s="1027">
        <v>0</v>
      </c>
      <c r="F230" s="1028">
        <v>0</v>
      </c>
      <c r="G230" s="1027">
        <v>0</v>
      </c>
      <c r="H230" s="1028">
        <v>0</v>
      </c>
      <c r="I230" s="1028">
        <v>0</v>
      </c>
      <c r="J230" s="1290">
        <v>0</v>
      </c>
      <c r="K230" s="1027">
        <v>0</v>
      </c>
      <c r="L230" s="1027">
        <v>0</v>
      </c>
      <c r="M230" s="490"/>
      <c r="O230" s="509"/>
      <c r="P230" s="50"/>
      <c r="Q230" s="50"/>
    </row>
    <row r="231" spans="1:18" x14ac:dyDescent="0.2">
      <c r="A231" s="1546" t="s">
        <v>539</v>
      </c>
      <c r="B231" s="1063"/>
      <c r="C231" s="1548" t="s">
        <v>540</v>
      </c>
      <c r="D231" s="1550">
        <f>D188+D208+D219+D223+D228</f>
        <v>129925</v>
      </c>
      <c r="E231" s="1549">
        <f>SUM(E188,E208,E219,E223,E228)</f>
        <v>134851</v>
      </c>
      <c r="F231" s="1549">
        <f t="shared" ref="F231:L231" si="32">F188+F208+F219+F223+F228</f>
        <v>166467</v>
      </c>
      <c r="G231" s="1550">
        <f>G188+G208+G219+G223+G228</f>
        <v>160759</v>
      </c>
      <c r="H231" s="1550">
        <f t="shared" si="32"/>
        <v>158310</v>
      </c>
      <c r="I231" s="1550">
        <f t="shared" si="32"/>
        <v>171582</v>
      </c>
      <c r="J231" s="1301">
        <f>J188+J208+J219+J223+J228</f>
        <v>162550</v>
      </c>
      <c r="K231" s="1550">
        <f t="shared" si="32"/>
        <v>168000</v>
      </c>
      <c r="L231" s="1550">
        <f t="shared" si="32"/>
        <v>168000</v>
      </c>
      <c r="M231" s="65"/>
      <c r="N231" s="501"/>
      <c r="O231" s="469"/>
      <c r="P231" s="469"/>
      <c r="Q231" s="469"/>
      <c r="R231" s="510"/>
    </row>
    <row r="232" spans="1:18" x14ac:dyDescent="0.2">
      <c r="A232" s="504"/>
      <c r="B232" s="50"/>
      <c r="C232" s="88"/>
      <c r="D232" s="88"/>
      <c r="E232" s="88"/>
      <c r="F232" s="88"/>
      <c r="G232" s="505"/>
      <c r="H232" s="505"/>
      <c r="I232" s="505"/>
      <c r="J232" s="1238"/>
      <c r="K232" s="505"/>
      <c r="L232" s="506"/>
      <c r="M232" s="90"/>
    </row>
    <row r="233" spans="1:18" hidden="1" x14ac:dyDescent="0.2">
      <c r="A233" s="504"/>
      <c r="B233" s="50"/>
      <c r="C233" s="88"/>
      <c r="D233" s="88"/>
      <c r="E233" s="88"/>
      <c r="F233" s="88"/>
      <c r="G233" s="505"/>
      <c r="H233" s="505"/>
      <c r="I233" s="505"/>
      <c r="J233" s="1238"/>
      <c r="K233" s="505"/>
      <c r="L233" s="506"/>
      <c r="M233" s="90"/>
    </row>
    <row r="234" spans="1:18" x14ac:dyDescent="0.2">
      <c r="A234" s="504"/>
      <c r="B234" s="50"/>
      <c r="C234" s="88"/>
      <c r="D234" s="88"/>
      <c r="E234" s="88"/>
      <c r="F234" s="88"/>
      <c r="G234" s="505"/>
      <c r="H234" s="505"/>
      <c r="I234" s="505"/>
      <c r="J234" s="1238"/>
      <c r="K234" s="505"/>
      <c r="L234" s="506"/>
      <c r="M234" s="90"/>
    </row>
    <row r="235" spans="1:18" x14ac:dyDescent="0.2">
      <c r="A235" s="504"/>
      <c r="B235" s="50"/>
      <c r="C235" s="88"/>
      <c r="D235" s="88"/>
      <c r="E235" s="88"/>
      <c r="F235" s="88"/>
      <c r="G235" s="505"/>
      <c r="H235" s="2074" t="s">
        <v>541</v>
      </c>
      <c r="I235" s="2074"/>
      <c r="J235" s="2074"/>
      <c r="K235" s="2074"/>
      <c r="L235" s="2074"/>
      <c r="M235" s="86"/>
      <c r="N235" s="86"/>
      <c r="O235" s="86"/>
      <c r="P235" s="86"/>
      <c r="Q235" s="86"/>
    </row>
    <row r="236" spans="1:18" ht="13.5" hidden="1" thickBot="1" x14ac:dyDescent="0.25">
      <c r="A236" s="504"/>
      <c r="B236" s="50"/>
      <c r="C236" s="88"/>
      <c r="D236" s="88"/>
      <c r="E236" s="88"/>
      <c r="F236" s="88"/>
      <c r="G236" s="505"/>
      <c r="H236" s="505"/>
      <c r="I236" s="505"/>
      <c r="J236" s="1284"/>
      <c r="K236" s="505"/>
      <c r="L236" s="506"/>
      <c r="M236" s="90"/>
    </row>
    <row r="237" spans="1:18" s="498" customFormat="1" x14ac:dyDescent="0.2">
      <c r="A237" s="1537" t="s">
        <v>431</v>
      </c>
      <c r="B237" s="1538"/>
      <c r="C237" s="1539"/>
      <c r="D237" s="1539">
        <v>2018</v>
      </c>
      <c r="E237" s="1540" t="s">
        <v>909</v>
      </c>
      <c r="F237" s="1540">
        <v>2021</v>
      </c>
      <c r="G237" s="1541">
        <v>2022</v>
      </c>
      <c r="H237" s="1818">
        <v>2023</v>
      </c>
      <c r="I237" s="1542" t="s">
        <v>981</v>
      </c>
      <c r="J237" s="1543">
        <v>2024</v>
      </c>
      <c r="K237" s="1541">
        <v>2025</v>
      </c>
      <c r="L237" s="1541">
        <v>2026</v>
      </c>
      <c r="M237" s="495"/>
      <c r="N237" s="496"/>
      <c r="O237" s="497"/>
      <c r="P237" s="465"/>
      <c r="Q237" s="466"/>
    </row>
    <row r="238" spans="1:18" s="92" customFormat="1" ht="11.25" x14ac:dyDescent="0.2">
      <c r="A238" s="1834" t="s">
        <v>542</v>
      </c>
      <c r="B238" s="1834"/>
      <c r="C238" s="1834"/>
      <c r="D238" s="1835">
        <f>SUM(D239:D254)-D240-D242-D246-D247</f>
        <v>118520</v>
      </c>
      <c r="E238" s="1836">
        <f>SUM(E244,E245,E249,E250,E251,E252)+E239+E241+E243+E254+E248</f>
        <v>112853</v>
      </c>
      <c r="F238" s="1836">
        <f>SUM(F239:F254)-F240-F242-F246-F247</f>
        <v>124950</v>
      </c>
      <c r="G238" s="1836">
        <f>SUM(G244,G245,G249,G250,G251,G252)+G239+G241+G243+G254+G248</f>
        <v>123910</v>
      </c>
      <c r="H238" s="1836">
        <f>SUM(H244,H245,H249,H250,H251,H252)+H239+H241+H243+H254+H248</f>
        <v>119950</v>
      </c>
      <c r="I238" s="1836">
        <f>SUM(I244,I245,I249,I250,I251,I252)+I239+I241+I243+I254</f>
        <v>135202</v>
      </c>
      <c r="J238" s="1544">
        <f>SUM(J244,J245,J249,J250,J251,J252)+J239+J241+J243+J254+J248</f>
        <v>130400</v>
      </c>
      <c r="K238" s="1836">
        <f>K239+K241+K243+K244+K245+K249+K251+K248+K252</f>
        <v>131300</v>
      </c>
      <c r="L238" s="1836">
        <f>SUM(L239:L254)-L246-L247</f>
        <v>131300</v>
      </c>
      <c r="M238" s="508"/>
      <c r="N238" s="491"/>
      <c r="O238" s="469"/>
      <c r="P238" s="469"/>
      <c r="Q238" s="469"/>
    </row>
    <row r="239" spans="1:18" s="92" customFormat="1" ht="11.25" x14ac:dyDescent="0.2">
      <c r="A239" s="1071">
        <v>610</v>
      </c>
      <c r="B239" s="1071"/>
      <c r="C239" s="1071" t="s">
        <v>654</v>
      </c>
      <c r="D239" s="1058">
        <v>23800</v>
      </c>
      <c r="E239" s="1058">
        <v>29040</v>
      </c>
      <c r="F239" s="1319">
        <v>35000</v>
      </c>
      <c r="G239" s="1319">
        <v>35000</v>
      </c>
      <c r="H239" s="1319">
        <v>35000</v>
      </c>
      <c r="I239" s="1319">
        <v>34450</v>
      </c>
      <c r="J239" s="1290">
        <v>35000</v>
      </c>
      <c r="K239" s="1516">
        <v>35000</v>
      </c>
      <c r="L239" s="1058">
        <v>35000</v>
      </c>
      <c r="M239" s="508"/>
      <c r="N239" s="491"/>
      <c r="O239" s="469"/>
      <c r="P239" s="469"/>
      <c r="Q239" s="469"/>
    </row>
    <row r="240" spans="1:18" s="92" customFormat="1" ht="11.25" x14ac:dyDescent="0.2">
      <c r="A240" s="1595">
        <v>610</v>
      </c>
      <c r="B240" s="1595"/>
      <c r="C240" s="1595" t="s">
        <v>655</v>
      </c>
      <c r="D240" s="1183">
        <v>0</v>
      </c>
      <c r="E240" s="1183">
        <v>0</v>
      </c>
      <c r="F240" s="1319">
        <v>0</v>
      </c>
      <c r="G240" s="1521">
        <v>0</v>
      </c>
      <c r="H240" s="1319">
        <v>0</v>
      </c>
      <c r="I240" s="1521">
        <v>0</v>
      </c>
      <c r="J240" s="1290">
        <v>0</v>
      </c>
      <c r="K240" s="1516">
        <v>0</v>
      </c>
      <c r="L240" s="1183">
        <v>0</v>
      </c>
      <c r="M240" s="508"/>
      <c r="N240" s="491"/>
      <c r="O240" s="469"/>
      <c r="P240" s="469"/>
      <c r="Q240" s="469"/>
    </row>
    <row r="241" spans="1:18" s="92" customFormat="1" ht="11.25" x14ac:dyDescent="0.2">
      <c r="A241" s="1071">
        <v>620</v>
      </c>
      <c r="B241" s="1071"/>
      <c r="C241" s="1071" t="s">
        <v>656</v>
      </c>
      <c r="D241" s="1058">
        <v>8250</v>
      </c>
      <c r="E241" s="1058">
        <v>10469</v>
      </c>
      <c r="F241" s="1319">
        <v>12300</v>
      </c>
      <c r="G241" s="1319">
        <v>12300</v>
      </c>
      <c r="H241" s="1319">
        <v>12300</v>
      </c>
      <c r="I241" s="1319">
        <v>12000</v>
      </c>
      <c r="J241" s="1290">
        <v>12300</v>
      </c>
      <c r="K241" s="1516">
        <v>12300</v>
      </c>
      <c r="L241" s="1058">
        <v>12300</v>
      </c>
      <c r="M241" s="508"/>
      <c r="N241" s="491"/>
      <c r="O241" s="469"/>
      <c r="P241" s="469"/>
      <c r="Q241" s="469"/>
    </row>
    <row r="242" spans="1:18" s="92" customFormat="1" ht="11.25" x14ac:dyDescent="0.2">
      <c r="A242" s="1595">
        <v>620</v>
      </c>
      <c r="B242" s="1595"/>
      <c r="C242" s="1595" t="s">
        <v>655</v>
      </c>
      <c r="D242" s="1183">
        <v>0</v>
      </c>
      <c r="E242" s="1183">
        <v>0</v>
      </c>
      <c r="F242" s="1319">
        <v>0</v>
      </c>
      <c r="G242" s="1521">
        <v>0</v>
      </c>
      <c r="H242" s="1319">
        <v>0</v>
      </c>
      <c r="I242" s="1521">
        <v>0</v>
      </c>
      <c r="J242" s="1290">
        <v>0</v>
      </c>
      <c r="K242" s="1516">
        <v>0</v>
      </c>
      <c r="L242" s="1183">
        <v>0</v>
      </c>
      <c r="M242" s="508"/>
      <c r="N242" s="491"/>
      <c r="O242" s="469"/>
      <c r="P242" s="469"/>
      <c r="Q242" s="469"/>
    </row>
    <row r="243" spans="1:18" s="92" customFormat="1" ht="11.25" x14ac:dyDescent="0.2">
      <c r="A243" s="1071">
        <v>632</v>
      </c>
      <c r="B243" s="1071"/>
      <c r="C243" s="1071" t="s">
        <v>653</v>
      </c>
      <c r="D243" s="1058">
        <v>450</v>
      </c>
      <c r="E243" s="1058">
        <v>640</v>
      </c>
      <c r="F243" s="1319">
        <v>550</v>
      </c>
      <c r="G243" s="1319">
        <v>850</v>
      </c>
      <c r="H243" s="1319">
        <v>550</v>
      </c>
      <c r="I243" s="1319">
        <v>1500</v>
      </c>
      <c r="J243" s="1290">
        <v>1000</v>
      </c>
      <c r="K243" s="1516">
        <v>1000</v>
      </c>
      <c r="L243" s="1058">
        <v>1000</v>
      </c>
      <c r="M243" s="508"/>
      <c r="N243" s="491"/>
      <c r="O243" s="469"/>
      <c r="P243" s="469"/>
      <c r="Q243" s="469"/>
    </row>
    <row r="244" spans="1:18" s="20" customFormat="1" x14ac:dyDescent="0.2">
      <c r="A244" s="1031">
        <v>633</v>
      </c>
      <c r="B244" s="1031"/>
      <c r="C244" s="835" t="s">
        <v>199</v>
      </c>
      <c r="D244" s="1028">
        <v>2000</v>
      </c>
      <c r="E244" s="1028">
        <v>5346</v>
      </c>
      <c r="F244" s="1319">
        <v>5500</v>
      </c>
      <c r="G244" s="1319">
        <v>5500</v>
      </c>
      <c r="H244" s="1319">
        <v>5500</v>
      </c>
      <c r="I244" s="1319">
        <v>2000</v>
      </c>
      <c r="J244" s="1290">
        <v>2000</v>
      </c>
      <c r="K244" s="1545">
        <v>2000</v>
      </c>
      <c r="L244" s="1027">
        <v>2000</v>
      </c>
      <c r="M244" s="58"/>
      <c r="O244" s="50"/>
      <c r="P244" s="50"/>
      <c r="Q244" s="50"/>
      <c r="R244" s="16"/>
    </row>
    <row r="245" spans="1:18" s="33" customFormat="1" x14ac:dyDescent="0.2">
      <c r="A245" s="1031">
        <v>634</v>
      </c>
      <c r="B245" s="1031"/>
      <c r="C245" s="835" t="s">
        <v>201</v>
      </c>
      <c r="D245" s="1028">
        <f t="shared" ref="D245:L245" si="33">D246+D247</f>
        <v>8000</v>
      </c>
      <c r="E245" s="1028">
        <f t="shared" ref="E245" si="34">E246+E247</f>
        <v>8852</v>
      </c>
      <c r="F245" s="1319">
        <f>F246+F247</f>
        <v>10000</v>
      </c>
      <c r="G245" s="1319">
        <f>G246+G247</f>
        <v>22660</v>
      </c>
      <c r="H245" s="1319">
        <f>H246+H247</f>
        <v>10000</v>
      </c>
      <c r="I245" s="1319">
        <f>SUM(I246:I248)</f>
        <v>22152</v>
      </c>
      <c r="J245" s="1290">
        <f>J246+J247</f>
        <v>18000</v>
      </c>
      <c r="K245" s="1545">
        <f t="shared" si="33"/>
        <v>18000</v>
      </c>
      <c r="L245" s="1027">
        <f t="shared" si="33"/>
        <v>18000</v>
      </c>
      <c r="M245" s="58"/>
      <c r="N245" s="20"/>
      <c r="O245" s="50"/>
      <c r="P245" s="50"/>
      <c r="Q245" s="50"/>
      <c r="R245" s="16"/>
    </row>
    <row r="246" spans="1:18" x14ac:dyDescent="0.2">
      <c r="A246" s="1031">
        <v>634</v>
      </c>
      <c r="B246" s="1031" t="s">
        <v>94</v>
      </c>
      <c r="C246" s="835" t="s">
        <v>901</v>
      </c>
      <c r="D246" s="1090">
        <v>6000</v>
      </c>
      <c r="E246" s="1090">
        <v>5256</v>
      </c>
      <c r="F246" s="1319">
        <v>6000</v>
      </c>
      <c r="G246" s="1521">
        <v>7500</v>
      </c>
      <c r="H246" s="1521">
        <v>6000</v>
      </c>
      <c r="I246" s="1521">
        <v>8000</v>
      </c>
      <c r="J246" s="1317">
        <v>8000</v>
      </c>
      <c r="K246" s="1596">
        <v>8000</v>
      </c>
      <c r="L246" s="1581">
        <v>8000</v>
      </c>
      <c r="M246" s="490"/>
      <c r="O246" s="509"/>
      <c r="P246" s="50"/>
      <c r="Q246" s="50"/>
    </row>
    <row r="247" spans="1:18" x14ac:dyDescent="0.2">
      <c r="A247" s="1031">
        <v>634</v>
      </c>
      <c r="B247" s="1031" t="s">
        <v>97</v>
      </c>
      <c r="C247" s="835" t="s">
        <v>516</v>
      </c>
      <c r="D247" s="1090">
        <v>2000</v>
      </c>
      <c r="E247" s="1090">
        <v>3596</v>
      </c>
      <c r="F247" s="1319">
        <v>4000</v>
      </c>
      <c r="G247" s="1521">
        <v>15160</v>
      </c>
      <c r="H247" s="1521">
        <v>4000</v>
      </c>
      <c r="I247" s="1521">
        <v>12000</v>
      </c>
      <c r="J247" s="1317">
        <v>10000</v>
      </c>
      <c r="K247" s="1596">
        <v>10000</v>
      </c>
      <c r="L247" s="1581">
        <v>10000</v>
      </c>
      <c r="M247" s="490"/>
      <c r="O247" s="509"/>
      <c r="P247" s="50"/>
      <c r="Q247" s="50"/>
    </row>
    <row r="248" spans="1:18" x14ac:dyDescent="0.2">
      <c r="A248" s="1031">
        <v>634</v>
      </c>
      <c r="B248" s="1031" t="s">
        <v>111</v>
      </c>
      <c r="C248" s="835" t="s">
        <v>472</v>
      </c>
      <c r="D248" s="1087">
        <v>1200</v>
      </c>
      <c r="E248" s="1087">
        <v>1168</v>
      </c>
      <c r="F248" s="1319">
        <v>1500</v>
      </c>
      <c r="G248" s="1516">
        <v>1500</v>
      </c>
      <c r="H248" s="1319">
        <v>1500</v>
      </c>
      <c r="I248" s="1516">
        <v>2152</v>
      </c>
      <c r="J248" s="1290">
        <v>2000</v>
      </c>
      <c r="K248" s="1545">
        <v>2000</v>
      </c>
      <c r="L248" s="1033">
        <v>2000</v>
      </c>
      <c r="M248" s="490"/>
      <c r="O248" s="509"/>
      <c r="P248" s="50"/>
      <c r="Q248" s="50"/>
    </row>
    <row r="249" spans="1:18" x14ac:dyDescent="0.2">
      <c r="A249" s="1031">
        <v>635</v>
      </c>
      <c r="B249" s="1031"/>
      <c r="C249" s="835" t="s">
        <v>293</v>
      </c>
      <c r="D249" s="1028">
        <v>1800</v>
      </c>
      <c r="E249" s="1028">
        <v>0</v>
      </c>
      <c r="F249" s="1319">
        <v>100</v>
      </c>
      <c r="G249" s="1319">
        <v>100</v>
      </c>
      <c r="H249" s="1319">
        <v>100</v>
      </c>
      <c r="I249" s="1319">
        <v>100</v>
      </c>
      <c r="J249" s="1290">
        <v>100</v>
      </c>
      <c r="K249" s="1545">
        <v>1000</v>
      </c>
      <c r="L249" s="1027">
        <v>1000</v>
      </c>
      <c r="M249" s="58"/>
      <c r="O249" s="503"/>
      <c r="P249" s="50"/>
      <c r="Q249" s="50"/>
    </row>
    <row r="250" spans="1:18" x14ac:dyDescent="0.2">
      <c r="A250" s="1031">
        <v>636</v>
      </c>
      <c r="B250" s="1031"/>
      <c r="C250" s="835" t="s">
        <v>543</v>
      </c>
      <c r="D250" s="1028">
        <v>0</v>
      </c>
      <c r="E250" s="1028">
        <v>0</v>
      </c>
      <c r="F250" s="1319">
        <v>0</v>
      </c>
      <c r="G250" s="1319">
        <v>0</v>
      </c>
      <c r="H250" s="1319">
        <v>0</v>
      </c>
      <c r="I250" s="1319">
        <v>0</v>
      </c>
      <c r="J250" s="1290">
        <v>0</v>
      </c>
      <c r="K250" s="1545">
        <v>0</v>
      </c>
      <c r="L250" s="1027">
        <v>0</v>
      </c>
      <c r="M250" s="58"/>
      <c r="O250" s="50"/>
      <c r="P250" s="50"/>
      <c r="Q250" s="50"/>
    </row>
    <row r="251" spans="1:18" x14ac:dyDescent="0.2">
      <c r="A251" s="1031">
        <v>637</v>
      </c>
      <c r="B251" s="1031"/>
      <c r="C251" s="1265" t="s">
        <v>842</v>
      </c>
      <c r="D251" s="1028">
        <v>70800</v>
      </c>
      <c r="E251" s="1028">
        <v>43191</v>
      </c>
      <c r="F251" s="1319">
        <v>50000</v>
      </c>
      <c r="G251" s="1319">
        <v>41000</v>
      </c>
      <c r="H251" s="1319">
        <v>50000</v>
      </c>
      <c r="I251" s="1319">
        <v>55000</v>
      </c>
      <c r="J251" s="1302">
        <v>55000</v>
      </c>
      <c r="K251" s="1545">
        <v>55000</v>
      </c>
      <c r="L251" s="1027">
        <v>55000</v>
      </c>
      <c r="M251" s="64"/>
      <c r="O251" s="58"/>
      <c r="P251" s="50"/>
      <c r="Q251" s="50"/>
    </row>
    <row r="252" spans="1:18" x14ac:dyDescent="0.2">
      <c r="A252" s="1031">
        <v>637</v>
      </c>
      <c r="B252" s="1031"/>
      <c r="C252" s="835" t="s">
        <v>843</v>
      </c>
      <c r="D252" s="1028">
        <v>2220</v>
      </c>
      <c r="E252" s="1028">
        <v>13999</v>
      </c>
      <c r="F252" s="1319">
        <v>10000</v>
      </c>
      <c r="G252" s="1319">
        <v>5000</v>
      </c>
      <c r="H252" s="1319">
        <v>5000</v>
      </c>
      <c r="I252" s="1319">
        <v>8000</v>
      </c>
      <c r="J252" s="1290">
        <v>5000</v>
      </c>
      <c r="K252" s="1545">
        <v>5000</v>
      </c>
      <c r="L252" s="1027">
        <v>5000</v>
      </c>
      <c r="M252" s="64"/>
      <c r="O252" s="58"/>
      <c r="P252" s="486"/>
      <c r="Q252" s="50"/>
    </row>
    <row r="253" spans="1:18" hidden="1" x14ac:dyDescent="0.2">
      <c r="A253" s="1597"/>
      <c r="B253" s="1597"/>
      <c r="C253" s="1597"/>
      <c r="D253" s="1184"/>
      <c r="E253" s="1184"/>
      <c r="F253" s="1516"/>
      <c r="G253" s="1516"/>
      <c r="H253" s="1516"/>
      <c r="I253" s="1516"/>
      <c r="J253" s="1303"/>
      <c r="K253" s="1516"/>
      <c r="L253" s="1184"/>
      <c r="M253" s="524"/>
    </row>
    <row r="254" spans="1:18" x14ac:dyDescent="0.2">
      <c r="A254" s="1254">
        <v>637</v>
      </c>
      <c r="B254" s="1254">
        <v>642</v>
      </c>
      <c r="C254" s="1254" t="s">
        <v>687</v>
      </c>
      <c r="D254" s="1186">
        <v>0</v>
      </c>
      <c r="E254" s="1186">
        <v>148</v>
      </c>
      <c r="F254" s="1319">
        <v>0</v>
      </c>
      <c r="G254" s="1516">
        <v>0</v>
      </c>
      <c r="H254" s="1319">
        <v>0</v>
      </c>
      <c r="I254" s="1516">
        <v>0</v>
      </c>
      <c r="J254" s="1290">
        <v>0</v>
      </c>
      <c r="K254" s="1516">
        <v>0</v>
      </c>
      <c r="L254" s="1186">
        <v>0</v>
      </c>
      <c r="M254" s="524"/>
    </row>
    <row r="255" spans="1:18" hidden="1" x14ac:dyDescent="0.2">
      <c r="A255" s="835"/>
      <c r="B255" s="835"/>
      <c r="C255" s="835"/>
      <c r="D255" s="1028"/>
      <c r="E255" s="1087"/>
      <c r="F255" s="1087"/>
      <c r="G255" s="1087"/>
      <c r="H255" s="1087"/>
      <c r="I255" s="1087"/>
      <c r="J255" s="1303"/>
      <c r="K255" s="1087"/>
      <c r="L255" s="1087"/>
      <c r="M255" s="524"/>
    </row>
    <row r="256" spans="1:18" s="92" customFormat="1" ht="11.25" x14ac:dyDescent="0.2">
      <c r="A256" s="1834" t="s">
        <v>545</v>
      </c>
      <c r="B256" s="1834"/>
      <c r="C256" s="1834"/>
      <c r="D256" s="1836">
        <f>D257+D258+D259+D261+D262+D267+D270+D266+D265</f>
        <v>39885</v>
      </c>
      <c r="E256" s="1836">
        <f>SUM(E257,E258,E259,E261,E262,E267,E270,E266)+E265+E269</f>
        <v>87659</v>
      </c>
      <c r="F256" s="1836">
        <f>SUM(F257,F258,F259,F261,F262,F267,F266)+F265+F270+F269</f>
        <v>29284</v>
      </c>
      <c r="G256" s="1836">
        <f>SUM(G257,G258,G259,G261,G262,G267,G270,G266)+G265+G269</f>
        <v>15345</v>
      </c>
      <c r="H256" s="1836">
        <f>SUM(H257,H258,H259,H261,H262,H267,H266)+H265+H270+H269</f>
        <v>4305</v>
      </c>
      <c r="I256" s="1836">
        <f>SUM(I257,I258,I259,I261,I262,I267,I266)+I265+I270+I269</f>
        <v>10047</v>
      </c>
      <c r="J256" s="1592">
        <f>SUM(J257,J258,J259,J261,J262,J267,J266)+J265+J270+J269</f>
        <v>6600</v>
      </c>
      <c r="K256" s="1836">
        <f>SUM(K257,K258,K259,K261,K262,K267,K266)+K269+K265+K270</f>
        <v>6600</v>
      </c>
      <c r="L256" s="1836">
        <f>SUM(L257,L258,L259,L261,L262,L267,L266)+L265+L269+L270</f>
        <v>6600</v>
      </c>
      <c r="M256" s="508"/>
      <c r="N256" s="491"/>
      <c r="O256" s="469"/>
      <c r="P256" s="469"/>
      <c r="Q256" s="469"/>
    </row>
    <row r="257" spans="1:18" s="20" customFormat="1" x14ac:dyDescent="0.2">
      <c r="A257" s="835">
        <v>610</v>
      </c>
      <c r="B257" s="835"/>
      <c r="C257" s="835" t="s">
        <v>447</v>
      </c>
      <c r="D257" s="1028">
        <v>9800</v>
      </c>
      <c r="E257" s="1028">
        <v>11526</v>
      </c>
      <c r="F257" s="1319">
        <v>4755</v>
      </c>
      <c r="G257" s="1319">
        <v>0</v>
      </c>
      <c r="H257" s="1319">
        <v>0</v>
      </c>
      <c r="I257" s="1319">
        <v>0</v>
      </c>
      <c r="J257" s="1290">
        <v>0</v>
      </c>
      <c r="K257" s="1545"/>
      <c r="L257" s="1027"/>
      <c r="M257" s="64"/>
      <c r="N257" s="48"/>
      <c r="O257" s="58"/>
      <c r="P257" s="50"/>
      <c r="Q257" s="50"/>
      <c r="R257" s="16"/>
    </row>
    <row r="258" spans="1:18" s="33" customFormat="1" x14ac:dyDescent="0.2">
      <c r="A258" s="835">
        <v>620</v>
      </c>
      <c r="B258" s="835"/>
      <c r="C258" s="835" t="s">
        <v>193</v>
      </c>
      <c r="D258" s="1028">
        <v>3255</v>
      </c>
      <c r="E258" s="1028">
        <v>3639</v>
      </c>
      <c r="F258" s="1319">
        <v>2666</v>
      </c>
      <c r="G258" s="1319">
        <v>0</v>
      </c>
      <c r="H258" s="1319">
        <v>0</v>
      </c>
      <c r="I258" s="1319">
        <v>0</v>
      </c>
      <c r="J258" s="1290">
        <v>0</v>
      </c>
      <c r="K258" s="1545"/>
      <c r="L258" s="1027"/>
      <c r="M258" s="64"/>
      <c r="N258" s="48"/>
      <c r="O258" s="58"/>
      <c r="P258" s="50"/>
      <c r="Q258" s="50"/>
      <c r="R258" s="16"/>
    </row>
    <row r="259" spans="1:18" s="33" customFormat="1" x14ac:dyDescent="0.2">
      <c r="A259" s="835">
        <v>632</v>
      </c>
      <c r="B259" s="1255"/>
      <c r="C259" s="835" t="s">
        <v>197</v>
      </c>
      <c r="D259" s="1028">
        <v>5800</v>
      </c>
      <c r="E259" s="1028">
        <v>23114</v>
      </c>
      <c r="F259" s="1319">
        <v>8530</v>
      </c>
      <c r="G259" s="1319">
        <v>0</v>
      </c>
      <c r="H259" s="1319">
        <v>0</v>
      </c>
      <c r="I259" s="1319">
        <v>0</v>
      </c>
      <c r="J259" s="1290">
        <v>0</v>
      </c>
      <c r="K259" s="1545">
        <v>0</v>
      </c>
      <c r="L259" s="1027">
        <v>0</v>
      </c>
      <c r="M259" s="64"/>
      <c r="N259" s="48"/>
      <c r="O259" s="58"/>
      <c r="P259" s="50"/>
      <c r="Q259" s="50"/>
      <c r="R259" s="16"/>
    </row>
    <row r="260" spans="1:18" s="33" customFormat="1" hidden="1" x14ac:dyDescent="0.2">
      <c r="A260" s="1570"/>
      <c r="B260" s="1066"/>
      <c r="C260" s="1571"/>
      <c r="D260" s="1185"/>
      <c r="E260" s="1185"/>
      <c r="F260" s="1319"/>
      <c r="G260" s="1531"/>
      <c r="H260" s="1319"/>
      <c r="I260" s="1531"/>
      <c r="J260" s="1290"/>
      <c r="K260" s="1572"/>
      <c r="L260" s="1185"/>
      <c r="M260" s="64"/>
      <c r="N260" s="48"/>
      <c r="O260" s="58"/>
      <c r="P260" s="50"/>
      <c r="Q260" s="50"/>
      <c r="R260" s="16"/>
    </row>
    <row r="261" spans="1:18" s="33" customFormat="1" x14ac:dyDescent="0.2">
      <c r="A261" s="835">
        <v>633</v>
      </c>
      <c r="B261" s="1255"/>
      <c r="C261" s="835" t="s">
        <v>199</v>
      </c>
      <c r="D261" s="1028">
        <v>1510</v>
      </c>
      <c r="E261" s="1028">
        <v>1247</v>
      </c>
      <c r="F261" s="1319">
        <v>400</v>
      </c>
      <c r="G261" s="1319">
        <v>0</v>
      </c>
      <c r="H261" s="1319">
        <v>0</v>
      </c>
      <c r="I261" s="1319">
        <v>0</v>
      </c>
      <c r="J261" s="1290">
        <v>0</v>
      </c>
      <c r="K261" s="1545">
        <v>0</v>
      </c>
      <c r="L261" s="1027">
        <v>0</v>
      </c>
      <c r="M261" s="64"/>
      <c r="N261" s="48"/>
      <c r="O261" s="50"/>
      <c r="P261" s="50"/>
      <c r="Q261" s="50"/>
      <c r="R261" s="16"/>
    </row>
    <row r="262" spans="1:18" s="33" customFormat="1" x14ac:dyDescent="0.2">
      <c r="A262" s="835">
        <v>634</v>
      </c>
      <c r="B262" s="1255"/>
      <c r="C262" s="835" t="s">
        <v>546</v>
      </c>
      <c r="D262" s="1028">
        <f t="shared" ref="D262" si="35">D263+D264</f>
        <v>12700</v>
      </c>
      <c r="E262" s="1028">
        <f t="shared" ref="E262" si="36">E263+E264</f>
        <v>9900</v>
      </c>
      <c r="F262" s="1319">
        <f t="shared" ref="F262:L262" si="37">F263+F264</f>
        <v>4500</v>
      </c>
      <c r="G262" s="1511">
        <f t="shared" ref="G262:H262" si="38">G263+G264</f>
        <v>12500</v>
      </c>
      <c r="H262" s="1319">
        <f t="shared" si="38"/>
        <v>3500</v>
      </c>
      <c r="I262" s="1511">
        <f t="shared" si="37"/>
        <v>8800</v>
      </c>
      <c r="J262" s="1290">
        <f t="shared" si="37"/>
        <v>6000</v>
      </c>
      <c r="K262" s="1545">
        <f t="shared" si="37"/>
        <v>6000</v>
      </c>
      <c r="L262" s="1598">
        <f t="shared" si="37"/>
        <v>6000</v>
      </c>
      <c r="M262" s="64"/>
      <c r="N262" s="48"/>
      <c r="O262" s="58"/>
      <c r="P262" s="50"/>
      <c r="Q262" s="50"/>
      <c r="R262" s="16"/>
    </row>
    <row r="263" spans="1:18" s="33" customFormat="1" x14ac:dyDescent="0.2">
      <c r="A263" s="835">
        <v>634</v>
      </c>
      <c r="B263" s="1255" t="s">
        <v>94</v>
      </c>
      <c r="C263" s="835" t="s">
        <v>902</v>
      </c>
      <c r="D263" s="1090">
        <v>4200</v>
      </c>
      <c r="E263" s="1090">
        <v>2475</v>
      </c>
      <c r="F263" s="1319">
        <v>3500</v>
      </c>
      <c r="G263" s="1523">
        <v>6000</v>
      </c>
      <c r="H263" s="1522">
        <v>2500</v>
      </c>
      <c r="I263" s="1523">
        <v>3800</v>
      </c>
      <c r="J263" s="1320">
        <v>3000</v>
      </c>
      <c r="K263" s="1599">
        <v>3000</v>
      </c>
      <c r="L263" s="1600">
        <v>3000</v>
      </c>
      <c r="M263" s="64"/>
      <c r="N263" s="48"/>
      <c r="O263" s="58"/>
      <c r="P263" s="50"/>
      <c r="Q263" s="50"/>
      <c r="R263" s="16"/>
    </row>
    <row r="264" spans="1:18" s="33" customFormat="1" x14ac:dyDescent="0.2">
      <c r="A264" s="835">
        <v>634</v>
      </c>
      <c r="B264" s="1255" t="s">
        <v>97</v>
      </c>
      <c r="C264" s="835" t="s">
        <v>547</v>
      </c>
      <c r="D264" s="1090">
        <v>8500</v>
      </c>
      <c r="E264" s="1090">
        <v>7425</v>
      </c>
      <c r="F264" s="1319">
        <v>1000</v>
      </c>
      <c r="G264" s="1523">
        <v>6500</v>
      </c>
      <c r="H264" s="1522">
        <v>1000</v>
      </c>
      <c r="I264" s="1523">
        <v>5000</v>
      </c>
      <c r="J264" s="1320">
        <v>3000</v>
      </c>
      <c r="K264" s="1599">
        <v>3000</v>
      </c>
      <c r="L264" s="1600">
        <v>3000</v>
      </c>
      <c r="M264" s="64"/>
      <c r="N264" s="48"/>
      <c r="O264" s="58"/>
      <c r="P264" s="50"/>
      <c r="Q264" s="50"/>
      <c r="R264" s="16"/>
    </row>
    <row r="265" spans="1:18" s="33" customFormat="1" x14ac:dyDescent="0.2">
      <c r="A265" s="835">
        <v>634</v>
      </c>
      <c r="B265" s="1255" t="s">
        <v>92</v>
      </c>
      <c r="C265" s="835" t="s">
        <v>657</v>
      </c>
      <c r="D265" s="1087">
        <v>100</v>
      </c>
      <c r="E265" s="1087">
        <v>72</v>
      </c>
      <c r="F265" s="1516">
        <v>305</v>
      </c>
      <c r="G265" s="1516">
        <v>305</v>
      </c>
      <c r="H265" s="1516">
        <v>305</v>
      </c>
      <c r="I265" s="1516">
        <v>72</v>
      </c>
      <c r="J265" s="1287">
        <v>100</v>
      </c>
      <c r="K265" s="1545">
        <v>100</v>
      </c>
      <c r="L265" s="1033">
        <v>100</v>
      </c>
      <c r="M265" s="64"/>
      <c r="N265" s="48"/>
      <c r="O265" s="58"/>
      <c r="P265" s="50"/>
      <c r="Q265" s="50"/>
      <c r="R265" s="16"/>
    </row>
    <row r="266" spans="1:18" s="33" customFormat="1" x14ac:dyDescent="0.2">
      <c r="A266" s="835">
        <v>635</v>
      </c>
      <c r="B266" s="1255"/>
      <c r="C266" s="835" t="s">
        <v>548</v>
      </c>
      <c r="D266" s="1087">
        <v>500</v>
      </c>
      <c r="E266" s="1087">
        <v>3221</v>
      </c>
      <c r="F266" s="1516">
        <v>500</v>
      </c>
      <c r="G266" s="1516">
        <v>500</v>
      </c>
      <c r="H266" s="1516">
        <v>500</v>
      </c>
      <c r="I266" s="1516">
        <v>500</v>
      </c>
      <c r="J266" s="1287">
        <v>500</v>
      </c>
      <c r="K266" s="1545">
        <v>500</v>
      </c>
      <c r="L266" s="1033">
        <v>500</v>
      </c>
      <c r="M266" s="64"/>
      <c r="N266" s="48"/>
      <c r="O266" s="58"/>
      <c r="P266" s="50"/>
      <c r="Q266" s="50"/>
      <c r="R266" s="16"/>
    </row>
    <row r="267" spans="1:18" s="33" customFormat="1" x14ac:dyDescent="0.2">
      <c r="A267" s="835">
        <v>637</v>
      </c>
      <c r="B267" s="1031"/>
      <c r="C267" s="835" t="s">
        <v>207</v>
      </c>
      <c r="D267" s="1028">
        <v>6220</v>
      </c>
      <c r="E267" s="1028">
        <v>9740</v>
      </c>
      <c r="F267" s="1319">
        <v>3800</v>
      </c>
      <c r="G267" s="1319">
        <v>2040</v>
      </c>
      <c r="H267" s="1319">
        <v>0</v>
      </c>
      <c r="I267" s="1319">
        <v>0</v>
      </c>
      <c r="J267" s="1290">
        <v>0</v>
      </c>
      <c r="K267" s="1590">
        <v>0</v>
      </c>
      <c r="L267" s="1027">
        <v>0</v>
      </c>
      <c r="M267" s="58"/>
      <c r="N267" s="20"/>
      <c r="O267" s="58"/>
      <c r="P267" s="50"/>
      <c r="Q267" s="50"/>
      <c r="R267" s="16"/>
    </row>
    <row r="268" spans="1:18" s="33" customFormat="1" hidden="1" x14ac:dyDescent="0.2">
      <c r="A268" s="1253"/>
      <c r="B268" s="1252"/>
      <c r="C268" s="1253"/>
      <c r="D268" s="1089"/>
      <c r="E268" s="1089">
        <v>25200</v>
      </c>
      <c r="F268" s="1319">
        <v>25200</v>
      </c>
      <c r="G268" s="1516">
        <v>25200</v>
      </c>
      <c r="H268" s="1319">
        <v>25200</v>
      </c>
      <c r="I268" s="1516">
        <v>25200</v>
      </c>
      <c r="J268" s="1290">
        <v>25200</v>
      </c>
      <c r="K268" s="1601">
        <v>5000</v>
      </c>
      <c r="L268" s="1602">
        <v>5000</v>
      </c>
      <c r="M268" s="59"/>
      <c r="N268" s="20"/>
      <c r="O268" s="20"/>
      <c r="P268" s="20"/>
      <c r="Q268" s="20"/>
      <c r="R268" s="16"/>
    </row>
    <row r="269" spans="1:18" s="33" customFormat="1" x14ac:dyDescent="0.2">
      <c r="A269" s="1253"/>
      <c r="B269" s="1252"/>
      <c r="C269" s="1071" t="s">
        <v>815</v>
      </c>
      <c r="D269" s="1087">
        <v>0</v>
      </c>
      <c r="E269" s="1087">
        <v>25200</v>
      </c>
      <c r="F269" s="1319">
        <v>0</v>
      </c>
      <c r="G269" s="1516">
        <v>0</v>
      </c>
      <c r="H269" s="1319">
        <v>0</v>
      </c>
      <c r="I269" s="1516">
        <v>675</v>
      </c>
      <c r="J269" s="1290">
        <v>0</v>
      </c>
      <c r="K269" s="1545">
        <v>0</v>
      </c>
      <c r="L269" s="1033">
        <v>0</v>
      </c>
      <c r="M269" s="59"/>
      <c r="N269" s="20"/>
      <c r="O269" s="20"/>
      <c r="P269" s="20"/>
      <c r="Q269" s="20"/>
      <c r="R269" s="16"/>
    </row>
    <row r="270" spans="1:18" s="33" customFormat="1" x14ac:dyDescent="0.2">
      <c r="A270" s="835">
        <v>637</v>
      </c>
      <c r="B270" s="1031" t="s">
        <v>489</v>
      </c>
      <c r="C270" s="835" t="s">
        <v>490</v>
      </c>
      <c r="D270" s="1033">
        <v>0</v>
      </c>
      <c r="E270" s="1087">
        <v>0</v>
      </c>
      <c r="F270" s="1319">
        <v>3828</v>
      </c>
      <c r="G270" s="1516"/>
      <c r="H270" s="1319"/>
      <c r="I270" s="1516"/>
      <c r="J270" s="1290"/>
      <c r="K270" s="1033"/>
      <c r="L270" s="1033"/>
      <c r="M270" s="59"/>
      <c r="N270" s="20"/>
      <c r="O270" s="20"/>
      <c r="P270" s="20"/>
      <c r="Q270" s="20"/>
      <c r="R270" s="16"/>
    </row>
    <row r="271" spans="1:18" s="33" customFormat="1" x14ac:dyDescent="0.2">
      <c r="A271" s="835">
        <v>642</v>
      </c>
      <c r="B271" s="1031" t="s">
        <v>103</v>
      </c>
      <c r="C271" s="835" t="s">
        <v>866</v>
      </c>
      <c r="D271" s="1028"/>
      <c r="E271" s="1033"/>
      <c r="F271" s="1516"/>
      <c r="G271" s="1516"/>
      <c r="H271" s="1516"/>
      <c r="I271" s="1516"/>
      <c r="J271" s="1303"/>
      <c r="K271" s="1033"/>
      <c r="L271" s="1033"/>
      <c r="M271" s="59"/>
      <c r="N271" s="20"/>
      <c r="O271" s="20"/>
      <c r="P271" s="20"/>
      <c r="Q271" s="20"/>
      <c r="R271" s="16"/>
    </row>
    <row r="272" spans="1:18" s="92" customFormat="1" ht="11.25" x14ac:dyDescent="0.2">
      <c r="A272" s="1834" t="s">
        <v>549</v>
      </c>
      <c r="B272" s="1834"/>
      <c r="C272" s="1834"/>
      <c r="D272" s="1836">
        <f>SUM(D273:D274)</f>
        <v>0</v>
      </c>
      <c r="E272" s="1836">
        <f t="shared" ref="E272:L272" si="39">SUM(E273)</f>
        <v>0</v>
      </c>
      <c r="F272" s="1836">
        <f t="shared" si="39"/>
        <v>0</v>
      </c>
      <c r="G272" s="1836">
        <f t="shared" si="39"/>
        <v>0</v>
      </c>
      <c r="H272" s="1836">
        <f t="shared" si="39"/>
        <v>0</v>
      </c>
      <c r="I272" s="1836">
        <f t="shared" si="39"/>
        <v>0</v>
      </c>
      <c r="J272" s="1603">
        <f t="shared" si="39"/>
        <v>0</v>
      </c>
      <c r="K272" s="1836">
        <f t="shared" si="39"/>
        <v>0</v>
      </c>
      <c r="L272" s="1836">
        <f t="shared" si="39"/>
        <v>0</v>
      </c>
      <c r="M272" s="508"/>
      <c r="N272" s="491"/>
      <c r="O272" s="491"/>
      <c r="P272" s="491"/>
      <c r="Q272" s="491"/>
    </row>
    <row r="273" spans="1:18" x14ac:dyDescent="0.2">
      <c r="A273" s="1031">
        <v>633</v>
      </c>
      <c r="B273" s="1031"/>
      <c r="C273" s="835" t="s">
        <v>319</v>
      </c>
      <c r="D273" s="1028">
        <v>0</v>
      </c>
      <c r="E273" s="1027">
        <v>0</v>
      </c>
      <c r="F273" s="1028">
        <v>0</v>
      </c>
      <c r="G273" s="1027">
        <v>0</v>
      </c>
      <c r="H273" s="1028">
        <v>0</v>
      </c>
      <c r="I273" s="1028">
        <v>0</v>
      </c>
      <c r="J273" s="1290">
        <v>0</v>
      </c>
      <c r="K273" s="1027">
        <v>0</v>
      </c>
      <c r="L273" s="1027">
        <v>0</v>
      </c>
      <c r="M273" s="58"/>
      <c r="O273" s="50"/>
      <c r="P273" s="50"/>
      <c r="Q273" s="50"/>
    </row>
    <row r="274" spans="1:18" x14ac:dyDescent="0.2">
      <c r="A274" s="1031">
        <v>637</v>
      </c>
      <c r="B274" s="1031" t="s">
        <v>120</v>
      </c>
      <c r="C274" s="835" t="s">
        <v>320</v>
      </c>
      <c r="D274" s="1028">
        <v>0</v>
      </c>
      <c r="E274" s="1027">
        <v>0</v>
      </c>
      <c r="F274" s="1028">
        <v>0</v>
      </c>
      <c r="G274" s="1027">
        <v>0</v>
      </c>
      <c r="H274" s="1028">
        <v>0</v>
      </c>
      <c r="I274" s="1028">
        <v>0</v>
      </c>
      <c r="J274" s="1290">
        <v>0</v>
      </c>
      <c r="K274" s="1027">
        <v>0</v>
      </c>
      <c r="L274" s="1027">
        <v>0</v>
      </c>
      <c r="M274" s="490"/>
      <c r="O274" s="509"/>
      <c r="P274" s="525"/>
      <c r="Q274" s="50"/>
    </row>
    <row r="275" spans="1:18" x14ac:dyDescent="0.2">
      <c r="A275" s="1546" t="s">
        <v>550</v>
      </c>
      <c r="B275" s="1063"/>
      <c r="C275" s="1548" t="s">
        <v>317</v>
      </c>
      <c r="D275" s="1055">
        <f>SUM(D238+D256+D272)</f>
        <v>158405</v>
      </c>
      <c r="E275" s="1549">
        <f>SUM(E238,E256,E272)</f>
        <v>200512</v>
      </c>
      <c r="F275" s="1549">
        <f>SUM(F238+F256+F272)</f>
        <v>154234</v>
      </c>
      <c r="G275" s="1550">
        <f t="shared" ref="G275:L275" si="40">G238+G256+G272</f>
        <v>139255</v>
      </c>
      <c r="H275" s="1550">
        <f t="shared" si="40"/>
        <v>124255</v>
      </c>
      <c r="I275" s="1550">
        <f t="shared" si="40"/>
        <v>145249</v>
      </c>
      <c r="J275" s="1301">
        <f t="shared" si="40"/>
        <v>137000</v>
      </c>
      <c r="K275" s="1550">
        <f t="shared" si="40"/>
        <v>137900</v>
      </c>
      <c r="L275" s="1550">
        <f t="shared" si="40"/>
        <v>137900</v>
      </c>
      <c r="M275" s="65"/>
      <c r="N275" s="526"/>
      <c r="O275" s="469"/>
      <c r="P275" s="469"/>
      <c r="Q275" s="469"/>
    </row>
    <row r="276" spans="1:18" hidden="1" x14ac:dyDescent="0.2">
      <c r="A276" s="504"/>
      <c r="B276" s="50"/>
      <c r="C276" s="88"/>
      <c r="D276" s="88"/>
      <c r="E276" s="88"/>
      <c r="F276" s="88"/>
      <c r="G276" s="505"/>
      <c r="H276" s="505"/>
      <c r="I276" s="505"/>
      <c r="J276" s="1284"/>
      <c r="K276" s="505"/>
      <c r="L276" s="506"/>
      <c r="M276" s="90"/>
    </row>
    <row r="277" spans="1:18" hidden="1" x14ac:dyDescent="0.2">
      <c r="A277" s="504"/>
      <c r="B277" s="50"/>
      <c r="C277" s="88"/>
      <c r="D277" s="88"/>
      <c r="E277" s="88"/>
      <c r="F277" s="88"/>
      <c r="G277" s="505"/>
      <c r="H277" s="505"/>
      <c r="I277" s="505"/>
      <c r="J277" s="1284"/>
      <c r="K277" s="505"/>
      <c r="L277" s="506"/>
      <c r="M277" s="90"/>
    </row>
    <row r="278" spans="1:18" x14ac:dyDescent="0.2">
      <c r="A278" s="504"/>
      <c r="B278" s="50"/>
      <c r="C278" s="88"/>
      <c r="D278" s="88"/>
      <c r="E278" s="88"/>
      <c r="F278" s="88"/>
      <c r="G278" s="505"/>
      <c r="H278" s="505"/>
      <c r="I278" s="505"/>
      <c r="J278" s="1238"/>
      <c r="K278" s="505"/>
      <c r="L278" s="506"/>
      <c r="M278" s="90"/>
    </row>
    <row r="279" spans="1:18" x14ac:dyDescent="0.2">
      <c r="A279" s="504"/>
      <c r="B279" s="50"/>
      <c r="C279" s="88"/>
      <c r="D279" s="88"/>
      <c r="E279" s="88"/>
      <c r="F279" s="88"/>
      <c r="G279" s="505"/>
      <c r="H279" s="505"/>
      <c r="I279" s="505"/>
      <c r="J279" s="1238"/>
      <c r="K279" s="505"/>
      <c r="L279" s="506"/>
      <c r="M279" s="90"/>
    </row>
    <row r="280" spans="1:18" x14ac:dyDescent="0.2">
      <c r="A280" s="504"/>
      <c r="B280" s="50"/>
      <c r="C280" s="88"/>
      <c r="D280" s="88"/>
      <c r="E280" s="88"/>
      <c r="F280" s="88"/>
      <c r="G280" s="505"/>
      <c r="H280" s="2074" t="s">
        <v>551</v>
      </c>
      <c r="I280" s="2074"/>
      <c r="J280" s="2074"/>
      <c r="K280" s="2074"/>
      <c r="L280" s="2074"/>
      <c r="M280" s="86"/>
      <c r="N280" s="86"/>
      <c r="O280" s="86"/>
      <c r="P280" s="86"/>
      <c r="Q280" s="86"/>
    </row>
    <row r="281" spans="1:18" ht="13.5" hidden="1" thickBot="1" x14ac:dyDescent="0.25">
      <c r="A281" s="504"/>
      <c r="B281" s="50"/>
      <c r="C281" s="88"/>
      <c r="D281" s="88"/>
      <c r="E281" s="88"/>
      <c r="F281" s="88"/>
      <c r="G281" s="505"/>
      <c r="H281" s="505"/>
      <c r="I281" s="505"/>
      <c r="J281" s="1284"/>
      <c r="K281" s="505"/>
      <c r="L281" s="506"/>
      <c r="M281" s="90"/>
    </row>
    <row r="282" spans="1:18" s="498" customFormat="1" ht="25.5" customHeight="1" x14ac:dyDescent="0.2">
      <c r="A282" s="1537" t="s">
        <v>431</v>
      </c>
      <c r="B282" s="1538"/>
      <c r="C282" s="1539"/>
      <c r="D282" s="1539">
        <v>2018</v>
      </c>
      <c r="E282" s="1540" t="s">
        <v>909</v>
      </c>
      <c r="F282" s="1540">
        <v>2021</v>
      </c>
      <c r="G282" s="1541">
        <v>2022</v>
      </c>
      <c r="H282" s="1818">
        <v>2023</v>
      </c>
      <c r="I282" s="1542" t="s">
        <v>981</v>
      </c>
      <c r="J282" s="1543">
        <v>2024</v>
      </c>
      <c r="K282" s="1541">
        <v>2025</v>
      </c>
      <c r="L282" s="1541">
        <v>2026</v>
      </c>
      <c r="M282" s="495"/>
      <c r="N282" s="496"/>
      <c r="O282" s="497"/>
      <c r="P282" s="465"/>
      <c r="Q282" s="466"/>
    </row>
    <row r="283" spans="1:18" s="92" customFormat="1" ht="11.25" x14ac:dyDescent="0.2">
      <c r="A283" s="1834" t="s">
        <v>552</v>
      </c>
      <c r="B283" s="1834"/>
      <c r="C283" s="1834"/>
      <c r="D283" s="1836">
        <f>SUM(D284:D287)</f>
        <v>1000</v>
      </c>
      <c r="E283" s="1836">
        <f>E284+E285+E286+E287</f>
        <v>2124</v>
      </c>
      <c r="F283" s="1836">
        <f>SUM(F284:F287)</f>
        <v>850</v>
      </c>
      <c r="G283" s="1836">
        <f t="shared" ref="G283:L283" si="41">G284+G285+G286+G287</f>
        <v>1000</v>
      </c>
      <c r="H283" s="1836">
        <f t="shared" si="41"/>
        <v>1000</v>
      </c>
      <c r="I283" s="1836">
        <f t="shared" si="41"/>
        <v>1000</v>
      </c>
      <c r="J283" s="1544">
        <f t="shared" si="41"/>
        <v>1000</v>
      </c>
      <c r="K283" s="1836">
        <f t="shared" si="41"/>
        <v>1000</v>
      </c>
      <c r="L283" s="1836">
        <f t="shared" si="41"/>
        <v>1000</v>
      </c>
      <c r="M283" s="508"/>
      <c r="N283" s="491"/>
      <c r="O283" s="469"/>
      <c r="P283" s="469"/>
      <c r="Q283" s="469"/>
      <c r="R283" s="527"/>
    </row>
    <row r="284" spans="1:18" s="20" customFormat="1" x14ac:dyDescent="0.2">
      <c r="A284" s="1031">
        <v>637</v>
      </c>
      <c r="B284" s="1031" t="s">
        <v>489</v>
      </c>
      <c r="C284" s="1265" t="s">
        <v>553</v>
      </c>
      <c r="D284" s="1027">
        <v>0</v>
      </c>
      <c r="E284" s="1027">
        <v>0</v>
      </c>
      <c r="F284" s="1248">
        <v>0</v>
      </c>
      <c r="G284" s="1027">
        <v>0</v>
      </c>
      <c r="H284" s="1028">
        <v>0</v>
      </c>
      <c r="I284" s="1319">
        <v>0</v>
      </c>
      <c r="J284" s="1290">
        <v>0</v>
      </c>
      <c r="K284" s="1545">
        <v>0</v>
      </c>
      <c r="L284" s="1027">
        <v>0</v>
      </c>
      <c r="M284" s="58"/>
      <c r="O284" s="50"/>
      <c r="P284" s="50"/>
      <c r="Q284" s="50"/>
      <c r="R284" s="16"/>
    </row>
    <row r="285" spans="1:18" s="33" customFormat="1" x14ac:dyDescent="0.2">
      <c r="A285" s="1031">
        <v>632</v>
      </c>
      <c r="B285" s="1031"/>
      <c r="C285" s="835" t="s">
        <v>197</v>
      </c>
      <c r="D285" s="1027">
        <v>0</v>
      </c>
      <c r="E285" s="1027">
        <v>0</v>
      </c>
      <c r="F285" s="1248">
        <v>0</v>
      </c>
      <c r="G285" s="1027">
        <v>0</v>
      </c>
      <c r="H285" s="1028">
        <v>0</v>
      </c>
      <c r="I285" s="1319">
        <v>0</v>
      </c>
      <c r="J285" s="1290">
        <v>0</v>
      </c>
      <c r="K285" s="1545">
        <v>0</v>
      </c>
      <c r="L285" s="1027">
        <v>0</v>
      </c>
      <c r="M285" s="58"/>
      <c r="N285" s="20"/>
      <c r="O285" s="50"/>
      <c r="P285" s="50"/>
      <c r="Q285" s="50"/>
      <c r="R285" s="16"/>
    </row>
    <row r="286" spans="1:18" x14ac:dyDescent="0.2">
      <c r="A286" s="1031">
        <v>637</v>
      </c>
      <c r="B286" s="1031"/>
      <c r="C286" s="835" t="s">
        <v>207</v>
      </c>
      <c r="D286" s="1027">
        <v>1000</v>
      </c>
      <c r="E286" s="1027">
        <v>0</v>
      </c>
      <c r="F286" s="1248">
        <v>850</v>
      </c>
      <c r="G286" s="1027">
        <v>1000</v>
      </c>
      <c r="H286" s="1028">
        <v>1000</v>
      </c>
      <c r="I286" s="1319">
        <v>1000</v>
      </c>
      <c r="J286" s="1290">
        <v>1000</v>
      </c>
      <c r="K286" s="1545">
        <v>1000</v>
      </c>
      <c r="L286" s="1027">
        <v>1000</v>
      </c>
      <c r="M286" s="58"/>
      <c r="O286" s="58"/>
      <c r="P286" s="50"/>
      <c r="Q286" s="528"/>
    </row>
    <row r="287" spans="1:18" x14ac:dyDescent="0.2">
      <c r="A287" s="1031">
        <v>637</v>
      </c>
      <c r="B287" s="1031"/>
      <c r="C287" s="835" t="s">
        <v>326</v>
      </c>
      <c r="D287" s="1027">
        <v>0</v>
      </c>
      <c r="E287" s="1027">
        <v>2124</v>
      </c>
      <c r="F287" s="1248">
        <v>0</v>
      </c>
      <c r="G287" s="1027">
        <v>0</v>
      </c>
      <c r="H287" s="1028">
        <v>0</v>
      </c>
      <c r="I287" s="1319">
        <v>0</v>
      </c>
      <c r="J287" s="1290">
        <v>0</v>
      </c>
      <c r="K287" s="1545">
        <v>0</v>
      </c>
      <c r="L287" s="1027">
        <v>0</v>
      </c>
      <c r="M287" s="529"/>
      <c r="N287" s="530"/>
      <c r="O287" s="529"/>
      <c r="P287" s="467"/>
      <c r="Q287" s="50"/>
      <c r="R287" s="510"/>
    </row>
    <row r="288" spans="1:18" x14ac:dyDescent="0.2">
      <c r="A288" s="523"/>
      <c r="B288" s="92"/>
      <c r="C288" s="501"/>
      <c r="D288" s="671"/>
      <c r="E288" s="670"/>
      <c r="F288" s="531"/>
      <c r="G288" s="670"/>
      <c r="H288" s="531"/>
      <c r="I288" s="531"/>
      <c r="J288" s="1536"/>
      <c r="K288" s="531"/>
      <c r="L288" s="532"/>
      <c r="M288" s="59"/>
    </row>
    <row r="289" spans="1:18" s="92" customFormat="1" ht="11.25" x14ac:dyDescent="0.2">
      <c r="A289" s="1834" t="s">
        <v>554</v>
      </c>
      <c r="B289" s="1834"/>
      <c r="C289" s="1834"/>
      <c r="D289" s="1836">
        <f>SUM(D290:D293)</f>
        <v>17350</v>
      </c>
      <c r="E289" s="1836">
        <f t="shared" ref="E289:L289" si="42">SUM(E290,E291,E292,E293)</f>
        <v>15876</v>
      </c>
      <c r="F289" s="1836">
        <f t="shared" si="42"/>
        <v>19924</v>
      </c>
      <c r="G289" s="1836">
        <f t="shared" si="42"/>
        <v>31500</v>
      </c>
      <c r="H289" s="1836">
        <f t="shared" si="42"/>
        <v>25500</v>
      </c>
      <c r="I289" s="1836">
        <f>SUM(I290,I291,I292,I293)</f>
        <v>30440</v>
      </c>
      <c r="J289" s="1544">
        <f>SUM(J290,J291,J292,J293)</f>
        <v>28500</v>
      </c>
      <c r="K289" s="1836">
        <f t="shared" si="42"/>
        <v>28500</v>
      </c>
      <c r="L289" s="1836">
        <f t="shared" si="42"/>
        <v>28500</v>
      </c>
      <c r="M289" s="508"/>
      <c r="N289" s="491"/>
      <c r="O289" s="469"/>
      <c r="P289" s="469"/>
      <c r="Q289" s="469"/>
    </row>
    <row r="290" spans="1:18" s="20" customFormat="1" x14ac:dyDescent="0.2">
      <c r="A290" s="835">
        <v>632</v>
      </c>
      <c r="B290" s="1031"/>
      <c r="C290" s="835" t="s">
        <v>197</v>
      </c>
      <c r="D290" s="1028">
        <v>12650</v>
      </c>
      <c r="E290" s="1028">
        <v>12995</v>
      </c>
      <c r="F290" s="1319">
        <v>16000</v>
      </c>
      <c r="G290" s="1319">
        <v>22000</v>
      </c>
      <c r="H290" s="1319">
        <v>22000</v>
      </c>
      <c r="I290" s="1319">
        <v>26500</v>
      </c>
      <c r="J290" s="1290">
        <v>25000</v>
      </c>
      <c r="K290" s="1545">
        <v>25000</v>
      </c>
      <c r="L290" s="1027">
        <v>25000</v>
      </c>
      <c r="M290" s="64"/>
      <c r="O290" s="58"/>
      <c r="P290" s="50"/>
      <c r="Q290" s="58"/>
      <c r="R290" s="16"/>
    </row>
    <row r="291" spans="1:18" s="33" customFormat="1" x14ac:dyDescent="0.2">
      <c r="A291" s="835">
        <v>633</v>
      </c>
      <c r="B291" s="1031"/>
      <c r="C291" s="835" t="s">
        <v>199</v>
      </c>
      <c r="D291" s="1028">
        <v>2800</v>
      </c>
      <c r="E291" s="1028">
        <v>2184</v>
      </c>
      <c r="F291" s="1319">
        <v>2800</v>
      </c>
      <c r="G291" s="1319">
        <v>7000</v>
      </c>
      <c r="H291" s="1319">
        <v>1000</v>
      </c>
      <c r="I291" s="1319">
        <v>1600</v>
      </c>
      <c r="J291" s="1290">
        <v>1000</v>
      </c>
      <c r="K291" s="1545">
        <v>1000</v>
      </c>
      <c r="L291" s="1027">
        <v>1000</v>
      </c>
      <c r="M291" s="64"/>
      <c r="N291" s="20"/>
      <c r="O291" s="50"/>
      <c r="P291" s="50"/>
      <c r="Q291" s="58"/>
      <c r="R291" s="16"/>
    </row>
    <row r="292" spans="1:18" x14ac:dyDescent="0.2">
      <c r="A292" s="835">
        <v>635</v>
      </c>
      <c r="B292" s="1031"/>
      <c r="C292" s="835" t="s">
        <v>293</v>
      </c>
      <c r="D292" s="1028">
        <v>500</v>
      </c>
      <c r="E292" s="1028">
        <v>0</v>
      </c>
      <c r="F292" s="1319">
        <v>500</v>
      </c>
      <c r="G292" s="1319">
        <v>500</v>
      </c>
      <c r="H292" s="1319">
        <v>500</v>
      </c>
      <c r="I292" s="1319">
        <v>0</v>
      </c>
      <c r="J292" s="1290">
        <v>500</v>
      </c>
      <c r="K292" s="1545">
        <v>500</v>
      </c>
      <c r="L292" s="1027">
        <v>500</v>
      </c>
      <c r="M292" s="64"/>
      <c r="O292" s="50"/>
      <c r="P292" s="50"/>
      <c r="Q292" s="58"/>
    </row>
    <row r="293" spans="1:18" x14ac:dyDescent="0.2">
      <c r="A293" s="835">
        <v>637</v>
      </c>
      <c r="B293" s="1031"/>
      <c r="C293" s="835" t="s">
        <v>207</v>
      </c>
      <c r="D293" s="1028">
        <v>1400</v>
      </c>
      <c r="E293" s="1028">
        <v>697</v>
      </c>
      <c r="F293" s="1319">
        <v>624</v>
      </c>
      <c r="G293" s="1319">
        <v>2000</v>
      </c>
      <c r="H293" s="1319">
        <v>2000</v>
      </c>
      <c r="I293" s="1319">
        <v>2340</v>
      </c>
      <c r="J293" s="1290">
        <v>2000</v>
      </c>
      <c r="K293" s="1545">
        <v>2000</v>
      </c>
      <c r="L293" s="1027">
        <v>2000</v>
      </c>
      <c r="M293" s="64"/>
      <c r="O293" s="58"/>
      <c r="P293" s="50"/>
      <c r="Q293" s="58"/>
    </row>
    <row r="294" spans="1:18" x14ac:dyDescent="0.2">
      <c r="A294" s="1546" t="s">
        <v>555</v>
      </c>
      <c r="B294" s="1547"/>
      <c r="C294" s="1548" t="s">
        <v>442</v>
      </c>
      <c r="D294" s="1055">
        <f>D283+D289</f>
        <v>18350</v>
      </c>
      <c r="E294" s="1549">
        <f>SUM(E283,E289)</f>
        <v>18000</v>
      </c>
      <c r="F294" s="1549">
        <f t="shared" ref="F294:L294" si="43">F283+F289</f>
        <v>20774</v>
      </c>
      <c r="G294" s="1550">
        <f t="shared" si="43"/>
        <v>32500</v>
      </c>
      <c r="H294" s="1550">
        <f t="shared" si="43"/>
        <v>26500</v>
      </c>
      <c r="I294" s="1550">
        <f t="shared" si="43"/>
        <v>31440</v>
      </c>
      <c r="J294" s="1301">
        <f>J283+J289</f>
        <v>29500</v>
      </c>
      <c r="K294" s="1550">
        <f t="shared" si="43"/>
        <v>29500</v>
      </c>
      <c r="L294" s="1550">
        <f t="shared" si="43"/>
        <v>29500</v>
      </c>
      <c r="M294" s="65"/>
      <c r="N294" s="491"/>
      <c r="O294" s="469"/>
      <c r="P294" s="469"/>
      <c r="Q294" s="469"/>
    </row>
    <row r="295" spans="1:18" hidden="1" x14ac:dyDescent="0.2">
      <c r="A295" s="504"/>
      <c r="B295" s="50"/>
      <c r="C295" s="88"/>
      <c r="D295" s="88"/>
      <c r="E295" s="88"/>
      <c r="F295" s="88"/>
      <c r="G295" s="505"/>
      <c r="H295" s="505"/>
      <c r="I295" s="505"/>
      <c r="J295" s="1284"/>
      <c r="K295" s="505"/>
      <c r="L295" s="506"/>
      <c r="M295" s="90"/>
    </row>
    <row r="296" spans="1:18" x14ac:dyDescent="0.2">
      <c r="A296" s="533"/>
      <c r="B296" s="533"/>
      <c r="C296" s="533"/>
      <c r="D296" s="533"/>
      <c r="E296" s="533"/>
      <c r="F296" s="533"/>
      <c r="G296" s="534"/>
      <c r="H296" s="534"/>
      <c r="I296" s="534"/>
      <c r="J296" s="1315"/>
      <c r="K296" s="534"/>
      <c r="L296" s="534"/>
    </row>
    <row r="297" spans="1:18" x14ac:dyDescent="0.2">
      <c r="A297" s="533"/>
      <c r="B297" s="533"/>
      <c r="C297" s="533"/>
      <c r="D297" s="533"/>
      <c r="E297" s="533"/>
      <c r="F297" s="533"/>
      <c r="G297" s="534"/>
      <c r="H297" s="86"/>
      <c r="I297" s="86"/>
      <c r="J297" s="1315"/>
      <c r="K297" s="2074" t="s">
        <v>556</v>
      </c>
      <c r="L297" s="2074"/>
      <c r="M297" s="86"/>
      <c r="N297" s="86"/>
      <c r="O297" s="86"/>
      <c r="P297" s="86"/>
      <c r="Q297" s="86"/>
    </row>
    <row r="298" spans="1:18" ht="13.5" hidden="1" thickBot="1" x14ac:dyDescent="0.25">
      <c r="A298" s="533"/>
      <c r="B298" s="533"/>
      <c r="C298" s="533"/>
      <c r="D298" s="533"/>
      <c r="E298" s="533"/>
      <c r="F298" s="533"/>
      <c r="G298" s="534"/>
      <c r="H298" s="534"/>
      <c r="I298" s="534"/>
      <c r="J298" s="1286"/>
      <c r="K298" s="534"/>
      <c r="L298" s="534"/>
    </row>
    <row r="299" spans="1:18" ht="13.5" hidden="1" thickBot="1" x14ac:dyDescent="0.25">
      <c r="A299" s="20"/>
      <c r="B299" s="20"/>
      <c r="C299" s="20"/>
      <c r="D299" s="20"/>
      <c r="E299" s="20"/>
      <c r="F299" s="20"/>
      <c r="G299" s="74"/>
      <c r="H299" s="535"/>
      <c r="I299" s="535"/>
      <c r="J299" s="1285"/>
      <c r="K299" s="536"/>
      <c r="L299" s="536"/>
    </row>
    <row r="300" spans="1:18" s="498" customFormat="1" x14ac:dyDescent="0.2">
      <c r="A300" s="1537" t="s">
        <v>431</v>
      </c>
      <c r="B300" s="1538"/>
      <c r="C300" s="1539"/>
      <c r="D300" s="1539">
        <v>2018</v>
      </c>
      <c r="E300" s="1540" t="s">
        <v>909</v>
      </c>
      <c r="F300" s="1540">
        <v>2021</v>
      </c>
      <c r="G300" s="1541">
        <v>2022</v>
      </c>
      <c r="H300" s="1818">
        <v>2023</v>
      </c>
      <c r="I300" s="1542" t="s">
        <v>981</v>
      </c>
      <c r="J300" s="1543">
        <v>2024</v>
      </c>
      <c r="K300" s="1541">
        <v>2025</v>
      </c>
      <c r="L300" s="1541">
        <v>2026</v>
      </c>
      <c r="M300" s="495"/>
      <c r="N300" s="496"/>
      <c r="O300" s="497"/>
      <c r="P300" s="465"/>
      <c r="Q300" s="466"/>
    </row>
    <row r="301" spans="1:18" s="501" customFormat="1" ht="11.25" x14ac:dyDescent="0.2">
      <c r="A301" s="1834" t="s">
        <v>557</v>
      </c>
      <c r="B301" s="1834"/>
      <c r="C301" s="1834"/>
      <c r="D301" s="1835">
        <f>SUM(D302:D310)-D303</f>
        <v>44434</v>
      </c>
      <c r="E301" s="1836">
        <f>SUM(E302,E304,E305,E306,E309,E310)+E311</f>
        <v>39387</v>
      </c>
      <c r="F301" s="1836">
        <f>SUM(F302:F310)-F303+F311</f>
        <v>65212.15</v>
      </c>
      <c r="G301" s="1836">
        <f>SUM(G302,G304,G305,G306,G309,G310)+G308</f>
        <v>56150</v>
      </c>
      <c r="H301" s="1836">
        <f>SUM(H302,H304,H305,H306,H309,H310)</f>
        <v>45000</v>
      </c>
      <c r="I301" s="1836">
        <f>SUM(I302:I311)</f>
        <v>45332</v>
      </c>
      <c r="J301" s="1544">
        <f>SUM(J302,J304,J305,J306,J309,J310)+J307+J308+J311</f>
        <v>48500</v>
      </c>
      <c r="K301" s="1836">
        <f>SUM(K302,K304,K305,K306,K309,K310)</f>
        <v>51000</v>
      </c>
      <c r="L301" s="1836">
        <f>SUM(L302,L304,L305,L306,L309,L310)</f>
        <v>51000</v>
      </c>
      <c r="M301" s="508"/>
      <c r="N301" s="491"/>
      <c r="O301" s="469"/>
      <c r="P301" s="469"/>
      <c r="Q301" s="469"/>
      <c r="R301" s="92"/>
    </row>
    <row r="302" spans="1:18" s="20" customFormat="1" x14ac:dyDescent="0.2">
      <c r="A302" s="835">
        <v>610</v>
      </c>
      <c r="B302" s="1031"/>
      <c r="C302" s="835" t="s">
        <v>558</v>
      </c>
      <c r="D302" s="1028">
        <v>10068</v>
      </c>
      <c r="E302" s="1028">
        <v>12195</v>
      </c>
      <c r="F302" s="1319">
        <v>11500</v>
      </c>
      <c r="G302" s="1028">
        <v>14400</v>
      </c>
      <c r="H302" s="1028">
        <v>15000</v>
      </c>
      <c r="I302" s="1028">
        <v>15750</v>
      </c>
      <c r="J302" s="1290">
        <v>15750</v>
      </c>
      <c r="K302" s="1545">
        <v>16000</v>
      </c>
      <c r="L302" s="1027">
        <v>16000</v>
      </c>
      <c r="M302" s="58"/>
      <c r="O302" s="58"/>
      <c r="P302" s="50"/>
      <c r="Q302" s="50"/>
      <c r="R302" s="16"/>
    </row>
    <row r="303" spans="1:18" s="20" customFormat="1" x14ac:dyDescent="0.2">
      <c r="A303" s="1604">
        <v>610</v>
      </c>
      <c r="B303" s="1031"/>
      <c r="C303" s="1604" t="s">
        <v>748</v>
      </c>
      <c r="D303" s="1190">
        <v>1477</v>
      </c>
      <c r="E303" s="1273">
        <v>0</v>
      </c>
      <c r="F303" s="1319">
        <v>0</v>
      </c>
      <c r="G303" s="1273">
        <v>0</v>
      </c>
      <c r="H303" s="1273">
        <v>0</v>
      </c>
      <c r="I303" s="1273">
        <v>0</v>
      </c>
      <c r="J303" s="1290">
        <v>0</v>
      </c>
      <c r="K303" s="1545">
        <v>0</v>
      </c>
      <c r="L303" s="1027">
        <v>0</v>
      </c>
      <c r="M303" s="58"/>
      <c r="O303" s="58"/>
      <c r="P303" s="50"/>
      <c r="Q303" s="50"/>
      <c r="R303" s="16"/>
    </row>
    <row r="304" spans="1:18" s="33" customFormat="1" x14ac:dyDescent="0.2">
      <c r="A304" s="835">
        <v>620</v>
      </c>
      <c r="B304" s="1031"/>
      <c r="C304" s="835" t="s">
        <v>193</v>
      </c>
      <c r="D304" s="1028">
        <v>3216</v>
      </c>
      <c r="E304" s="1028">
        <v>4003</v>
      </c>
      <c r="F304" s="1319">
        <v>4100</v>
      </c>
      <c r="G304" s="1028">
        <v>5100</v>
      </c>
      <c r="H304" s="1028">
        <v>5500</v>
      </c>
      <c r="I304" s="1028">
        <v>5250</v>
      </c>
      <c r="J304" s="1290">
        <v>5250</v>
      </c>
      <c r="K304" s="1545">
        <v>5500</v>
      </c>
      <c r="L304" s="1027">
        <v>5500</v>
      </c>
      <c r="M304" s="58"/>
      <c r="N304" s="20"/>
      <c r="O304" s="50"/>
      <c r="P304" s="50"/>
      <c r="Q304" s="50"/>
      <c r="R304" s="16"/>
    </row>
    <row r="305" spans="1:17" x14ac:dyDescent="0.2">
      <c r="A305" s="835">
        <v>632</v>
      </c>
      <c r="B305" s="1031"/>
      <c r="C305" s="835" t="s">
        <v>197</v>
      </c>
      <c r="D305" s="1028">
        <v>15600</v>
      </c>
      <c r="E305" s="1028">
        <v>18296</v>
      </c>
      <c r="F305" s="1319">
        <v>14700</v>
      </c>
      <c r="G305" s="1028">
        <v>32450</v>
      </c>
      <c r="H305" s="1028">
        <v>20000</v>
      </c>
      <c r="I305" s="1028">
        <v>20000</v>
      </c>
      <c r="J305" s="1290">
        <v>23000</v>
      </c>
      <c r="K305" s="1545">
        <v>25000</v>
      </c>
      <c r="L305" s="1027">
        <v>25000</v>
      </c>
      <c r="M305" s="58"/>
      <c r="O305" s="58"/>
      <c r="P305" s="50"/>
      <c r="Q305" s="58"/>
    </row>
    <row r="306" spans="1:17" x14ac:dyDescent="0.2">
      <c r="A306" s="835">
        <v>633</v>
      </c>
      <c r="B306" s="1031"/>
      <c r="C306" s="835" t="s">
        <v>199</v>
      </c>
      <c r="D306" s="1028">
        <v>2000</v>
      </c>
      <c r="E306" s="1028">
        <v>1907</v>
      </c>
      <c r="F306" s="1319">
        <v>4010</v>
      </c>
      <c r="G306" s="1028">
        <v>1000</v>
      </c>
      <c r="H306" s="1028">
        <v>1000</v>
      </c>
      <c r="I306" s="1028">
        <v>1000</v>
      </c>
      <c r="J306" s="1290">
        <v>1000</v>
      </c>
      <c r="K306" s="1545">
        <v>1000</v>
      </c>
      <c r="L306" s="1027">
        <v>1000</v>
      </c>
      <c r="M306" s="58"/>
      <c r="O306" s="50"/>
      <c r="P306" s="50"/>
      <c r="Q306" s="50"/>
    </row>
    <row r="307" spans="1:17" customFormat="1" x14ac:dyDescent="0.2">
      <c r="A307" s="1307"/>
      <c r="B307" s="1307"/>
      <c r="C307" s="1308" t="s">
        <v>881</v>
      </c>
      <c r="D307" s="1270"/>
      <c r="E307" s="1270"/>
      <c r="F307" s="1319">
        <v>5850.15</v>
      </c>
      <c r="G307" s="1605"/>
      <c r="H307" s="1605"/>
      <c r="I307" s="1605"/>
      <c r="J307" s="1290">
        <v>0</v>
      </c>
      <c r="K307" s="1307"/>
      <c r="L307" s="1307"/>
    </row>
    <row r="308" spans="1:17" x14ac:dyDescent="0.2">
      <c r="A308" s="835"/>
      <c r="B308" s="1031"/>
      <c r="C308" s="835" t="s">
        <v>882</v>
      </c>
      <c r="D308" s="1028"/>
      <c r="E308" s="1028"/>
      <c r="F308" s="1319">
        <v>7805</v>
      </c>
      <c r="G308" s="1028"/>
      <c r="H308" s="1028"/>
      <c r="I308" s="1028">
        <v>1832</v>
      </c>
      <c r="J308" s="1290">
        <v>0</v>
      </c>
      <c r="K308" s="1545"/>
      <c r="L308" s="1027"/>
      <c r="M308" s="58"/>
      <c r="O308" s="50"/>
      <c r="P308" s="50"/>
      <c r="Q308" s="50"/>
    </row>
    <row r="309" spans="1:17" x14ac:dyDescent="0.2">
      <c r="A309" s="835">
        <v>635</v>
      </c>
      <c r="B309" s="1031"/>
      <c r="C309" s="835" t="s">
        <v>293</v>
      </c>
      <c r="D309" s="1028">
        <v>1550</v>
      </c>
      <c r="E309" s="1028">
        <v>236</v>
      </c>
      <c r="F309" s="1319">
        <v>2200</v>
      </c>
      <c r="G309" s="1028">
        <v>1200</v>
      </c>
      <c r="H309" s="1028">
        <v>500</v>
      </c>
      <c r="I309" s="1028">
        <v>500</v>
      </c>
      <c r="J309" s="1290">
        <v>500</v>
      </c>
      <c r="K309" s="1545">
        <v>500</v>
      </c>
      <c r="L309" s="1027">
        <v>500</v>
      </c>
      <c r="M309" s="58"/>
      <c r="O309" s="50"/>
      <c r="P309" s="50"/>
      <c r="Q309" s="50"/>
    </row>
    <row r="310" spans="1:17" x14ac:dyDescent="0.2">
      <c r="A310" s="835">
        <v>637</v>
      </c>
      <c r="B310" s="1031"/>
      <c r="C310" s="835" t="s">
        <v>207</v>
      </c>
      <c r="D310" s="1028">
        <v>12000</v>
      </c>
      <c r="E310" s="1028">
        <v>2750</v>
      </c>
      <c r="F310" s="1319">
        <v>13925</v>
      </c>
      <c r="G310" s="1028">
        <v>2000</v>
      </c>
      <c r="H310" s="1028">
        <v>3000</v>
      </c>
      <c r="I310" s="1028">
        <v>1000</v>
      </c>
      <c r="J310" s="1290">
        <v>3000</v>
      </c>
      <c r="K310" s="1545">
        <v>3000</v>
      </c>
      <c r="L310" s="1027">
        <v>3000</v>
      </c>
      <c r="M310" s="58"/>
      <c r="O310" s="50"/>
      <c r="P310" s="50"/>
      <c r="Q310" s="50"/>
    </row>
    <row r="311" spans="1:17" customFormat="1" x14ac:dyDescent="0.2">
      <c r="A311" s="1307"/>
      <c r="B311" s="1307"/>
      <c r="C311" s="1308" t="s">
        <v>878</v>
      </c>
      <c r="D311" s="1307"/>
      <c r="E311" s="1307"/>
      <c r="F311" s="1319">
        <v>1122</v>
      </c>
      <c r="G311" s="1307"/>
      <c r="H311" s="1307"/>
      <c r="I311" s="1307"/>
      <c r="J311" s="1290"/>
      <c r="K311" s="1307"/>
      <c r="L311" s="1307"/>
    </row>
    <row r="312" spans="1:17" x14ac:dyDescent="0.2">
      <c r="A312" s="1546" t="s">
        <v>559</v>
      </c>
      <c r="B312" s="1547"/>
      <c r="C312" s="1548" t="s">
        <v>560</v>
      </c>
      <c r="D312" s="1550">
        <f>D301</f>
        <v>44434</v>
      </c>
      <c r="E312" s="1549">
        <f>SUM(E301)</f>
        <v>39387</v>
      </c>
      <c r="F312" s="1549">
        <f>F301</f>
        <v>65212.15</v>
      </c>
      <c r="G312" s="1549">
        <f t="shared" ref="G312:L312" si="44">SUM(G301)</f>
        <v>56150</v>
      </c>
      <c r="H312" s="1549">
        <f t="shared" si="44"/>
        <v>45000</v>
      </c>
      <c r="I312" s="1549">
        <f t="shared" si="44"/>
        <v>45332</v>
      </c>
      <c r="J312" s="1300">
        <f t="shared" si="44"/>
        <v>48500</v>
      </c>
      <c r="K312" s="1549">
        <f t="shared" si="44"/>
        <v>51000</v>
      </c>
      <c r="L312" s="1549">
        <f t="shared" si="44"/>
        <v>51000</v>
      </c>
      <c r="M312" s="65"/>
      <c r="N312" s="491"/>
      <c r="O312" s="469"/>
      <c r="P312" s="469"/>
      <c r="Q312" s="469"/>
    </row>
    <row r="313" spans="1:17" x14ac:dyDescent="0.2">
      <c r="A313" s="504"/>
      <c r="B313" s="50"/>
      <c r="C313" s="88"/>
      <c r="D313" s="88"/>
      <c r="E313" s="88"/>
      <c r="F313" s="88"/>
      <c r="G313" s="505"/>
      <c r="H313" s="505"/>
      <c r="I313" s="505"/>
      <c r="J313" s="1238"/>
      <c r="K313" s="505"/>
      <c r="L313" s="506"/>
      <c r="M313" s="90"/>
    </row>
    <row r="314" spans="1:17" hidden="1" x14ac:dyDescent="0.2">
      <c r="A314" s="504"/>
      <c r="B314" s="50"/>
      <c r="C314" s="88"/>
      <c r="D314" s="88"/>
      <c r="E314" s="88"/>
      <c r="F314" s="88"/>
      <c r="G314" s="505"/>
      <c r="H314" s="505"/>
      <c r="I314" s="505"/>
      <c r="J314" s="1284"/>
      <c r="K314" s="505"/>
      <c r="L314" s="506"/>
      <c r="M314" s="90"/>
    </row>
    <row r="315" spans="1:17" hidden="1" x14ac:dyDescent="0.2">
      <c r="A315" s="504"/>
      <c r="B315" s="50"/>
      <c r="C315" s="88"/>
      <c r="D315" s="88"/>
      <c r="E315" s="88"/>
      <c r="F315" s="88"/>
      <c r="G315" s="505"/>
      <c r="H315" s="505"/>
      <c r="I315" s="505"/>
      <c r="J315" s="1284"/>
      <c r="K315" s="505"/>
      <c r="L315" s="506"/>
      <c r="M315" s="90"/>
    </row>
    <row r="316" spans="1:17" hidden="1" x14ac:dyDescent="0.2">
      <c r="A316" s="504"/>
      <c r="B316" s="50"/>
      <c r="C316" s="88"/>
      <c r="D316" s="88"/>
      <c r="E316" s="88"/>
      <c r="F316" s="88"/>
      <c r="G316" s="505"/>
      <c r="H316" s="505"/>
      <c r="I316" s="505"/>
      <c r="J316" s="1284"/>
      <c r="K316" s="505"/>
      <c r="L316" s="506"/>
      <c r="M316" s="90"/>
    </row>
    <row r="317" spans="1:17" hidden="1" x14ac:dyDescent="0.2">
      <c r="A317" s="504"/>
      <c r="B317" s="50"/>
      <c r="C317" s="88"/>
      <c r="D317" s="88"/>
      <c r="E317" s="88"/>
      <c r="F317" s="88"/>
      <c r="G317" s="505"/>
      <c r="H317" s="505"/>
      <c r="I317" s="505"/>
      <c r="J317" s="1284"/>
      <c r="K317" s="505"/>
      <c r="L317" s="506"/>
      <c r="M317" s="90"/>
    </row>
    <row r="318" spans="1:17" x14ac:dyDescent="0.2">
      <c r="A318" s="504"/>
      <c r="B318" s="50"/>
      <c r="C318" s="88"/>
      <c r="D318" s="88"/>
      <c r="E318" s="88"/>
      <c r="F318" s="88"/>
      <c r="G318" s="2012" t="s">
        <v>561</v>
      </c>
      <c r="H318" s="2012"/>
      <c r="I318" s="2012"/>
      <c r="J318" s="2012"/>
      <c r="K318" s="2012"/>
      <c r="L318" s="2012"/>
      <c r="M318" s="520"/>
      <c r="N318" s="520"/>
      <c r="O318" s="520"/>
      <c r="P318" s="520"/>
      <c r="Q318" s="520"/>
    </row>
    <row r="319" spans="1:17" ht="13.5" hidden="1" thickBot="1" x14ac:dyDescent="0.25">
      <c r="A319" s="504"/>
      <c r="B319" s="50"/>
      <c r="C319" s="88"/>
      <c r="D319" s="88"/>
      <c r="E319" s="88"/>
      <c r="F319" s="88"/>
      <c r="G319" s="505"/>
      <c r="H319" s="505"/>
      <c r="I319" s="505"/>
      <c r="J319" s="1284"/>
      <c r="K319" s="505"/>
      <c r="L319" s="506"/>
      <c r="M319" s="90"/>
    </row>
    <row r="320" spans="1:17" s="498" customFormat="1" x14ac:dyDescent="0.2">
      <c r="A320" s="1537" t="s">
        <v>431</v>
      </c>
      <c r="B320" s="1538"/>
      <c r="C320" s="1539"/>
      <c r="D320" s="1539">
        <v>2017</v>
      </c>
      <c r="E320" s="1540" t="s">
        <v>909</v>
      </c>
      <c r="F320" s="1540">
        <v>2021</v>
      </c>
      <c r="G320" s="1541">
        <v>2022</v>
      </c>
      <c r="H320" s="1818">
        <v>2023</v>
      </c>
      <c r="I320" s="1542" t="s">
        <v>981</v>
      </c>
      <c r="J320" s="1543">
        <v>2024</v>
      </c>
      <c r="K320" s="1541">
        <v>2025</v>
      </c>
      <c r="L320" s="1541">
        <v>2026</v>
      </c>
      <c r="M320" s="495"/>
      <c r="N320" s="496"/>
      <c r="O320" s="497"/>
      <c r="P320" s="465"/>
      <c r="Q320" s="466"/>
    </row>
    <row r="321" spans="1:18" s="92" customFormat="1" ht="11.25" x14ac:dyDescent="0.2">
      <c r="A321" s="2091" t="s">
        <v>562</v>
      </c>
      <c r="B321" s="2091"/>
      <c r="C321" s="2091"/>
      <c r="D321" s="2089">
        <f>D322+D323+D324+D325+D326+D328</f>
        <v>31500</v>
      </c>
      <c r="E321" s="2088">
        <f>SUM(E322,E323,E324,E325,E326,E328)+E327</f>
        <v>31029</v>
      </c>
      <c r="F321" s="2088">
        <f>SUM(F322:F328)</f>
        <v>26500</v>
      </c>
      <c r="G321" s="2088">
        <f t="shared" ref="G321:L321" si="45">SUM(G322,G323,G324,G325,G326,G328)+G327</f>
        <v>45430</v>
      </c>
      <c r="H321" s="2088">
        <f t="shared" si="45"/>
        <v>34500</v>
      </c>
      <c r="I321" s="2088">
        <f t="shared" si="45"/>
        <v>62472</v>
      </c>
      <c r="J321" s="1577">
        <f t="shared" si="45"/>
        <v>50000</v>
      </c>
      <c r="K321" s="2088">
        <f t="shared" si="45"/>
        <v>48000</v>
      </c>
      <c r="L321" s="2088">
        <f t="shared" si="45"/>
        <v>48500</v>
      </c>
      <c r="M321" s="508"/>
      <c r="N321" s="491"/>
      <c r="O321" s="469"/>
      <c r="P321" s="469"/>
      <c r="Q321" s="469"/>
    </row>
    <row r="322" spans="1:18" s="20" customFormat="1" x14ac:dyDescent="0.2">
      <c r="A322" s="1071">
        <v>632</v>
      </c>
      <c r="B322" s="1092"/>
      <c r="C322" s="1071" t="s">
        <v>197</v>
      </c>
      <c r="D322" s="1028">
        <v>7500</v>
      </c>
      <c r="E322" s="1028">
        <v>7345</v>
      </c>
      <c r="F322" s="1028">
        <v>7500</v>
      </c>
      <c r="G322" s="1319">
        <v>19050</v>
      </c>
      <c r="H322" s="1319">
        <v>10000</v>
      </c>
      <c r="I322" s="1319">
        <v>14600</v>
      </c>
      <c r="J322" s="1290">
        <v>12500</v>
      </c>
      <c r="K322" s="1545">
        <v>12000</v>
      </c>
      <c r="L322" s="1027">
        <v>12000</v>
      </c>
      <c r="M322" s="58"/>
      <c r="O322" s="58"/>
      <c r="P322" s="50"/>
      <c r="Q322" s="58"/>
      <c r="R322" s="16"/>
    </row>
    <row r="323" spans="1:18" s="33" customFormat="1" x14ac:dyDescent="0.2">
      <c r="A323" s="1071">
        <v>633</v>
      </c>
      <c r="B323" s="1092"/>
      <c r="C323" s="1071" t="s">
        <v>199</v>
      </c>
      <c r="D323" s="1028">
        <v>3000</v>
      </c>
      <c r="E323" s="1028">
        <v>3184</v>
      </c>
      <c r="F323" s="1028">
        <v>2000</v>
      </c>
      <c r="G323" s="1319">
        <v>3880</v>
      </c>
      <c r="H323" s="1319">
        <v>2000</v>
      </c>
      <c r="I323" s="1319">
        <v>9500</v>
      </c>
      <c r="J323" s="1290">
        <v>5000</v>
      </c>
      <c r="K323" s="1545">
        <v>3000</v>
      </c>
      <c r="L323" s="1027">
        <v>3000</v>
      </c>
      <c r="M323" s="58"/>
      <c r="N323" s="20"/>
      <c r="O323" s="50"/>
      <c r="P323" s="50"/>
      <c r="Q323" s="58"/>
      <c r="R323" s="16"/>
    </row>
    <row r="324" spans="1:18" x14ac:dyDescent="0.2">
      <c r="A324" s="1071">
        <v>634</v>
      </c>
      <c r="B324" s="1092"/>
      <c r="C324" s="1071" t="s">
        <v>346</v>
      </c>
      <c r="D324" s="1028">
        <v>2500</v>
      </c>
      <c r="E324" s="1028">
        <v>2227</v>
      </c>
      <c r="F324" s="1028">
        <v>5000</v>
      </c>
      <c r="G324" s="1319">
        <v>5000</v>
      </c>
      <c r="H324" s="1319">
        <v>5000</v>
      </c>
      <c r="I324" s="1319">
        <v>5617</v>
      </c>
      <c r="J324" s="1290">
        <v>5000</v>
      </c>
      <c r="K324" s="1545">
        <v>5000</v>
      </c>
      <c r="L324" s="1027">
        <v>5000</v>
      </c>
      <c r="M324" s="58"/>
      <c r="O324" s="58"/>
      <c r="P324" s="50"/>
      <c r="Q324" s="58"/>
    </row>
    <row r="325" spans="1:18" x14ac:dyDescent="0.2">
      <c r="A325" s="1071">
        <v>635</v>
      </c>
      <c r="B325" s="1092"/>
      <c r="C325" s="1071" t="s">
        <v>293</v>
      </c>
      <c r="D325" s="1028">
        <v>500</v>
      </c>
      <c r="E325" s="1028">
        <v>438</v>
      </c>
      <c r="F325" s="1028">
        <v>500</v>
      </c>
      <c r="G325" s="1319">
        <v>500</v>
      </c>
      <c r="H325" s="1319">
        <v>500</v>
      </c>
      <c r="I325" s="1319">
        <v>500</v>
      </c>
      <c r="J325" s="1290">
        <v>500</v>
      </c>
      <c r="K325" s="1545">
        <v>500</v>
      </c>
      <c r="L325" s="1027">
        <v>500</v>
      </c>
      <c r="M325" s="58"/>
      <c r="O325" s="50"/>
      <c r="P325" s="50"/>
      <c r="Q325" s="58"/>
    </row>
    <row r="326" spans="1:18" x14ac:dyDescent="0.2">
      <c r="A326" s="1071">
        <v>637</v>
      </c>
      <c r="B326" s="1092"/>
      <c r="C326" s="1071" t="s">
        <v>816</v>
      </c>
      <c r="D326" s="1028">
        <v>3000</v>
      </c>
      <c r="E326" s="1028">
        <v>1509</v>
      </c>
      <c r="F326" s="1028">
        <v>1000</v>
      </c>
      <c r="G326" s="1319">
        <v>1000</v>
      </c>
      <c r="H326" s="1319">
        <v>1000</v>
      </c>
      <c r="I326" s="1319">
        <v>1700</v>
      </c>
      <c r="J326" s="1290">
        <v>1000</v>
      </c>
      <c r="K326" s="1545">
        <v>1000</v>
      </c>
      <c r="L326" s="1027">
        <v>1000</v>
      </c>
      <c r="M326" s="58"/>
      <c r="O326" s="50"/>
      <c r="P326" s="50"/>
      <c r="Q326" s="58"/>
    </row>
    <row r="327" spans="1:18" x14ac:dyDescent="0.2">
      <c r="A327" s="1071">
        <v>637</v>
      </c>
      <c r="B327" s="1092"/>
      <c r="C327" s="1071" t="s">
        <v>779</v>
      </c>
      <c r="D327" s="1028"/>
      <c r="E327" s="1028"/>
      <c r="F327" s="1028"/>
      <c r="G327" s="1319"/>
      <c r="H327" s="1319"/>
      <c r="I327" s="1319">
        <v>1700</v>
      </c>
      <c r="J327" s="1290"/>
      <c r="K327" s="1545"/>
      <c r="L327" s="1027"/>
      <c r="M327" s="58"/>
      <c r="O327" s="50"/>
      <c r="P327" s="50"/>
      <c r="Q327" s="58"/>
    </row>
    <row r="328" spans="1:18" x14ac:dyDescent="0.2">
      <c r="A328" s="1071">
        <v>642</v>
      </c>
      <c r="B328" s="1092"/>
      <c r="C328" s="1071" t="s">
        <v>563</v>
      </c>
      <c r="D328" s="1028">
        <f t="shared" ref="D328:L328" si="46">D329+D331+D332</f>
        <v>15000</v>
      </c>
      <c r="E328" s="1028">
        <f t="shared" ref="E328" si="47">E329+E331+E332</f>
        <v>16326</v>
      </c>
      <c r="F328" s="1028">
        <f>F329+F331+F332</f>
        <v>10500</v>
      </c>
      <c r="G328" s="1319">
        <f>G329+G331+G332</f>
        <v>16000</v>
      </c>
      <c r="H328" s="1319">
        <f>H329+H331+H332</f>
        <v>16000</v>
      </c>
      <c r="I328" s="1319">
        <f>SUM(I329:I331)</f>
        <v>28855</v>
      </c>
      <c r="J328" s="1290">
        <f>J329+J331+J332</f>
        <v>26000</v>
      </c>
      <c r="K328" s="1545">
        <f t="shared" si="46"/>
        <v>26500</v>
      </c>
      <c r="L328" s="1027">
        <f t="shared" si="46"/>
        <v>27000</v>
      </c>
      <c r="M328" s="58"/>
      <c r="O328" s="58"/>
      <c r="P328" s="50"/>
      <c r="Q328" s="58"/>
    </row>
    <row r="329" spans="1:18" x14ac:dyDescent="0.2">
      <c r="A329" s="1253"/>
      <c r="B329" s="1252"/>
      <c r="C329" s="835" t="s">
        <v>564</v>
      </c>
      <c r="D329" s="1090">
        <v>10000</v>
      </c>
      <c r="E329" s="1090">
        <v>16326</v>
      </c>
      <c r="F329" s="1090">
        <v>10000</v>
      </c>
      <c r="G329" s="1521">
        <v>15000</v>
      </c>
      <c r="H329" s="1319">
        <v>15000</v>
      </c>
      <c r="I329" s="1521">
        <v>28355</v>
      </c>
      <c r="J329" s="1290">
        <v>25000</v>
      </c>
      <c r="K329" s="1606">
        <v>25000</v>
      </c>
      <c r="L329" s="1607">
        <v>25000</v>
      </c>
      <c r="M329" s="58"/>
      <c r="O329" s="58"/>
      <c r="P329" s="50"/>
      <c r="Q329" s="58"/>
    </row>
    <row r="330" spans="1:18" x14ac:dyDescent="0.2">
      <c r="A330" s="1253"/>
      <c r="B330" s="1252"/>
      <c r="C330" s="835" t="s">
        <v>765</v>
      </c>
      <c r="D330" s="1090"/>
      <c r="E330" s="1090"/>
      <c r="F330" s="1090"/>
      <c r="G330" s="1521"/>
      <c r="H330" s="1319"/>
      <c r="I330" s="1521"/>
      <c r="J330" s="1290"/>
      <c r="K330" s="1606"/>
      <c r="L330" s="1607"/>
      <c r="M330" s="58"/>
      <c r="O330" s="58"/>
      <c r="P330" s="50"/>
      <c r="Q330" s="58"/>
    </row>
    <row r="331" spans="1:18" x14ac:dyDescent="0.2">
      <c r="A331" s="1253"/>
      <c r="B331" s="1252"/>
      <c r="C331" s="835" t="s">
        <v>565</v>
      </c>
      <c r="D331" s="1090">
        <v>5000</v>
      </c>
      <c r="E331" s="1090">
        <v>0</v>
      </c>
      <c r="F331" s="1090">
        <v>500</v>
      </c>
      <c r="G331" s="1521">
        <v>1000</v>
      </c>
      <c r="H331" s="1319">
        <v>1000</v>
      </c>
      <c r="I331" s="1521">
        <v>500</v>
      </c>
      <c r="J331" s="1290">
        <v>1000</v>
      </c>
      <c r="K331" s="1606">
        <v>1500</v>
      </c>
      <c r="L331" s="1607">
        <v>2000</v>
      </c>
      <c r="M331" s="58"/>
      <c r="O331" s="58"/>
      <c r="P331" s="50"/>
      <c r="Q331" s="58"/>
    </row>
    <row r="332" spans="1:18" x14ac:dyDescent="0.2">
      <c r="A332" s="1253"/>
      <c r="B332" s="1252"/>
      <c r="C332" s="835" t="s">
        <v>587</v>
      </c>
      <c r="D332" s="1090">
        <v>0</v>
      </c>
      <c r="E332" s="1090"/>
      <c r="F332" s="1090"/>
      <c r="G332" s="1521"/>
      <c r="H332" s="1319"/>
      <c r="I332" s="1521"/>
      <c r="J332" s="1290"/>
      <c r="K332" s="1606"/>
      <c r="L332" s="1607"/>
      <c r="M332" s="58"/>
      <c r="O332" s="58"/>
      <c r="P332" s="50"/>
      <c r="Q332" s="58"/>
    </row>
    <row r="333" spans="1:18" hidden="1" x14ac:dyDescent="0.2">
      <c r="A333" s="1253"/>
      <c r="B333" s="1252"/>
      <c r="C333" s="1253"/>
      <c r="D333" s="1593"/>
      <c r="E333" s="1054"/>
      <c r="F333" s="1054"/>
      <c r="G333" s="1054"/>
      <c r="H333" s="1054"/>
      <c r="I333" s="1054"/>
      <c r="J333" s="1290"/>
      <c r="K333" s="1608"/>
      <c r="L333" s="1609"/>
      <c r="M333" s="59"/>
    </row>
    <row r="334" spans="1:18" s="92" customFormat="1" ht="12.75" customHeight="1" x14ac:dyDescent="0.2">
      <c r="A334" s="1834" t="s">
        <v>566</v>
      </c>
      <c r="B334" s="1834"/>
      <c r="C334" s="1834"/>
      <c r="D334" s="1835">
        <f>D335+D336+D337+D356</f>
        <v>63946</v>
      </c>
      <c r="E334" s="1835">
        <f>SUM(E335,E336,E337)+E356</f>
        <v>40606</v>
      </c>
      <c r="F334" s="1835">
        <f>SUM(F335,F336,F337,F356)</f>
        <v>49100</v>
      </c>
      <c r="G334" s="1835">
        <f>SUM(G335,G336,G337)+G356-G356</f>
        <v>53400</v>
      </c>
      <c r="H334" s="1835">
        <f>SUM(H335,H336,H337)</f>
        <v>46100</v>
      </c>
      <c r="I334" s="1835">
        <f>SUM(I335,I336,I337)</f>
        <v>55280</v>
      </c>
      <c r="J334" s="1544">
        <f>SUM(J335,J336,J337)</f>
        <v>54100</v>
      </c>
      <c r="K334" s="1835">
        <f>SUM(K335,K336,K337)</f>
        <v>55600</v>
      </c>
      <c r="L334" s="1835">
        <f>SUM(L335,L336,L337)</f>
        <v>56100</v>
      </c>
      <c r="M334" s="508"/>
      <c r="N334" s="56"/>
      <c r="O334" s="65"/>
      <c r="P334" s="65"/>
      <c r="Q334" s="65"/>
      <c r="R334" s="470"/>
    </row>
    <row r="335" spans="1:18" ht="12.75" customHeight="1" x14ac:dyDescent="0.2">
      <c r="A335" s="1092">
        <v>610</v>
      </c>
      <c r="B335" s="1243"/>
      <c r="C335" s="1093" t="s">
        <v>447</v>
      </c>
      <c r="D335" s="1028">
        <v>20000</v>
      </c>
      <c r="E335" s="1028">
        <v>19735</v>
      </c>
      <c r="F335" s="1319">
        <v>22000</v>
      </c>
      <c r="G335" s="1511">
        <v>18500</v>
      </c>
      <c r="H335" s="1319">
        <v>20000</v>
      </c>
      <c r="I335" s="1511">
        <v>19300</v>
      </c>
      <c r="J335" s="1290">
        <v>20000</v>
      </c>
      <c r="K335" s="1545">
        <v>20000</v>
      </c>
      <c r="L335" s="1598">
        <v>20000</v>
      </c>
      <c r="M335" s="64"/>
      <c r="N335" s="65"/>
      <c r="O335" s="64"/>
      <c r="P335" s="64"/>
      <c r="Q335" s="64"/>
    </row>
    <row r="336" spans="1:18" s="33" customFormat="1" x14ac:dyDescent="0.2">
      <c r="A336" s="1092">
        <v>620</v>
      </c>
      <c r="B336" s="1092"/>
      <c r="C336" s="1092" t="s">
        <v>193</v>
      </c>
      <c r="D336" s="1028">
        <v>7300</v>
      </c>
      <c r="E336" s="1028">
        <v>7087</v>
      </c>
      <c r="F336" s="1319">
        <v>8000</v>
      </c>
      <c r="G336" s="1511">
        <v>7800</v>
      </c>
      <c r="H336" s="1319">
        <v>7000</v>
      </c>
      <c r="I336" s="1511">
        <v>7000</v>
      </c>
      <c r="J336" s="1290">
        <v>7000</v>
      </c>
      <c r="K336" s="1545">
        <v>8000</v>
      </c>
      <c r="L336" s="1598">
        <v>8000</v>
      </c>
      <c r="M336" s="64"/>
      <c r="N336" s="65"/>
      <c r="O336" s="64"/>
      <c r="P336" s="64"/>
      <c r="Q336" s="64"/>
      <c r="R336" s="16"/>
    </row>
    <row r="337" spans="1:18" ht="12.75" customHeight="1" x14ac:dyDescent="0.2">
      <c r="A337" s="1576">
        <v>630</v>
      </c>
      <c r="B337" s="1071"/>
      <c r="C337" s="1071" t="s">
        <v>361</v>
      </c>
      <c r="D337" s="1028">
        <f>SUM(D338,D339,D340,D342,D345,D353,D347,D349,D350,D352,D341,D351)+D343+D348+D344</f>
        <v>35646</v>
      </c>
      <c r="E337" s="1028">
        <f>SUM(E338,E339,E340,E342,E345,E353,E347,E349,E350,E352,E341,E351)+E343+E348+E344+E355</f>
        <v>13784</v>
      </c>
      <c r="F337" s="1319">
        <f>SUM(F338,F339,F340,F342,F345,F353,F347,F349,F350,F352,F341,F351)+F343+F348+F344+F355</f>
        <v>18600</v>
      </c>
      <c r="G337" s="1511">
        <f t="shared" ref="G337:H337" si="48">SUM(G338:G356)</f>
        <v>27100</v>
      </c>
      <c r="H337" s="1319">
        <f t="shared" si="48"/>
        <v>19100</v>
      </c>
      <c r="I337" s="1511">
        <f t="shared" ref="I337:L337" si="49">SUM(I338:I356)</f>
        <v>28980</v>
      </c>
      <c r="J337" s="1290">
        <f t="shared" si="49"/>
        <v>27100</v>
      </c>
      <c r="K337" s="1545">
        <f t="shared" si="49"/>
        <v>27600</v>
      </c>
      <c r="L337" s="1598">
        <f t="shared" si="49"/>
        <v>28100</v>
      </c>
      <c r="M337" s="64"/>
      <c r="N337" s="72"/>
      <c r="O337" s="58"/>
      <c r="P337" s="58"/>
      <c r="Q337" s="58"/>
    </row>
    <row r="338" spans="1:18" x14ac:dyDescent="0.2">
      <c r="A338" s="835" t="s">
        <v>450</v>
      </c>
      <c r="B338" s="835"/>
      <c r="C338" s="835" t="s">
        <v>195</v>
      </c>
      <c r="D338" s="1090">
        <v>100</v>
      </c>
      <c r="E338" s="1090">
        <v>87</v>
      </c>
      <c r="F338" s="1319">
        <v>100</v>
      </c>
      <c r="G338" s="1523">
        <v>100</v>
      </c>
      <c r="H338" s="1523">
        <v>100</v>
      </c>
      <c r="I338" s="1523">
        <v>100</v>
      </c>
      <c r="J338" s="1321">
        <v>100</v>
      </c>
      <c r="K338" s="1610">
        <v>100</v>
      </c>
      <c r="L338" s="1600">
        <v>100</v>
      </c>
      <c r="M338" s="490"/>
      <c r="O338" s="509"/>
      <c r="P338" s="486"/>
      <c r="Q338" s="490"/>
    </row>
    <row r="339" spans="1:18" x14ac:dyDescent="0.2">
      <c r="A339" s="835">
        <v>632</v>
      </c>
      <c r="B339" s="835"/>
      <c r="C339" s="835" t="s">
        <v>451</v>
      </c>
      <c r="D339" s="1090">
        <v>11030</v>
      </c>
      <c r="E339" s="1090">
        <v>9674</v>
      </c>
      <c r="F339" s="1319">
        <v>10000</v>
      </c>
      <c r="G339" s="1523">
        <v>18000</v>
      </c>
      <c r="H339" s="1523">
        <v>10000</v>
      </c>
      <c r="I339" s="1523">
        <v>11000</v>
      </c>
      <c r="J339" s="1321">
        <v>11000</v>
      </c>
      <c r="K339" s="1610">
        <v>10000</v>
      </c>
      <c r="L339" s="1600">
        <v>10000</v>
      </c>
      <c r="M339" s="490"/>
      <c r="O339" s="490"/>
      <c r="P339" s="486"/>
      <c r="Q339" s="490"/>
    </row>
    <row r="340" spans="1:18" x14ac:dyDescent="0.2">
      <c r="A340" s="1031">
        <v>633</v>
      </c>
      <c r="B340" s="1031"/>
      <c r="C340" s="1031" t="s">
        <v>199</v>
      </c>
      <c r="D340" s="1090">
        <v>3000</v>
      </c>
      <c r="E340" s="1090">
        <v>2787</v>
      </c>
      <c r="F340" s="1319">
        <v>500</v>
      </c>
      <c r="G340" s="1610">
        <v>500</v>
      </c>
      <c r="H340" s="1523">
        <v>500</v>
      </c>
      <c r="I340" s="1610">
        <v>500</v>
      </c>
      <c r="J340" s="1321">
        <v>500</v>
      </c>
      <c r="K340" s="1610">
        <v>2000</v>
      </c>
      <c r="L340" s="1600">
        <v>2000</v>
      </c>
      <c r="M340" s="490"/>
      <c r="O340" s="490"/>
      <c r="P340" s="486"/>
      <c r="Q340" s="490"/>
    </row>
    <row r="341" spans="1:18" x14ac:dyDescent="0.2">
      <c r="A341" s="1031">
        <v>633</v>
      </c>
      <c r="B341" s="1031" t="s">
        <v>111</v>
      </c>
      <c r="C341" s="1031" t="s">
        <v>567</v>
      </c>
      <c r="D341" s="1090">
        <v>300</v>
      </c>
      <c r="E341" s="1090">
        <v>0</v>
      </c>
      <c r="F341" s="1319">
        <v>300</v>
      </c>
      <c r="G341" s="1610">
        <v>300</v>
      </c>
      <c r="H341" s="1523">
        <v>300</v>
      </c>
      <c r="I341" s="1610">
        <v>0</v>
      </c>
      <c r="J341" s="1321">
        <v>300</v>
      </c>
      <c r="K341" s="1610">
        <v>300</v>
      </c>
      <c r="L341" s="1600">
        <v>300</v>
      </c>
      <c r="M341" s="492"/>
      <c r="O341" s="521"/>
      <c r="P341" s="467"/>
      <c r="Q341" s="492"/>
    </row>
    <row r="342" spans="1:18" x14ac:dyDescent="0.2">
      <c r="A342" s="1031">
        <v>633</v>
      </c>
      <c r="B342" s="1031" t="s">
        <v>466</v>
      </c>
      <c r="C342" s="1031" t="s">
        <v>356</v>
      </c>
      <c r="D342" s="1090">
        <v>500</v>
      </c>
      <c r="E342" s="1090">
        <v>18</v>
      </c>
      <c r="F342" s="1319">
        <v>500</v>
      </c>
      <c r="G342" s="1610">
        <v>500</v>
      </c>
      <c r="H342" s="1523">
        <v>500</v>
      </c>
      <c r="I342" s="1610">
        <v>500</v>
      </c>
      <c r="J342" s="1321">
        <v>500</v>
      </c>
      <c r="K342" s="1610">
        <v>500</v>
      </c>
      <c r="L342" s="1600">
        <v>500</v>
      </c>
      <c r="M342" s="490"/>
      <c r="O342" s="509"/>
      <c r="P342" s="486"/>
      <c r="Q342" s="490"/>
    </row>
    <row r="343" spans="1:18" x14ac:dyDescent="0.2">
      <c r="A343" s="1064">
        <v>633</v>
      </c>
      <c r="B343" s="1064" t="s">
        <v>466</v>
      </c>
      <c r="C343" s="1064" t="s">
        <v>467</v>
      </c>
      <c r="D343" s="1188">
        <v>0</v>
      </c>
      <c r="E343" s="1188">
        <v>0</v>
      </c>
      <c r="F343" s="1319">
        <v>0</v>
      </c>
      <c r="G343" s="1610">
        <v>0</v>
      </c>
      <c r="H343" s="1523">
        <v>0</v>
      </c>
      <c r="I343" s="1610">
        <v>0</v>
      </c>
      <c r="J343" s="1321">
        <v>0</v>
      </c>
      <c r="K343" s="1610">
        <v>0</v>
      </c>
      <c r="L343" s="1611">
        <v>0</v>
      </c>
      <c r="M343" s="490"/>
      <c r="O343" s="509"/>
      <c r="P343" s="486"/>
      <c r="Q343" s="490"/>
    </row>
    <row r="344" spans="1:18" x14ac:dyDescent="0.2">
      <c r="A344" s="1031">
        <v>633</v>
      </c>
      <c r="B344" s="1031" t="s">
        <v>466</v>
      </c>
      <c r="C344" s="1031" t="s">
        <v>704</v>
      </c>
      <c r="D344" s="1090">
        <v>1400</v>
      </c>
      <c r="E344" s="1090">
        <v>410</v>
      </c>
      <c r="F344" s="1319">
        <v>1000</v>
      </c>
      <c r="G344" s="1610">
        <v>1000</v>
      </c>
      <c r="H344" s="1523">
        <v>1000</v>
      </c>
      <c r="I344" s="1610">
        <v>1200</v>
      </c>
      <c r="J344" s="1321">
        <v>1000</v>
      </c>
      <c r="K344" s="1610">
        <v>1000</v>
      </c>
      <c r="L344" s="1600">
        <v>1000</v>
      </c>
      <c r="M344" s="490"/>
      <c r="O344" s="509"/>
      <c r="P344" s="486"/>
      <c r="Q344" s="490"/>
    </row>
    <row r="345" spans="1:18" x14ac:dyDescent="0.2">
      <c r="A345" s="1031">
        <v>642</v>
      </c>
      <c r="B345" s="1612"/>
      <c r="C345" s="1613" t="s">
        <v>568</v>
      </c>
      <c r="D345" s="1090">
        <v>0</v>
      </c>
      <c r="E345" s="1090">
        <v>0</v>
      </c>
      <c r="F345" s="1319">
        <v>0</v>
      </c>
      <c r="G345" s="1610">
        <v>0</v>
      </c>
      <c r="H345" s="1523">
        <v>0</v>
      </c>
      <c r="I345" s="1610">
        <v>280</v>
      </c>
      <c r="J345" s="1321">
        <v>0</v>
      </c>
      <c r="K345" s="1610"/>
      <c r="L345" s="1600"/>
      <c r="M345" s="490"/>
      <c r="O345" s="509"/>
      <c r="P345" s="486"/>
      <c r="Q345" s="490"/>
    </row>
    <row r="346" spans="1:18" hidden="1" x14ac:dyDescent="0.2">
      <c r="A346" s="1570"/>
      <c r="B346" s="1066"/>
      <c r="C346" s="1571"/>
      <c r="D346" s="1185"/>
      <c r="E346" s="1185"/>
      <c r="F346" s="1319"/>
      <c r="G346" s="1614"/>
      <c r="H346" s="1523"/>
      <c r="I346" s="1614"/>
      <c r="J346" s="1321"/>
      <c r="K346" s="1614"/>
      <c r="L346" s="1615"/>
      <c r="M346" s="490"/>
      <c r="O346" s="509"/>
      <c r="P346" s="486"/>
      <c r="Q346" s="490"/>
    </row>
    <row r="347" spans="1:18" x14ac:dyDescent="0.2">
      <c r="A347" s="1031">
        <v>634</v>
      </c>
      <c r="B347" s="1031"/>
      <c r="C347" s="1031" t="s">
        <v>201</v>
      </c>
      <c r="D347" s="1090">
        <v>200</v>
      </c>
      <c r="E347" s="1090">
        <v>0</v>
      </c>
      <c r="F347" s="1319">
        <v>200</v>
      </c>
      <c r="G347" s="1610">
        <v>200</v>
      </c>
      <c r="H347" s="1523">
        <v>200</v>
      </c>
      <c r="I347" s="1610">
        <v>200</v>
      </c>
      <c r="J347" s="1321">
        <v>200</v>
      </c>
      <c r="K347" s="1610">
        <v>200</v>
      </c>
      <c r="L347" s="1600">
        <v>200</v>
      </c>
      <c r="M347" s="490"/>
      <c r="O347" s="509"/>
      <c r="P347" s="486"/>
      <c r="Q347" s="490"/>
    </row>
    <row r="348" spans="1:18" x14ac:dyDescent="0.2">
      <c r="A348" s="1031">
        <v>634</v>
      </c>
      <c r="B348" s="1031" t="s">
        <v>111</v>
      </c>
      <c r="C348" s="1031" t="s">
        <v>896</v>
      </c>
      <c r="D348" s="1189">
        <v>1500</v>
      </c>
      <c r="E348" s="1189">
        <v>0</v>
      </c>
      <c r="F348" s="1319">
        <v>1500</v>
      </c>
      <c r="G348" s="1610">
        <v>1500</v>
      </c>
      <c r="H348" s="1523">
        <v>1500</v>
      </c>
      <c r="I348" s="1610">
        <v>0</v>
      </c>
      <c r="J348" s="1321">
        <v>1500</v>
      </c>
      <c r="K348" s="1610">
        <v>1500</v>
      </c>
      <c r="L348" s="1616">
        <v>1500</v>
      </c>
      <c r="M348" s="490"/>
      <c r="O348" s="509"/>
      <c r="P348" s="486"/>
      <c r="Q348" s="490"/>
    </row>
    <row r="349" spans="1:18" x14ac:dyDescent="0.2">
      <c r="A349" s="1031">
        <v>635</v>
      </c>
      <c r="B349" s="1031"/>
      <c r="C349" s="1031" t="s">
        <v>293</v>
      </c>
      <c r="D349" s="1090">
        <v>500</v>
      </c>
      <c r="E349" s="1090">
        <v>416</v>
      </c>
      <c r="F349" s="1319">
        <v>1000</v>
      </c>
      <c r="G349" s="1610">
        <v>1000</v>
      </c>
      <c r="H349" s="1523">
        <v>1000</v>
      </c>
      <c r="I349" s="1610">
        <v>1000</v>
      </c>
      <c r="J349" s="1321">
        <v>1000</v>
      </c>
      <c r="K349" s="1610">
        <v>1000</v>
      </c>
      <c r="L349" s="1600">
        <v>1000</v>
      </c>
      <c r="M349" s="490"/>
      <c r="O349" s="509"/>
      <c r="P349" s="486"/>
      <c r="Q349" s="490"/>
      <c r="R349" s="480"/>
    </row>
    <row r="350" spans="1:18" x14ac:dyDescent="0.2">
      <c r="A350" s="1555">
        <v>636</v>
      </c>
      <c r="B350" s="1555" t="s">
        <v>97</v>
      </c>
      <c r="C350" s="1555" t="s">
        <v>569</v>
      </c>
      <c r="D350" s="1090">
        <v>0</v>
      </c>
      <c r="E350" s="1090"/>
      <c r="F350" s="1319">
        <v>0</v>
      </c>
      <c r="G350" s="1610">
        <v>0</v>
      </c>
      <c r="H350" s="1523">
        <v>0</v>
      </c>
      <c r="I350" s="1610">
        <v>0</v>
      </c>
      <c r="J350" s="1321">
        <v>0</v>
      </c>
      <c r="K350" s="1610">
        <v>0</v>
      </c>
      <c r="L350" s="1600">
        <v>0</v>
      </c>
      <c r="M350" s="492"/>
      <c r="O350" s="521"/>
      <c r="P350" s="467"/>
      <c r="Q350" s="490"/>
    </row>
    <row r="351" spans="1:18" x14ac:dyDescent="0.2">
      <c r="A351" s="1555">
        <v>637</v>
      </c>
      <c r="B351" s="1555"/>
      <c r="C351" s="1555" t="s">
        <v>688</v>
      </c>
      <c r="D351" s="1180">
        <v>0</v>
      </c>
      <c r="E351" s="1180"/>
      <c r="F351" s="1319"/>
      <c r="G351" s="1610"/>
      <c r="H351" s="1523"/>
      <c r="I351" s="1610"/>
      <c r="J351" s="1321"/>
      <c r="K351" s="1610"/>
      <c r="L351" s="1617"/>
      <c r="M351" s="492"/>
      <c r="O351" s="521"/>
      <c r="P351" s="467"/>
      <c r="Q351" s="490"/>
    </row>
    <row r="352" spans="1:18" x14ac:dyDescent="0.2">
      <c r="A352" s="1031">
        <v>637</v>
      </c>
      <c r="B352" s="1031"/>
      <c r="C352" s="1031" t="s">
        <v>207</v>
      </c>
      <c r="D352" s="1090">
        <v>2000</v>
      </c>
      <c r="E352" s="1090">
        <v>392</v>
      </c>
      <c r="F352" s="1319">
        <v>500</v>
      </c>
      <c r="G352" s="1610">
        <v>500</v>
      </c>
      <c r="H352" s="1523">
        <v>500</v>
      </c>
      <c r="I352" s="1610">
        <v>700</v>
      </c>
      <c r="J352" s="1321">
        <v>500</v>
      </c>
      <c r="K352" s="1610">
        <v>500</v>
      </c>
      <c r="L352" s="1600">
        <v>500</v>
      </c>
      <c r="M352" s="490"/>
      <c r="O352" s="509"/>
      <c r="P352" s="486"/>
      <c r="Q352" s="490"/>
    </row>
    <row r="353" spans="1:18" x14ac:dyDescent="0.2">
      <c r="A353" s="1031">
        <v>637</v>
      </c>
      <c r="B353" s="1031" t="s">
        <v>111</v>
      </c>
      <c r="C353" s="1031" t="s">
        <v>570</v>
      </c>
      <c r="D353" s="1090">
        <v>15116</v>
      </c>
      <c r="E353" s="1090">
        <v>0</v>
      </c>
      <c r="F353" s="1319">
        <v>3000</v>
      </c>
      <c r="G353" s="1610">
        <v>3000</v>
      </c>
      <c r="H353" s="1523">
        <v>3000</v>
      </c>
      <c r="I353" s="1610">
        <v>13000</v>
      </c>
      <c r="J353" s="1321">
        <v>10000</v>
      </c>
      <c r="K353" s="1610">
        <v>10000</v>
      </c>
      <c r="L353" s="1600">
        <v>10000</v>
      </c>
      <c r="M353" s="490"/>
      <c r="O353" s="509"/>
      <c r="P353" s="486"/>
      <c r="Q353" s="490"/>
    </row>
    <row r="354" spans="1:18" x14ac:dyDescent="0.2">
      <c r="A354" s="1031"/>
      <c r="B354" s="1031"/>
      <c r="C354" s="1187" t="s">
        <v>766</v>
      </c>
      <c r="D354" s="1190"/>
      <c r="E354" s="1271"/>
      <c r="F354" s="1319"/>
      <c r="G354" s="1610"/>
      <c r="H354" s="1523"/>
      <c r="I354" s="1610"/>
      <c r="J354" s="1321"/>
      <c r="K354" s="1610"/>
      <c r="L354" s="1618"/>
      <c r="M354" s="490"/>
      <c r="O354" s="509"/>
      <c r="P354" s="486"/>
      <c r="Q354" s="490"/>
    </row>
    <row r="355" spans="1:18" x14ac:dyDescent="0.2">
      <c r="A355" s="1031"/>
      <c r="B355" s="1031"/>
      <c r="C355" s="1187" t="s">
        <v>767</v>
      </c>
      <c r="D355" s="1190">
        <v>1500</v>
      </c>
      <c r="E355" s="1271">
        <v>0</v>
      </c>
      <c r="F355" s="1319">
        <v>0</v>
      </c>
      <c r="G355" s="1610">
        <v>0</v>
      </c>
      <c r="H355" s="1523">
        <v>0</v>
      </c>
      <c r="I355" s="1610">
        <v>0</v>
      </c>
      <c r="J355" s="1321">
        <v>0</v>
      </c>
      <c r="K355" s="1610">
        <v>0</v>
      </c>
      <c r="L355" s="1618">
        <v>0</v>
      </c>
      <c r="M355" s="490"/>
      <c r="O355" s="509"/>
      <c r="P355" s="486"/>
      <c r="Q355" s="490"/>
    </row>
    <row r="356" spans="1:18" x14ac:dyDescent="0.2">
      <c r="A356" s="1031">
        <v>642</v>
      </c>
      <c r="B356" s="1031" t="s">
        <v>102</v>
      </c>
      <c r="C356" s="1031" t="s">
        <v>571</v>
      </c>
      <c r="D356" s="1028">
        <v>1000</v>
      </c>
      <c r="E356" s="1028">
        <v>0</v>
      </c>
      <c r="F356" s="1319">
        <v>500</v>
      </c>
      <c r="G356" s="1610">
        <v>500</v>
      </c>
      <c r="H356" s="1523">
        <v>500</v>
      </c>
      <c r="I356" s="1610">
        <v>500</v>
      </c>
      <c r="J356" s="1321">
        <v>500</v>
      </c>
      <c r="K356" s="1610">
        <v>500</v>
      </c>
      <c r="L356" s="1600">
        <v>1000</v>
      </c>
      <c r="M356" s="64"/>
      <c r="O356" s="58"/>
      <c r="P356" s="50"/>
      <c r="Q356" s="58"/>
      <c r="R356" s="493"/>
    </row>
    <row r="357" spans="1:18" hidden="1" x14ac:dyDescent="0.2">
      <c r="A357" s="1031"/>
      <c r="B357" s="1031"/>
      <c r="C357" s="1031"/>
      <c r="D357" s="1033"/>
      <c r="E357" s="1027"/>
      <c r="F357" s="1619"/>
      <c r="G357" s="1027"/>
      <c r="H357" s="1619"/>
      <c r="I357" s="1619"/>
      <c r="J357" s="1290"/>
      <c r="K357" s="1027"/>
      <c r="L357" s="1027"/>
      <c r="M357" s="64"/>
      <c r="O357" s="58"/>
      <c r="P357" s="50"/>
      <c r="Q357" s="58"/>
      <c r="R357" s="493"/>
    </row>
    <row r="358" spans="1:18" s="92" customFormat="1" ht="11.25" x14ac:dyDescent="0.2">
      <c r="A358" s="1834" t="s">
        <v>572</v>
      </c>
      <c r="B358" s="1834"/>
      <c r="C358" s="1834"/>
      <c r="D358" s="1835">
        <f t="shared" ref="D358:L358" si="50">D359</f>
        <v>200</v>
      </c>
      <c r="E358" s="1836">
        <f t="shared" si="50"/>
        <v>2324</v>
      </c>
      <c r="F358" s="1836">
        <f t="shared" si="50"/>
        <v>650</v>
      </c>
      <c r="G358" s="1836">
        <f t="shared" si="50"/>
        <v>1470</v>
      </c>
      <c r="H358" s="1836">
        <f t="shared" si="50"/>
        <v>650</v>
      </c>
      <c r="I358" s="1836">
        <f t="shared" si="50"/>
        <v>1521</v>
      </c>
      <c r="J358" s="1544">
        <f t="shared" si="50"/>
        <v>1650</v>
      </c>
      <c r="K358" s="1836">
        <f t="shared" si="50"/>
        <v>1650</v>
      </c>
      <c r="L358" s="1836">
        <f t="shared" si="50"/>
        <v>1650</v>
      </c>
      <c r="M358" s="508"/>
      <c r="N358" s="500"/>
      <c r="O358" s="491"/>
      <c r="P358" s="491"/>
      <c r="Q358" s="491"/>
    </row>
    <row r="359" spans="1:18" x14ac:dyDescent="0.2">
      <c r="A359" s="1620">
        <v>630</v>
      </c>
      <c r="B359" s="1253"/>
      <c r="C359" s="1253" t="s">
        <v>361</v>
      </c>
      <c r="D359" s="1028">
        <f>SUM(D360,D361,D362,D364,D365)</f>
        <v>200</v>
      </c>
      <c r="E359" s="1028">
        <f t="shared" ref="E359:F359" si="51">SUM(E360:E365)</f>
        <v>2324</v>
      </c>
      <c r="F359" s="1028">
        <f t="shared" si="51"/>
        <v>650</v>
      </c>
      <c r="G359" s="1028">
        <v>1470</v>
      </c>
      <c r="H359" s="1319">
        <f t="shared" ref="H359" si="52">SUM(H360:H365)</f>
        <v>650</v>
      </c>
      <c r="I359" s="1028">
        <f>SUM(I360:I365)</f>
        <v>1521</v>
      </c>
      <c r="J359" s="1290">
        <f t="shared" ref="J359:L359" si="53">SUM(J360:J365)</f>
        <v>1650</v>
      </c>
      <c r="K359" s="1545">
        <f t="shared" si="53"/>
        <v>1650</v>
      </c>
      <c r="L359" s="1027">
        <f t="shared" si="53"/>
        <v>1650</v>
      </c>
      <c r="M359" s="58"/>
      <c r="O359" s="50"/>
      <c r="P359" s="50"/>
      <c r="Q359" s="50"/>
    </row>
    <row r="360" spans="1:18" x14ac:dyDescent="0.2">
      <c r="A360" s="835" t="s">
        <v>450</v>
      </c>
      <c r="B360" s="835"/>
      <c r="C360" s="835" t="s">
        <v>195</v>
      </c>
      <c r="D360" s="1090">
        <v>0</v>
      </c>
      <c r="E360" s="1090">
        <v>0</v>
      </c>
      <c r="F360" s="1090">
        <v>0</v>
      </c>
      <c r="G360" s="1090">
        <v>0</v>
      </c>
      <c r="H360" s="1319">
        <v>0</v>
      </c>
      <c r="I360" s="1090">
        <v>0</v>
      </c>
      <c r="J360" s="1290">
        <v>0</v>
      </c>
      <c r="K360" s="1545">
        <v>0</v>
      </c>
      <c r="L360" s="1581">
        <v>0</v>
      </c>
      <c r="M360" s="490"/>
      <c r="O360" s="509"/>
      <c r="P360" s="486"/>
      <c r="Q360" s="509"/>
    </row>
    <row r="361" spans="1:18" x14ac:dyDescent="0.2">
      <c r="A361" s="835">
        <v>632</v>
      </c>
      <c r="B361" s="835"/>
      <c r="C361" s="835" t="s">
        <v>451</v>
      </c>
      <c r="D361" s="1090">
        <v>200</v>
      </c>
      <c r="E361" s="1090">
        <v>242</v>
      </c>
      <c r="F361" s="1090">
        <v>0</v>
      </c>
      <c r="G361" s="1090">
        <v>0</v>
      </c>
      <c r="H361" s="1319">
        <v>0</v>
      </c>
      <c r="I361" s="1090">
        <v>0</v>
      </c>
      <c r="J361" s="1290">
        <v>0</v>
      </c>
      <c r="K361" s="1545">
        <v>0</v>
      </c>
      <c r="L361" s="1581">
        <v>0</v>
      </c>
      <c r="M361" s="490"/>
      <c r="O361" s="509"/>
      <c r="P361" s="486"/>
      <c r="Q361" s="509"/>
    </row>
    <row r="362" spans="1:18" x14ac:dyDescent="0.2">
      <c r="A362" s="1031">
        <v>633</v>
      </c>
      <c r="B362" s="1031"/>
      <c r="C362" s="1031" t="s">
        <v>573</v>
      </c>
      <c r="D362" s="1090">
        <v>0</v>
      </c>
      <c r="E362" s="1090">
        <v>2082</v>
      </c>
      <c r="F362" s="1090">
        <v>500</v>
      </c>
      <c r="G362" s="1090">
        <v>1320</v>
      </c>
      <c r="H362" s="1319">
        <v>500</v>
      </c>
      <c r="I362" s="1090">
        <v>1371</v>
      </c>
      <c r="J362" s="1290">
        <v>1500</v>
      </c>
      <c r="K362" s="1545">
        <v>1500</v>
      </c>
      <c r="L362" s="1581">
        <v>1500</v>
      </c>
      <c r="M362" s="490"/>
      <c r="O362" s="509"/>
      <c r="P362" s="486"/>
      <c r="Q362" s="509"/>
    </row>
    <row r="363" spans="1:18" x14ac:dyDescent="0.2">
      <c r="A363" s="1031"/>
      <c r="B363" s="1031"/>
      <c r="C363" s="1187" t="s">
        <v>768</v>
      </c>
      <c r="D363" s="1190"/>
      <c r="E363" s="1271"/>
      <c r="F363" s="1271"/>
      <c r="G363" s="1271"/>
      <c r="H363" s="1319"/>
      <c r="I363" s="1271"/>
      <c r="J363" s="1290"/>
      <c r="K363" s="1545"/>
      <c r="L363" s="1621"/>
      <c r="M363" s="490"/>
      <c r="O363" s="509"/>
      <c r="P363" s="486"/>
      <c r="Q363" s="509"/>
    </row>
    <row r="364" spans="1:18" x14ac:dyDescent="0.2">
      <c r="A364" s="1031">
        <v>635</v>
      </c>
      <c r="B364" s="1031"/>
      <c r="C364" s="1031" t="s">
        <v>293</v>
      </c>
      <c r="D364" s="1090">
        <v>0</v>
      </c>
      <c r="E364" s="1090">
        <v>0</v>
      </c>
      <c r="F364" s="1090">
        <v>150</v>
      </c>
      <c r="G364" s="1090">
        <v>150</v>
      </c>
      <c r="H364" s="1319">
        <v>150</v>
      </c>
      <c r="I364" s="1090">
        <v>150</v>
      </c>
      <c r="J364" s="1290">
        <v>150</v>
      </c>
      <c r="K364" s="1545">
        <v>150</v>
      </c>
      <c r="L364" s="1581">
        <v>150</v>
      </c>
      <c r="M364" s="490"/>
      <c r="O364" s="509"/>
      <c r="P364" s="486"/>
      <c r="Q364" s="509"/>
    </row>
    <row r="365" spans="1:18" x14ac:dyDescent="0.2">
      <c r="A365" s="1031">
        <v>637</v>
      </c>
      <c r="B365" s="1031"/>
      <c r="C365" s="1031" t="s">
        <v>207</v>
      </c>
      <c r="D365" s="1090">
        <v>0</v>
      </c>
      <c r="E365" s="1090">
        <v>0</v>
      </c>
      <c r="F365" s="1090">
        <v>0</v>
      </c>
      <c r="G365" s="1090">
        <v>0</v>
      </c>
      <c r="H365" s="1319">
        <v>0</v>
      </c>
      <c r="I365" s="1090">
        <v>0</v>
      </c>
      <c r="J365" s="1290">
        <v>0</v>
      </c>
      <c r="K365" s="1545">
        <v>0</v>
      </c>
      <c r="L365" s="1581">
        <v>0</v>
      </c>
      <c r="M365" s="490"/>
      <c r="O365" s="509"/>
      <c r="P365" s="486"/>
      <c r="Q365" s="509"/>
    </row>
    <row r="366" spans="1:18" hidden="1" x14ac:dyDescent="0.2">
      <c r="A366" s="1031"/>
      <c r="B366" s="1031"/>
      <c r="C366" s="1031"/>
      <c r="D366" s="1033"/>
      <c r="E366" s="1027"/>
      <c r="F366" s="1619"/>
      <c r="G366" s="1027"/>
      <c r="H366" s="1619"/>
      <c r="I366" s="1619"/>
      <c r="J366" s="1290"/>
      <c r="K366" s="1027"/>
      <c r="L366" s="1027"/>
      <c r="M366" s="490"/>
      <c r="O366" s="509"/>
      <c r="P366" s="486"/>
      <c r="Q366" s="509"/>
    </row>
    <row r="367" spans="1:18" hidden="1" x14ac:dyDescent="0.2">
      <c r="A367" s="1031"/>
      <c r="B367" s="1031"/>
      <c r="C367" s="1031"/>
      <c r="D367" s="1033"/>
      <c r="E367" s="1027"/>
      <c r="F367" s="1619"/>
      <c r="G367" s="1027"/>
      <c r="H367" s="1619"/>
      <c r="I367" s="1619"/>
      <c r="J367" s="1290"/>
      <c r="K367" s="1027"/>
      <c r="L367" s="1027"/>
      <c r="M367" s="490"/>
      <c r="O367" s="509"/>
      <c r="P367" s="486"/>
      <c r="Q367" s="509"/>
    </row>
    <row r="368" spans="1:18" hidden="1" x14ac:dyDescent="0.2">
      <c r="A368" s="1031"/>
      <c r="B368" s="1031"/>
      <c r="C368" s="1031"/>
      <c r="D368" s="1033"/>
      <c r="E368" s="1027"/>
      <c r="F368" s="1619"/>
      <c r="G368" s="1027"/>
      <c r="H368" s="1619"/>
      <c r="I368" s="1619"/>
      <c r="J368" s="1290"/>
      <c r="K368" s="1027"/>
      <c r="L368" s="1027"/>
      <c r="M368" s="490"/>
      <c r="O368" s="509"/>
      <c r="P368" s="486"/>
      <c r="Q368" s="509"/>
    </row>
    <row r="369" spans="1:18" s="92" customFormat="1" ht="11.25" x14ac:dyDescent="0.2">
      <c r="A369" s="1834" t="s">
        <v>574</v>
      </c>
      <c r="B369" s="1834"/>
      <c r="C369" s="1834"/>
      <c r="D369" s="1835">
        <f>D371</f>
        <v>1478</v>
      </c>
      <c r="E369" s="1836">
        <f t="shared" ref="E369:L369" si="54">SUM(E370)</f>
        <v>881</v>
      </c>
      <c r="F369" s="1836">
        <f t="shared" si="54"/>
        <v>1000</v>
      </c>
      <c r="G369" s="1836">
        <f t="shared" si="54"/>
        <v>1100</v>
      </c>
      <c r="H369" s="1836">
        <f t="shared" si="54"/>
        <v>1000</v>
      </c>
      <c r="I369" s="1836">
        <f t="shared" si="54"/>
        <v>800</v>
      </c>
      <c r="J369" s="1592">
        <f t="shared" si="54"/>
        <v>1000</v>
      </c>
      <c r="K369" s="1836">
        <f t="shared" si="54"/>
        <v>1000</v>
      </c>
      <c r="L369" s="1836">
        <f t="shared" si="54"/>
        <v>1000</v>
      </c>
      <c r="M369" s="508"/>
      <c r="N369" s="491"/>
      <c r="O369" s="491"/>
      <c r="P369" s="491"/>
      <c r="Q369" s="491"/>
    </row>
    <row r="370" spans="1:18" x14ac:dyDescent="0.2">
      <c r="A370" s="1252">
        <v>637</v>
      </c>
      <c r="B370" s="1252"/>
      <c r="C370" s="1253" t="s">
        <v>207</v>
      </c>
      <c r="D370" s="1027">
        <f t="shared" ref="D370:L370" si="55">D371</f>
        <v>1478</v>
      </c>
      <c r="E370" s="1248">
        <v>881</v>
      </c>
      <c r="F370" s="1248">
        <v>1000</v>
      </c>
      <c r="G370" s="1028">
        <f t="shared" si="55"/>
        <v>1100</v>
      </c>
      <c r="H370" s="1028">
        <f t="shared" si="55"/>
        <v>1000</v>
      </c>
      <c r="I370" s="1028">
        <f t="shared" si="55"/>
        <v>800</v>
      </c>
      <c r="J370" s="1290">
        <f t="shared" si="55"/>
        <v>1000</v>
      </c>
      <c r="K370" s="1545">
        <f t="shared" si="55"/>
        <v>1000</v>
      </c>
      <c r="L370" s="1027">
        <f t="shared" si="55"/>
        <v>1000</v>
      </c>
      <c r="M370" s="58"/>
      <c r="O370" s="50"/>
      <c r="P370" s="50"/>
      <c r="Q370" s="50"/>
    </row>
    <row r="371" spans="1:18" x14ac:dyDescent="0.2">
      <c r="A371" s="1031">
        <v>637</v>
      </c>
      <c r="B371" s="1031" t="s">
        <v>120</v>
      </c>
      <c r="C371" s="835" t="s">
        <v>575</v>
      </c>
      <c r="D371" s="1581">
        <v>1478</v>
      </c>
      <c r="E371" s="1622">
        <v>881</v>
      </c>
      <c r="F371" s="1622">
        <v>1000</v>
      </c>
      <c r="G371" s="1090">
        <v>1100</v>
      </c>
      <c r="H371" s="1090">
        <v>1000</v>
      </c>
      <c r="I371" s="1090">
        <v>800</v>
      </c>
      <c r="J371" s="1290">
        <v>1000</v>
      </c>
      <c r="K371" s="1545">
        <v>1000</v>
      </c>
      <c r="L371" s="1581">
        <v>1000</v>
      </c>
      <c r="M371" s="490"/>
      <c r="O371" s="509"/>
      <c r="P371" s="486"/>
      <c r="Q371" s="509"/>
    </row>
    <row r="372" spans="1:18" x14ac:dyDescent="0.2">
      <c r="A372" s="1834" t="s">
        <v>817</v>
      </c>
      <c r="B372" s="1834"/>
      <c r="C372" s="1834"/>
      <c r="D372" s="1835">
        <f>D374</f>
        <v>0</v>
      </c>
      <c r="E372" s="1836">
        <f>E373+E374</f>
        <v>7100</v>
      </c>
      <c r="F372" s="1836">
        <f t="shared" ref="F372:L372" si="56">SUM(F373)+F374</f>
        <v>10000</v>
      </c>
      <c r="G372" s="1836">
        <f t="shared" si="56"/>
        <v>12350</v>
      </c>
      <c r="H372" s="1836">
        <f t="shared" si="56"/>
        <v>10000</v>
      </c>
      <c r="I372" s="1836">
        <f t="shared" si="56"/>
        <v>10000</v>
      </c>
      <c r="J372" s="1592">
        <f t="shared" si="56"/>
        <v>10000</v>
      </c>
      <c r="K372" s="1836">
        <f t="shared" si="56"/>
        <v>10000</v>
      </c>
      <c r="L372" s="1836">
        <f t="shared" si="56"/>
        <v>10000</v>
      </c>
      <c r="M372" s="490"/>
      <c r="O372" s="509"/>
      <c r="P372" s="486"/>
      <c r="Q372" s="509"/>
    </row>
    <row r="373" spans="1:18" x14ac:dyDescent="0.2">
      <c r="A373" s="1031">
        <v>635</v>
      </c>
      <c r="B373" s="1031"/>
      <c r="C373" s="835" t="s">
        <v>278</v>
      </c>
      <c r="D373" s="1089"/>
      <c r="E373" s="1248">
        <v>330</v>
      </c>
      <c r="F373" s="1248">
        <v>0</v>
      </c>
      <c r="G373" s="1028">
        <v>2350</v>
      </c>
      <c r="H373" s="1028">
        <v>0</v>
      </c>
      <c r="I373" s="1028">
        <v>0</v>
      </c>
      <c r="J373" s="1290">
        <v>0</v>
      </c>
      <c r="K373" s="1545">
        <v>0</v>
      </c>
      <c r="L373" s="1027">
        <v>0</v>
      </c>
      <c r="M373" s="490"/>
      <c r="O373" s="509"/>
      <c r="P373" s="486"/>
      <c r="Q373" s="509"/>
    </row>
    <row r="374" spans="1:18" x14ac:dyDescent="0.2">
      <c r="A374" s="1031">
        <v>637</v>
      </c>
      <c r="B374" s="1031" t="s">
        <v>111</v>
      </c>
      <c r="C374" s="835" t="s">
        <v>818</v>
      </c>
      <c r="D374" s="1090"/>
      <c r="E374" s="1623">
        <v>6770</v>
      </c>
      <c r="F374" s="1623">
        <v>10000</v>
      </c>
      <c r="G374" s="1087">
        <v>10000</v>
      </c>
      <c r="H374" s="1087">
        <v>10000</v>
      </c>
      <c r="I374" s="1087">
        <v>10000</v>
      </c>
      <c r="J374" s="1290">
        <v>10000</v>
      </c>
      <c r="K374" s="1610">
        <v>10000</v>
      </c>
      <c r="L374" s="1600">
        <v>10000</v>
      </c>
      <c r="M374" s="490"/>
      <c r="O374" s="509"/>
      <c r="P374" s="486"/>
      <c r="Q374" s="509"/>
    </row>
    <row r="375" spans="1:18" s="92" customFormat="1" ht="11.25" x14ac:dyDescent="0.2">
      <c r="A375" s="1834" t="s">
        <v>576</v>
      </c>
      <c r="B375" s="1834"/>
      <c r="C375" s="1834"/>
      <c r="D375" s="1835">
        <f>SUM(D376:D378)</f>
        <v>18828</v>
      </c>
      <c r="E375" s="1836">
        <f t="shared" ref="E375:J375" si="57">SUM(E376,E377)+E378</f>
        <v>1464</v>
      </c>
      <c r="F375" s="1836">
        <f t="shared" si="57"/>
        <v>3000</v>
      </c>
      <c r="G375" s="1836">
        <f t="shared" si="57"/>
        <v>9250</v>
      </c>
      <c r="H375" s="1836">
        <f t="shared" si="57"/>
        <v>3000</v>
      </c>
      <c r="I375" s="1836">
        <f t="shared" si="57"/>
        <v>10451</v>
      </c>
      <c r="J375" s="1577">
        <f t="shared" si="57"/>
        <v>5000</v>
      </c>
      <c r="K375" s="1836">
        <f>SUM(K376,K377,K378)</f>
        <v>3000</v>
      </c>
      <c r="L375" s="1836">
        <f>SUM(L376,L377,L378)</f>
        <v>3000</v>
      </c>
      <c r="M375" s="508"/>
      <c r="N375" s="491"/>
      <c r="O375" s="469"/>
      <c r="P375" s="469"/>
      <c r="Q375" s="469"/>
    </row>
    <row r="376" spans="1:18" s="20" customFormat="1" x14ac:dyDescent="0.2">
      <c r="A376" s="1576">
        <v>630</v>
      </c>
      <c r="B376" s="1071"/>
      <c r="C376" s="1071" t="s">
        <v>577</v>
      </c>
      <c r="D376" s="1027">
        <v>1687</v>
      </c>
      <c r="E376" s="1248">
        <v>964</v>
      </c>
      <c r="F376" s="1248">
        <v>2000</v>
      </c>
      <c r="G376" s="1028">
        <v>3000</v>
      </c>
      <c r="H376" s="1319">
        <v>2000</v>
      </c>
      <c r="I376" s="1028">
        <v>2500</v>
      </c>
      <c r="J376" s="1290">
        <v>2000</v>
      </c>
      <c r="K376" s="1545">
        <v>2000</v>
      </c>
      <c r="L376" s="1027">
        <v>2000</v>
      </c>
      <c r="M376" s="64"/>
      <c r="N376" s="48"/>
      <c r="O376" s="58"/>
      <c r="P376" s="50"/>
      <c r="Q376" s="50"/>
      <c r="R376" s="16"/>
    </row>
    <row r="377" spans="1:18" s="33" customFormat="1" x14ac:dyDescent="0.2">
      <c r="A377" s="1092">
        <v>642</v>
      </c>
      <c r="B377" s="1092"/>
      <c r="C377" s="1071" t="s">
        <v>377</v>
      </c>
      <c r="D377" s="1027">
        <v>1200</v>
      </c>
      <c r="E377" s="1248">
        <v>450</v>
      </c>
      <c r="F377" s="1248">
        <v>1000</v>
      </c>
      <c r="G377" s="1028">
        <v>1000</v>
      </c>
      <c r="H377" s="1319">
        <v>1000</v>
      </c>
      <c r="I377" s="1028">
        <v>7300</v>
      </c>
      <c r="J377" s="1290">
        <v>3000</v>
      </c>
      <c r="K377" s="1545">
        <v>1000</v>
      </c>
      <c r="L377" s="1027">
        <v>1000</v>
      </c>
      <c r="M377" s="58"/>
      <c r="N377" s="20"/>
      <c r="O377" s="50"/>
      <c r="P377" s="50"/>
      <c r="Q377" s="50"/>
      <c r="R377" s="16"/>
    </row>
    <row r="378" spans="1:18" s="33" customFormat="1" x14ac:dyDescent="0.2">
      <c r="A378" s="1031">
        <v>642</v>
      </c>
      <c r="B378" s="1031" t="s">
        <v>97</v>
      </c>
      <c r="C378" s="835" t="s">
        <v>587</v>
      </c>
      <c r="D378" s="1033">
        <v>15941</v>
      </c>
      <c r="E378" s="1248">
        <v>50</v>
      </c>
      <c r="F378" s="1248">
        <v>0</v>
      </c>
      <c r="G378" s="1028">
        <v>5250</v>
      </c>
      <c r="H378" s="1319">
        <v>0</v>
      </c>
      <c r="I378" s="1028">
        <v>651</v>
      </c>
      <c r="J378" s="1290">
        <v>0</v>
      </c>
      <c r="K378" s="1516">
        <v>0</v>
      </c>
      <c r="L378" s="1624">
        <v>0</v>
      </c>
      <c r="M378" s="490"/>
      <c r="N378" s="20"/>
      <c r="O378" s="509"/>
      <c r="P378" s="50"/>
      <c r="Q378" s="50"/>
      <c r="R378" s="16"/>
    </row>
    <row r="379" spans="1:18" x14ac:dyDescent="0.2">
      <c r="A379" s="1546" t="s">
        <v>578</v>
      </c>
      <c r="B379" s="1547"/>
      <c r="C379" s="1548" t="s">
        <v>579</v>
      </c>
      <c r="D379" s="1550">
        <f>D321+D334+D358+D369+D375</f>
        <v>115952</v>
      </c>
      <c r="E379" s="1549">
        <f>SUM(E321,E334,E358,E369,E375)+E372</f>
        <v>83404</v>
      </c>
      <c r="F379" s="1549">
        <f>F321+F334+F358+F369+F375+F372</f>
        <v>90250</v>
      </c>
      <c r="G379" s="1549">
        <f t="shared" ref="G379:L379" si="58">SUM(G321,G334,G358,G369,G375)+G372</f>
        <v>123000</v>
      </c>
      <c r="H379" s="1549">
        <f t="shared" si="58"/>
        <v>95250</v>
      </c>
      <c r="I379" s="1549">
        <f t="shared" si="58"/>
        <v>140524</v>
      </c>
      <c r="J379" s="1301">
        <f t="shared" si="58"/>
        <v>121750</v>
      </c>
      <c r="K379" s="1549">
        <f t="shared" si="58"/>
        <v>119250</v>
      </c>
      <c r="L379" s="1549">
        <f t="shared" si="58"/>
        <v>120250</v>
      </c>
      <c r="M379" s="65"/>
      <c r="N379" s="491"/>
      <c r="O379" s="469"/>
      <c r="P379" s="469"/>
      <c r="Q379" s="469"/>
      <c r="R379" s="510"/>
    </row>
    <row r="380" spans="1:18" hidden="1" x14ac:dyDescent="0.2">
      <c r="A380" s="504"/>
      <c r="B380" s="50"/>
      <c r="C380" s="88"/>
      <c r="D380" s="88"/>
      <c r="E380" s="88"/>
      <c r="F380" s="88"/>
      <c r="G380" s="505"/>
      <c r="H380" s="505"/>
      <c r="I380" s="505"/>
      <c r="J380" s="1284"/>
      <c r="K380" s="505"/>
      <c r="L380" s="506"/>
    </row>
    <row r="381" spans="1:18" hidden="1" x14ac:dyDescent="0.2">
      <c r="A381" s="504"/>
      <c r="B381" s="50"/>
      <c r="C381" s="88"/>
      <c r="D381" s="88"/>
      <c r="E381" s="88"/>
      <c r="F381" s="88"/>
      <c r="G381" s="505"/>
      <c r="H381" s="505"/>
      <c r="I381" s="505"/>
      <c r="J381" s="1284"/>
      <c r="K381" s="505"/>
      <c r="L381" s="506"/>
    </row>
    <row r="382" spans="1:18" hidden="1" x14ac:dyDescent="0.2">
      <c r="A382" s="504"/>
      <c r="B382" s="50"/>
      <c r="C382" s="88"/>
      <c r="D382" s="88"/>
      <c r="E382" s="88"/>
      <c r="F382" s="88"/>
      <c r="G382" s="505"/>
      <c r="H382" s="505"/>
      <c r="I382" s="505"/>
      <c r="J382" s="1284"/>
      <c r="K382" s="505"/>
      <c r="L382" s="506"/>
    </row>
    <row r="383" spans="1:18" x14ac:dyDescent="0.2">
      <c r="A383" s="504"/>
      <c r="B383" s="50"/>
      <c r="C383" s="88"/>
      <c r="D383" s="88"/>
      <c r="E383" s="88"/>
      <c r="F383" s="88"/>
      <c r="G383" s="505"/>
      <c r="H383" s="505"/>
      <c r="I383" s="505"/>
      <c r="J383" s="1238"/>
      <c r="K383" s="505"/>
      <c r="L383" s="506"/>
    </row>
    <row r="384" spans="1:18" x14ac:dyDescent="0.2">
      <c r="A384" s="504"/>
      <c r="B384" s="50"/>
      <c r="C384" s="88"/>
      <c r="D384" s="88"/>
      <c r="E384" s="88"/>
      <c r="F384" s="88"/>
      <c r="G384" s="505"/>
      <c r="H384" s="2074" t="s">
        <v>580</v>
      </c>
      <c r="I384" s="2074"/>
      <c r="J384" s="2074"/>
      <c r="K384" s="2074"/>
      <c r="L384" s="2074"/>
      <c r="M384" s="86"/>
      <c r="N384" s="86"/>
      <c r="O384" s="86"/>
      <c r="P384" s="86"/>
      <c r="Q384" s="86"/>
    </row>
    <row r="385" spans="1:18" s="498" customFormat="1" x14ac:dyDescent="0.2">
      <c r="A385" s="1537" t="s">
        <v>431</v>
      </c>
      <c r="B385" s="1538"/>
      <c r="C385" s="1539"/>
      <c r="D385" s="1539">
        <v>2018</v>
      </c>
      <c r="E385" s="1540" t="s">
        <v>909</v>
      </c>
      <c r="F385" s="1540">
        <v>2021</v>
      </c>
      <c r="G385" s="1541">
        <v>2022</v>
      </c>
      <c r="H385" s="1818">
        <v>2023</v>
      </c>
      <c r="I385" s="1542" t="s">
        <v>981</v>
      </c>
      <c r="J385" s="1543">
        <v>2024</v>
      </c>
      <c r="K385" s="1541">
        <v>2025</v>
      </c>
      <c r="L385" s="1541">
        <v>2026</v>
      </c>
      <c r="M385" s="495"/>
      <c r="N385" s="496"/>
      <c r="O385" s="497"/>
      <c r="P385" s="465"/>
      <c r="Q385" s="466"/>
    </row>
    <row r="386" spans="1:18" s="92" customFormat="1" ht="11.25" x14ac:dyDescent="0.2">
      <c r="A386" s="1834" t="s">
        <v>581</v>
      </c>
      <c r="B386" s="1834"/>
      <c r="C386" s="1834"/>
      <c r="D386" s="1835">
        <f t="shared" ref="D386:L386" si="59">D387+D422</f>
        <v>223646</v>
      </c>
      <c r="E386" s="1836">
        <f>E387+E422</f>
        <v>271238.79000000004</v>
      </c>
      <c r="F386" s="1836">
        <f>F387+F422+F421</f>
        <v>281682</v>
      </c>
      <c r="G386" s="1836">
        <f t="shared" si="59"/>
        <v>289409</v>
      </c>
      <c r="H386" s="1836">
        <f>H387+H422</f>
        <v>335512</v>
      </c>
      <c r="I386" s="1836">
        <f>I387+I422+I421</f>
        <v>347121</v>
      </c>
      <c r="J386" s="1625">
        <f>J387+J422</f>
        <v>369455</v>
      </c>
      <c r="K386" s="1836">
        <f t="shared" si="59"/>
        <v>384066</v>
      </c>
      <c r="L386" s="1836">
        <f t="shared" si="59"/>
        <v>396212</v>
      </c>
      <c r="M386" s="508"/>
      <c r="N386" s="491"/>
      <c r="O386" s="469"/>
      <c r="P386" s="469"/>
      <c r="Q386" s="469"/>
    </row>
    <row r="387" spans="1:18" s="92" customFormat="1" ht="11.25" x14ac:dyDescent="0.2">
      <c r="A387" s="2093" t="s">
        <v>163</v>
      </c>
      <c r="B387" s="2093"/>
      <c r="C387" s="2093"/>
      <c r="D387" s="1837">
        <f>D388+D390+D392</f>
        <v>200646</v>
      </c>
      <c r="E387" s="1832">
        <f>E388+E390+E392+E421</f>
        <v>271238.79000000004</v>
      </c>
      <c r="F387" s="1832">
        <f>F388+F390+F392+F421-F421+F389</f>
        <v>236830</v>
      </c>
      <c r="G387" s="1832">
        <f>G388+G390+G392+G389+G391</f>
        <v>244247</v>
      </c>
      <c r="H387" s="1832">
        <f>H388+H390+H392+H389</f>
        <v>279031</v>
      </c>
      <c r="I387" s="1832">
        <f>I388+I390+I392+I389</f>
        <v>293286</v>
      </c>
      <c r="J387" s="1626">
        <f>J388+J390+J392+J389</f>
        <v>312735</v>
      </c>
      <c r="K387" s="1832">
        <f>K388+K390+K392+K421+K389</f>
        <v>325856</v>
      </c>
      <c r="L387" s="1832">
        <f>L388+L390+L392+L421+L389</f>
        <v>337902</v>
      </c>
      <c r="M387" s="508"/>
      <c r="N387" s="491"/>
      <c r="O387" s="469"/>
      <c r="P387" s="469"/>
      <c r="Q387" s="469"/>
    </row>
    <row r="388" spans="1:18" x14ac:dyDescent="0.2">
      <c r="A388" s="1627"/>
      <c r="B388" s="1266">
        <v>610</v>
      </c>
      <c r="C388" s="1628" t="s">
        <v>447</v>
      </c>
      <c r="D388" s="1095">
        <v>120000</v>
      </c>
      <c r="E388" s="1095">
        <v>133323.16</v>
      </c>
      <c r="F388" s="1095">
        <v>122500</v>
      </c>
      <c r="G388" s="1095">
        <v>133082</v>
      </c>
      <c r="H388" s="1514">
        <v>150578</v>
      </c>
      <c r="I388" s="1514">
        <v>149870</v>
      </c>
      <c r="J388" s="1305">
        <v>155000</v>
      </c>
      <c r="K388" s="1629">
        <v>160000</v>
      </c>
      <c r="L388" s="1630">
        <v>165000</v>
      </c>
      <c r="M388" s="64"/>
      <c r="N388" s="48"/>
      <c r="O388" s="58"/>
      <c r="P388" s="50"/>
      <c r="Q388" s="58"/>
    </row>
    <row r="389" spans="1:18" x14ac:dyDescent="0.2">
      <c r="A389" s="1627"/>
      <c r="B389" s="1266">
        <v>610</v>
      </c>
      <c r="C389" s="1628" t="s">
        <v>844</v>
      </c>
      <c r="D389" s="1095"/>
      <c r="E389" s="1095"/>
      <c r="F389" s="1095">
        <v>26598</v>
      </c>
      <c r="G389" s="1095">
        <v>16993</v>
      </c>
      <c r="H389" s="1514">
        <v>15880</v>
      </c>
      <c r="I389" s="1514">
        <v>22772</v>
      </c>
      <c r="J389" s="1305">
        <v>26760</v>
      </c>
      <c r="K389" s="1629">
        <v>28000</v>
      </c>
      <c r="L389" s="1630">
        <v>30000</v>
      </c>
      <c r="M389" s="64"/>
      <c r="N389" s="48"/>
      <c r="O389" s="58"/>
      <c r="P389" s="50"/>
      <c r="Q389" s="58"/>
    </row>
    <row r="390" spans="1:18" x14ac:dyDescent="0.2">
      <c r="A390" s="1265"/>
      <c r="B390" s="1266">
        <v>620</v>
      </c>
      <c r="C390" s="1631" t="s">
        <v>193</v>
      </c>
      <c r="D390" s="1095">
        <v>42000</v>
      </c>
      <c r="E390" s="1095">
        <v>74505.039999999994</v>
      </c>
      <c r="F390" s="1095">
        <v>42800</v>
      </c>
      <c r="G390" s="1095">
        <v>52451</v>
      </c>
      <c r="H390" s="1514">
        <v>58177</v>
      </c>
      <c r="I390" s="1514">
        <v>60338</v>
      </c>
      <c r="J390" s="1305">
        <v>63525</v>
      </c>
      <c r="K390" s="1629">
        <v>65706</v>
      </c>
      <c r="L390" s="1630">
        <v>68152</v>
      </c>
      <c r="M390" s="64"/>
      <c r="N390" s="48"/>
      <c r="O390" s="58"/>
      <c r="P390" s="50"/>
      <c r="Q390" s="58"/>
    </row>
    <row r="391" spans="1:18" x14ac:dyDescent="0.2">
      <c r="A391" s="2077">
        <v>610.62</v>
      </c>
      <c r="B391" s="2077"/>
      <c r="C391" s="1031" t="s">
        <v>845</v>
      </c>
      <c r="D391" s="1256"/>
      <c r="E391" s="1256"/>
      <c r="F391" s="1256"/>
      <c r="G391" s="1319"/>
      <c r="H391" s="1256"/>
      <c r="I391" s="1256"/>
      <c r="J391" s="1290"/>
      <c r="K391" s="1632"/>
      <c r="L391" s="1633"/>
      <c r="M391" s="64"/>
      <c r="N391" s="48"/>
      <c r="O391" s="58"/>
      <c r="P391" s="50"/>
      <c r="Q391" s="58"/>
    </row>
    <row r="392" spans="1:18" s="33" customFormat="1" x14ac:dyDescent="0.2">
      <c r="A392" s="1091"/>
      <c r="B392" s="1266" t="s">
        <v>583</v>
      </c>
      <c r="C392" s="1634" t="s">
        <v>361</v>
      </c>
      <c r="D392" s="1094">
        <f>D393+D394+D404+D408+D416</f>
        <v>38646</v>
      </c>
      <c r="E392" s="1095">
        <v>43578.59</v>
      </c>
      <c r="F392" s="1095">
        <f>F393+F394+F404+F408+F416+F421</f>
        <v>44932</v>
      </c>
      <c r="G392" s="1514">
        <f>G393+G394+G404+G408+G416+G421</f>
        <v>41721</v>
      </c>
      <c r="H392" s="1095">
        <f>H393+H394+H404+H408+H416+H421</f>
        <v>54396</v>
      </c>
      <c r="I392" s="1095">
        <f>I393+I394+I404+I408+I416+I421</f>
        <v>60306</v>
      </c>
      <c r="J392" s="1305">
        <f>J393+J394+J404+J408+J416+J421</f>
        <v>67450</v>
      </c>
      <c r="K392" s="1629">
        <f>K393+K394+K404+K408+K416</f>
        <v>72150</v>
      </c>
      <c r="L392" s="1630">
        <f>L393+L394+L404+L408+L416</f>
        <v>74750</v>
      </c>
      <c r="M392" s="64"/>
      <c r="N392" s="48"/>
      <c r="O392" s="58"/>
      <c r="P392" s="50"/>
      <c r="Q392" s="58"/>
      <c r="R392" s="49"/>
    </row>
    <row r="393" spans="1:18" s="33" customFormat="1" x14ac:dyDescent="0.2">
      <c r="A393" s="1563">
        <v>632</v>
      </c>
      <c r="B393" s="1563"/>
      <c r="C393" s="1563" t="s">
        <v>451</v>
      </c>
      <c r="D393" s="1241">
        <v>15600</v>
      </c>
      <c r="E393" s="1191">
        <v>0</v>
      </c>
      <c r="F393" s="1191">
        <v>15000</v>
      </c>
      <c r="G393" s="1191">
        <v>18176</v>
      </c>
      <c r="H393" s="1514">
        <v>25446</v>
      </c>
      <c r="I393" s="1514">
        <v>19666</v>
      </c>
      <c r="J393" s="1305">
        <v>25000</v>
      </c>
      <c r="K393" s="1629">
        <v>27000</v>
      </c>
      <c r="L393" s="1630">
        <v>30000</v>
      </c>
      <c r="M393" s="64"/>
      <c r="N393" s="48"/>
      <c r="O393" s="58"/>
      <c r="P393" s="50"/>
      <c r="Q393" s="58"/>
      <c r="R393" s="49"/>
    </row>
    <row r="394" spans="1:18" s="33" customFormat="1" x14ac:dyDescent="0.2">
      <c r="A394" s="1567">
        <v>633</v>
      </c>
      <c r="B394" s="1567"/>
      <c r="C394" s="1567" t="s">
        <v>453</v>
      </c>
      <c r="D394" s="1241">
        <f t="shared" ref="D394:L394" si="60">SUM(D395:D403)</f>
        <v>5500</v>
      </c>
      <c r="E394" s="1191">
        <f t="shared" si="60"/>
        <v>0</v>
      </c>
      <c r="F394" s="1191">
        <f t="shared" si="60"/>
        <v>10250</v>
      </c>
      <c r="G394" s="1514">
        <f t="shared" si="60"/>
        <v>3028</v>
      </c>
      <c r="H394" s="1191">
        <f t="shared" si="60"/>
        <v>6450</v>
      </c>
      <c r="I394" s="1191">
        <f t="shared" ref="I394" si="61">SUM(I395:I403)</f>
        <v>4991</v>
      </c>
      <c r="J394" s="1305">
        <f>SUM(J395:J403)</f>
        <v>6500</v>
      </c>
      <c r="K394" s="1629">
        <f t="shared" si="60"/>
        <v>7000</v>
      </c>
      <c r="L394" s="1630">
        <f t="shared" si="60"/>
        <v>7100</v>
      </c>
      <c r="M394" s="64"/>
      <c r="N394" s="48"/>
      <c r="O394" s="58"/>
      <c r="P394" s="50"/>
      <c r="Q394" s="58"/>
      <c r="R394" s="49"/>
    </row>
    <row r="395" spans="1:18" s="33" customFormat="1" x14ac:dyDescent="0.2">
      <c r="A395" s="835">
        <v>633</v>
      </c>
      <c r="B395" s="835" t="s">
        <v>94</v>
      </c>
      <c r="C395" s="835" t="s">
        <v>454</v>
      </c>
      <c r="D395" s="1090">
        <v>0</v>
      </c>
      <c r="E395" s="1090"/>
      <c r="F395" s="1090">
        <v>2000</v>
      </c>
      <c r="G395" s="1090">
        <v>18</v>
      </c>
      <c r="H395" s="1523">
        <v>1000</v>
      </c>
      <c r="I395" s="1523">
        <v>972</v>
      </c>
      <c r="J395" s="1321">
        <v>1000</v>
      </c>
      <c r="K395" s="1610">
        <v>1000</v>
      </c>
      <c r="L395" s="1600">
        <v>1000</v>
      </c>
      <c r="M395" s="64"/>
      <c r="N395" s="48"/>
      <c r="O395" s="58"/>
      <c r="P395" s="50"/>
      <c r="Q395" s="58"/>
      <c r="R395" s="49"/>
    </row>
    <row r="396" spans="1:18" s="33" customFormat="1" x14ac:dyDescent="0.2">
      <c r="A396" s="1031">
        <v>633</v>
      </c>
      <c r="B396" s="1568" t="s">
        <v>97</v>
      </c>
      <c r="C396" s="1031" t="s">
        <v>455</v>
      </c>
      <c r="D396" s="1090">
        <v>0</v>
      </c>
      <c r="E396" s="1090"/>
      <c r="F396" s="1090">
        <v>200</v>
      </c>
      <c r="G396" s="1090">
        <v>20</v>
      </c>
      <c r="H396" s="1523">
        <v>0</v>
      </c>
      <c r="I396" s="1523">
        <v>703</v>
      </c>
      <c r="J396" s="1321">
        <v>500</v>
      </c>
      <c r="K396" s="1610">
        <v>500</v>
      </c>
      <c r="L396" s="1600">
        <v>500</v>
      </c>
      <c r="M396" s="64"/>
      <c r="N396" s="48"/>
      <c r="O396" s="58"/>
      <c r="P396" s="50"/>
      <c r="Q396" s="58"/>
      <c r="R396" s="49"/>
    </row>
    <row r="397" spans="1:18" s="33" customFormat="1" x14ac:dyDescent="0.2">
      <c r="A397" s="1031">
        <v>633</v>
      </c>
      <c r="B397" s="1568" t="s">
        <v>120</v>
      </c>
      <c r="C397" s="1031" t="s">
        <v>456</v>
      </c>
      <c r="D397" s="1090">
        <v>2200</v>
      </c>
      <c r="E397" s="1090"/>
      <c r="F397" s="1090">
        <v>600</v>
      </c>
      <c r="G397" s="1090">
        <v>86</v>
      </c>
      <c r="H397" s="1523">
        <v>300</v>
      </c>
      <c r="I397" s="1523">
        <v>508</v>
      </c>
      <c r="J397" s="1321">
        <v>500</v>
      </c>
      <c r="K397" s="1610">
        <v>500</v>
      </c>
      <c r="L397" s="1600">
        <v>500</v>
      </c>
      <c r="M397" s="64"/>
      <c r="N397" s="48"/>
      <c r="O397" s="58"/>
      <c r="P397" s="50"/>
      <c r="Q397" s="58"/>
      <c r="R397" s="49"/>
    </row>
    <row r="398" spans="1:18" s="33" customFormat="1" x14ac:dyDescent="0.2">
      <c r="A398" s="1031">
        <v>633</v>
      </c>
      <c r="B398" s="1031" t="s">
        <v>125</v>
      </c>
      <c r="C398" s="1031" t="s">
        <v>458</v>
      </c>
      <c r="D398" s="1090">
        <v>1800</v>
      </c>
      <c r="E398" s="1090"/>
      <c r="F398" s="1090">
        <v>4000</v>
      </c>
      <c r="G398" s="1090">
        <v>1587</v>
      </c>
      <c r="H398" s="1523">
        <v>2500</v>
      </c>
      <c r="I398" s="1523">
        <v>1201</v>
      </c>
      <c r="J398" s="1321">
        <v>2000</v>
      </c>
      <c r="K398" s="1610">
        <v>2000</v>
      </c>
      <c r="L398" s="1600">
        <v>2000</v>
      </c>
      <c r="M398" s="64"/>
      <c r="N398" s="48"/>
      <c r="O398" s="58"/>
      <c r="P398" s="50"/>
      <c r="Q398" s="58"/>
      <c r="R398" s="49"/>
    </row>
    <row r="399" spans="1:18" s="33" customFormat="1" x14ac:dyDescent="0.2">
      <c r="A399" s="1031">
        <v>633</v>
      </c>
      <c r="B399" s="1031" t="s">
        <v>459</v>
      </c>
      <c r="C399" s="1031" t="s">
        <v>460</v>
      </c>
      <c r="D399" s="1090">
        <v>1300</v>
      </c>
      <c r="E399" s="1090"/>
      <c r="F399" s="1090">
        <v>1900</v>
      </c>
      <c r="G399" s="1090">
        <v>622</v>
      </c>
      <c r="H399" s="1523">
        <v>1500</v>
      </c>
      <c r="I399" s="1523">
        <v>213</v>
      </c>
      <c r="J399" s="1321">
        <v>1000</v>
      </c>
      <c r="K399" s="1610">
        <v>1500</v>
      </c>
      <c r="L399" s="1600">
        <v>1500</v>
      </c>
      <c r="M399" s="64"/>
      <c r="N399" s="48"/>
      <c r="O399" s="58"/>
      <c r="P399" s="50"/>
      <c r="Q399" s="58"/>
      <c r="R399" s="49"/>
    </row>
    <row r="400" spans="1:18" s="33" customFormat="1" x14ac:dyDescent="0.2">
      <c r="A400" s="1031">
        <v>633</v>
      </c>
      <c r="B400" s="1031" t="s">
        <v>461</v>
      </c>
      <c r="C400" s="1031" t="s">
        <v>462</v>
      </c>
      <c r="D400" s="1090">
        <v>0</v>
      </c>
      <c r="E400" s="1090"/>
      <c r="F400" s="1090">
        <v>350</v>
      </c>
      <c r="G400" s="1090">
        <v>0</v>
      </c>
      <c r="H400" s="1523">
        <v>100</v>
      </c>
      <c r="I400" s="1523">
        <v>251</v>
      </c>
      <c r="J400" s="1321">
        <v>300</v>
      </c>
      <c r="K400" s="1610">
        <v>300</v>
      </c>
      <c r="L400" s="1600">
        <v>400</v>
      </c>
      <c r="M400" s="64"/>
      <c r="N400" s="48"/>
      <c r="O400" s="58"/>
      <c r="P400" s="50"/>
      <c r="Q400" s="58"/>
      <c r="R400" s="49"/>
    </row>
    <row r="401" spans="1:18" s="33" customFormat="1" x14ac:dyDescent="0.2">
      <c r="A401" s="1031">
        <v>633</v>
      </c>
      <c r="B401" s="1031" t="s">
        <v>463</v>
      </c>
      <c r="C401" s="1031" t="s">
        <v>780</v>
      </c>
      <c r="D401" s="1090">
        <v>0</v>
      </c>
      <c r="E401" s="1090"/>
      <c r="F401" s="1090">
        <v>200</v>
      </c>
      <c r="G401" s="1090">
        <v>92</v>
      </c>
      <c r="H401" s="1523">
        <v>200</v>
      </c>
      <c r="I401" s="1523">
        <v>114</v>
      </c>
      <c r="J401" s="1321">
        <v>200</v>
      </c>
      <c r="K401" s="1610">
        <v>200</v>
      </c>
      <c r="L401" s="1600">
        <v>200</v>
      </c>
      <c r="M401" s="64"/>
      <c r="N401" s="48"/>
      <c r="O401" s="58"/>
      <c r="P401" s="50"/>
      <c r="Q401" s="58"/>
      <c r="R401" s="49"/>
    </row>
    <row r="402" spans="1:18" s="33" customFormat="1" x14ac:dyDescent="0.2">
      <c r="A402" s="1031">
        <v>633</v>
      </c>
      <c r="B402" s="1031" t="s">
        <v>103</v>
      </c>
      <c r="C402" s="1031" t="s">
        <v>465</v>
      </c>
      <c r="D402" s="1090">
        <v>200</v>
      </c>
      <c r="E402" s="1090"/>
      <c r="F402" s="1090">
        <v>500</v>
      </c>
      <c r="G402" s="1090">
        <v>103</v>
      </c>
      <c r="H402" s="1523">
        <v>350</v>
      </c>
      <c r="I402" s="1523">
        <v>709</v>
      </c>
      <c r="J402" s="1321">
        <v>500</v>
      </c>
      <c r="K402" s="1610">
        <v>500</v>
      </c>
      <c r="L402" s="1600">
        <v>500</v>
      </c>
      <c r="M402" s="64"/>
      <c r="N402" s="48"/>
      <c r="O402" s="58"/>
      <c r="P402" s="50"/>
      <c r="Q402" s="58"/>
      <c r="R402" s="49"/>
    </row>
    <row r="403" spans="1:18" s="33" customFormat="1" x14ac:dyDescent="0.2">
      <c r="A403" s="1031">
        <v>633</v>
      </c>
      <c r="B403" s="1031" t="s">
        <v>466</v>
      </c>
      <c r="C403" s="1031" t="s">
        <v>467</v>
      </c>
      <c r="D403" s="1090"/>
      <c r="E403" s="1090"/>
      <c r="F403" s="1090">
        <v>500</v>
      </c>
      <c r="G403" s="1090">
        <v>500</v>
      </c>
      <c r="H403" s="1523">
        <v>500</v>
      </c>
      <c r="I403" s="1523">
        <v>320</v>
      </c>
      <c r="J403" s="1321">
        <v>500</v>
      </c>
      <c r="K403" s="1610">
        <v>500</v>
      </c>
      <c r="L403" s="1600">
        <v>500</v>
      </c>
      <c r="M403" s="64"/>
      <c r="N403" s="48"/>
      <c r="O403" s="58"/>
      <c r="P403" s="50"/>
      <c r="Q403" s="58"/>
      <c r="R403" s="49"/>
    </row>
    <row r="404" spans="1:18" s="33" customFormat="1" x14ac:dyDescent="0.2">
      <c r="A404" s="1567">
        <v>635</v>
      </c>
      <c r="B404" s="1567"/>
      <c r="C404" s="1567" t="s">
        <v>475</v>
      </c>
      <c r="D404" s="1241">
        <f t="shared" ref="D404:L404" si="62">SUM(D405:D407)</f>
        <v>1160</v>
      </c>
      <c r="E404" s="1191"/>
      <c r="F404" s="1191">
        <f>SUM(F405:F407)</f>
        <v>3950</v>
      </c>
      <c r="G404" s="1514">
        <f>SUM(G405:G407)</f>
        <v>1940</v>
      </c>
      <c r="H404" s="1191">
        <f t="shared" si="62"/>
        <v>2100</v>
      </c>
      <c r="I404" s="1191">
        <f t="shared" ref="I404" si="63">SUM(I405:I407)</f>
        <v>3847</v>
      </c>
      <c r="J404" s="1305">
        <f>SUM(J405:J407)</f>
        <v>2600</v>
      </c>
      <c r="K404" s="1629">
        <f t="shared" si="62"/>
        <v>2600</v>
      </c>
      <c r="L404" s="1630">
        <f t="shared" si="62"/>
        <v>2600</v>
      </c>
      <c r="M404" s="64"/>
      <c r="N404" s="48"/>
      <c r="O404" s="58"/>
      <c r="P404" s="50"/>
      <c r="Q404" s="58"/>
      <c r="R404" s="49"/>
    </row>
    <row r="405" spans="1:18" s="33" customFormat="1" x14ac:dyDescent="0.2">
      <c r="A405" s="1031">
        <v>635</v>
      </c>
      <c r="B405" s="1031" t="s">
        <v>97</v>
      </c>
      <c r="C405" s="1031" t="s">
        <v>476</v>
      </c>
      <c r="D405" s="1090">
        <v>0</v>
      </c>
      <c r="E405" s="1090"/>
      <c r="F405" s="1090">
        <v>150</v>
      </c>
      <c r="G405" s="1090">
        <v>0</v>
      </c>
      <c r="H405" s="1523">
        <v>100</v>
      </c>
      <c r="I405" s="1523">
        <v>16</v>
      </c>
      <c r="J405" s="1321">
        <v>100</v>
      </c>
      <c r="K405" s="1610">
        <v>100</v>
      </c>
      <c r="L405" s="1600">
        <v>100</v>
      </c>
      <c r="M405" s="64"/>
      <c r="N405" s="48"/>
      <c r="O405" s="58"/>
      <c r="P405" s="50"/>
      <c r="Q405" s="58"/>
      <c r="R405" s="49"/>
    </row>
    <row r="406" spans="1:18" s="33" customFormat="1" x14ac:dyDescent="0.2">
      <c r="A406" s="1031">
        <v>635</v>
      </c>
      <c r="B406" s="1031" t="s">
        <v>111</v>
      </c>
      <c r="C406" s="1031" t="s">
        <v>477</v>
      </c>
      <c r="D406" s="1090">
        <v>60</v>
      </c>
      <c r="E406" s="1090"/>
      <c r="F406" s="1090">
        <v>200</v>
      </c>
      <c r="G406" s="1090">
        <v>1940</v>
      </c>
      <c r="H406" s="1523">
        <v>1000</v>
      </c>
      <c r="I406" s="1523">
        <v>115</v>
      </c>
      <c r="J406" s="1321">
        <v>500</v>
      </c>
      <c r="K406" s="1610">
        <v>500</v>
      </c>
      <c r="L406" s="1600">
        <v>500</v>
      </c>
      <c r="M406" s="64"/>
      <c r="N406" s="48"/>
      <c r="O406" s="58"/>
      <c r="P406" s="50"/>
      <c r="Q406" s="58"/>
      <c r="R406" s="49"/>
    </row>
    <row r="407" spans="1:18" s="33" customFormat="1" x14ac:dyDescent="0.2">
      <c r="A407" s="1031">
        <v>635</v>
      </c>
      <c r="B407" s="1031" t="s">
        <v>125</v>
      </c>
      <c r="C407" s="1031" t="s">
        <v>478</v>
      </c>
      <c r="D407" s="1090">
        <v>1100</v>
      </c>
      <c r="E407" s="1090"/>
      <c r="F407" s="1090">
        <v>3600</v>
      </c>
      <c r="G407" s="1090">
        <v>0</v>
      </c>
      <c r="H407" s="1523">
        <v>1000</v>
      </c>
      <c r="I407" s="1523">
        <v>3716</v>
      </c>
      <c r="J407" s="1321">
        <v>2000</v>
      </c>
      <c r="K407" s="1610">
        <v>2000</v>
      </c>
      <c r="L407" s="1600">
        <v>2000</v>
      </c>
      <c r="M407" s="64"/>
      <c r="N407" s="48"/>
      <c r="O407" s="58"/>
      <c r="P407" s="50"/>
      <c r="Q407" s="58"/>
      <c r="R407" s="49"/>
    </row>
    <row r="408" spans="1:18" s="33" customFormat="1" x14ac:dyDescent="0.2">
      <c r="A408" s="1567">
        <v>637</v>
      </c>
      <c r="B408" s="1567"/>
      <c r="C408" s="1567" t="s">
        <v>481</v>
      </c>
      <c r="D408" s="1241">
        <f t="shared" ref="D408:L408" si="64">SUM(D409:D415)</f>
        <v>3286</v>
      </c>
      <c r="E408" s="1191"/>
      <c r="F408" s="1191">
        <f>SUM(F409:F415)</f>
        <v>7200</v>
      </c>
      <c r="G408" s="1514">
        <f>SUM(G409:G415)</f>
        <v>6367</v>
      </c>
      <c r="H408" s="1191">
        <f t="shared" si="64"/>
        <v>8100</v>
      </c>
      <c r="I408" s="1191">
        <f t="shared" ref="I408" si="65">SUM(I409:I415)</f>
        <v>12691</v>
      </c>
      <c r="J408" s="1305">
        <f>SUM(J409:J415)</f>
        <v>13050</v>
      </c>
      <c r="K408" s="1629">
        <f t="shared" si="64"/>
        <v>13250</v>
      </c>
      <c r="L408" s="1630">
        <f t="shared" si="64"/>
        <v>12750</v>
      </c>
      <c r="M408" s="64"/>
      <c r="N408" s="48"/>
      <c r="O408" s="58"/>
      <c r="P408" s="50"/>
      <c r="Q408" s="58"/>
      <c r="R408" s="49"/>
    </row>
    <row r="409" spans="1:18" s="33" customFormat="1" x14ac:dyDescent="0.2">
      <c r="A409" s="1031">
        <v>637</v>
      </c>
      <c r="B409" s="1031" t="s">
        <v>94</v>
      </c>
      <c r="C409" s="1031" t="s">
        <v>482</v>
      </c>
      <c r="D409" s="1090">
        <v>0</v>
      </c>
      <c r="E409" s="1090"/>
      <c r="F409" s="1090">
        <v>600</v>
      </c>
      <c r="G409" s="1090">
        <v>0</v>
      </c>
      <c r="H409" s="1523">
        <v>300</v>
      </c>
      <c r="I409" s="1523">
        <v>483</v>
      </c>
      <c r="J409" s="1321">
        <v>350</v>
      </c>
      <c r="K409" s="1610">
        <v>350</v>
      </c>
      <c r="L409" s="1033">
        <v>350</v>
      </c>
      <c r="M409" s="64"/>
      <c r="N409" s="48"/>
      <c r="O409" s="58"/>
      <c r="P409" s="50"/>
      <c r="Q409" s="58"/>
      <c r="R409" s="49"/>
    </row>
    <row r="410" spans="1:18" s="33" customFormat="1" x14ac:dyDescent="0.2">
      <c r="A410" s="1031">
        <v>637</v>
      </c>
      <c r="B410" s="1031" t="s">
        <v>111</v>
      </c>
      <c r="C410" s="1031" t="s">
        <v>485</v>
      </c>
      <c r="D410" s="1090">
        <v>1000</v>
      </c>
      <c r="E410" s="1090"/>
      <c r="F410" s="1090">
        <v>4000</v>
      </c>
      <c r="G410" s="1090">
        <v>4828</v>
      </c>
      <c r="H410" s="1523">
        <v>5000</v>
      </c>
      <c r="I410" s="1523">
        <v>5912</v>
      </c>
      <c r="J410" s="1321">
        <v>5500</v>
      </c>
      <c r="K410" s="1610">
        <v>5500</v>
      </c>
      <c r="L410" s="1033">
        <v>5500</v>
      </c>
      <c r="M410" s="64"/>
      <c r="N410" s="48"/>
      <c r="O410" s="58"/>
      <c r="P410" s="50"/>
      <c r="Q410" s="58"/>
      <c r="R410" s="49"/>
    </row>
    <row r="411" spans="1:18" s="33" customFormat="1" x14ac:dyDescent="0.2">
      <c r="A411" s="1031">
        <v>637</v>
      </c>
      <c r="B411" s="1031" t="s">
        <v>120</v>
      </c>
      <c r="C411" s="1031" t="s">
        <v>326</v>
      </c>
      <c r="D411" s="1090">
        <v>112</v>
      </c>
      <c r="E411" s="1090"/>
      <c r="F411" s="1090">
        <v>500</v>
      </c>
      <c r="G411" s="1090">
        <v>0</v>
      </c>
      <c r="H411" s="1523">
        <v>500</v>
      </c>
      <c r="I411" s="1523">
        <v>0</v>
      </c>
      <c r="J411" s="1321">
        <v>500</v>
      </c>
      <c r="K411" s="1610">
        <v>500</v>
      </c>
      <c r="L411" s="1033">
        <v>0</v>
      </c>
      <c r="M411" s="64"/>
      <c r="N411" s="48"/>
      <c r="O411" s="58"/>
      <c r="P411" s="50"/>
      <c r="Q411" s="58"/>
      <c r="R411" s="49"/>
    </row>
    <row r="412" spans="1:18" s="33" customFormat="1" x14ac:dyDescent="0.2">
      <c r="A412" s="1031">
        <v>637</v>
      </c>
      <c r="B412" s="1031" t="s">
        <v>102</v>
      </c>
      <c r="C412" s="1031" t="s">
        <v>486</v>
      </c>
      <c r="D412" s="1090">
        <v>50</v>
      </c>
      <c r="E412" s="1090"/>
      <c r="F412" s="1090">
        <v>550</v>
      </c>
      <c r="G412" s="1090">
        <v>379</v>
      </c>
      <c r="H412" s="1523">
        <v>500</v>
      </c>
      <c r="I412" s="1523">
        <v>463</v>
      </c>
      <c r="J412" s="1321">
        <v>500</v>
      </c>
      <c r="K412" s="1610">
        <v>500</v>
      </c>
      <c r="L412" s="1033">
        <v>500</v>
      </c>
      <c r="M412" s="64"/>
      <c r="N412" s="48"/>
      <c r="O412" s="58"/>
      <c r="P412" s="50"/>
      <c r="Q412" s="58"/>
      <c r="R412" s="49"/>
    </row>
    <row r="413" spans="1:18" s="33" customFormat="1" x14ac:dyDescent="0.2">
      <c r="A413" s="1031">
        <v>637</v>
      </c>
      <c r="B413" s="1031" t="s">
        <v>105</v>
      </c>
      <c r="C413" s="1031" t="s">
        <v>487</v>
      </c>
      <c r="D413" s="1090">
        <v>0</v>
      </c>
      <c r="E413" s="1090"/>
      <c r="F413" s="1090">
        <v>0</v>
      </c>
      <c r="G413" s="1090">
        <v>0</v>
      </c>
      <c r="H413" s="1523">
        <v>0</v>
      </c>
      <c r="I413" s="1523">
        <v>3866</v>
      </c>
      <c r="J413" s="1321">
        <v>3900</v>
      </c>
      <c r="K413" s="1610">
        <v>3900</v>
      </c>
      <c r="L413" s="1033">
        <v>3900</v>
      </c>
      <c r="M413" s="64"/>
      <c r="N413" s="48"/>
      <c r="O413" s="58"/>
      <c r="P413" s="50"/>
      <c r="Q413" s="58"/>
      <c r="R413" s="49"/>
    </row>
    <row r="414" spans="1:18" s="33" customFormat="1" x14ac:dyDescent="0.2">
      <c r="A414" s="1031">
        <v>637</v>
      </c>
      <c r="B414" s="1031" t="s">
        <v>466</v>
      </c>
      <c r="C414" s="1031" t="s">
        <v>491</v>
      </c>
      <c r="D414" s="1090">
        <v>1900</v>
      </c>
      <c r="E414" s="1090"/>
      <c r="F414" s="1090">
        <v>1550</v>
      </c>
      <c r="G414" s="1090">
        <v>960</v>
      </c>
      <c r="H414" s="1523">
        <v>1300</v>
      </c>
      <c r="I414" s="1523">
        <v>1687</v>
      </c>
      <c r="J414" s="1321">
        <v>1800</v>
      </c>
      <c r="K414" s="1610">
        <v>2000</v>
      </c>
      <c r="L414" s="1033">
        <v>2000</v>
      </c>
      <c r="M414" s="64"/>
      <c r="N414" s="48"/>
      <c r="O414" s="58"/>
      <c r="P414" s="50"/>
      <c r="Q414" s="58"/>
      <c r="R414" s="49"/>
    </row>
    <row r="415" spans="1:18" s="33" customFormat="1" x14ac:dyDescent="0.2">
      <c r="A415" s="1031">
        <v>637</v>
      </c>
      <c r="B415" s="1031" t="s">
        <v>494</v>
      </c>
      <c r="C415" s="1031" t="s">
        <v>910</v>
      </c>
      <c r="D415" s="1090">
        <v>224</v>
      </c>
      <c r="E415" s="1090"/>
      <c r="F415" s="1090">
        <v>0</v>
      </c>
      <c r="G415" s="1090">
        <v>200</v>
      </c>
      <c r="H415" s="1523">
        <v>500</v>
      </c>
      <c r="I415" s="1523">
        <v>280</v>
      </c>
      <c r="J415" s="1321">
        <v>500</v>
      </c>
      <c r="K415" s="1610">
        <v>500</v>
      </c>
      <c r="L415" s="1033">
        <v>500</v>
      </c>
      <c r="M415" s="64"/>
      <c r="N415" s="48"/>
      <c r="O415" s="58"/>
      <c r="P415" s="50"/>
      <c r="Q415" s="58"/>
      <c r="R415" s="49"/>
    </row>
    <row r="416" spans="1:18" s="33" customFormat="1" x14ac:dyDescent="0.2">
      <c r="A416" s="1575">
        <v>640</v>
      </c>
      <c r="B416" s="1567"/>
      <c r="C416" s="1567" t="s">
        <v>495</v>
      </c>
      <c r="D416" s="1241">
        <f>SUM(D417:D421)</f>
        <v>13100</v>
      </c>
      <c r="E416" s="1191"/>
      <c r="F416" s="1191">
        <f>SUM(F417:F421)-F421-F418</f>
        <v>5327</v>
      </c>
      <c r="G416" s="1514">
        <f>G417+G418+G419+G420</f>
        <v>12210</v>
      </c>
      <c r="H416" s="1191">
        <f t="shared" ref="H416:L416" si="66">H417+H418</f>
        <v>12300</v>
      </c>
      <c r="I416" s="1191">
        <f t="shared" ref="I416" si="67">I417+I418</f>
        <v>19111</v>
      </c>
      <c r="J416" s="1305">
        <f>J417+J418+J419+J420</f>
        <v>20300</v>
      </c>
      <c r="K416" s="1635">
        <f t="shared" si="66"/>
        <v>22300</v>
      </c>
      <c r="L416" s="1630">
        <f t="shared" si="66"/>
        <v>22300</v>
      </c>
      <c r="M416" s="64"/>
      <c r="N416" s="48"/>
      <c r="O416" s="58"/>
      <c r="P416" s="50"/>
      <c r="Q416" s="58"/>
      <c r="R416" s="49"/>
    </row>
    <row r="417" spans="1:18" s="33" customFormat="1" x14ac:dyDescent="0.2">
      <c r="A417" s="1091"/>
      <c r="B417" s="1091"/>
      <c r="C417" s="1093" t="s">
        <v>386</v>
      </c>
      <c r="D417" s="1257">
        <v>50</v>
      </c>
      <c r="E417" s="1257"/>
      <c r="F417" s="1319">
        <v>0</v>
      </c>
      <c r="G417" s="1257">
        <v>0</v>
      </c>
      <c r="H417" s="1523">
        <v>300</v>
      </c>
      <c r="I417" s="1523">
        <v>0</v>
      </c>
      <c r="J417" s="1321">
        <v>300</v>
      </c>
      <c r="K417" s="1636">
        <v>300</v>
      </c>
      <c r="L417" s="1637">
        <v>300</v>
      </c>
      <c r="M417" s="529"/>
      <c r="N417" s="530"/>
      <c r="O417" s="529"/>
      <c r="P417" s="467"/>
      <c r="Q417" s="529"/>
      <c r="R417" s="16"/>
    </row>
    <row r="418" spans="1:18" s="33" customFormat="1" x14ac:dyDescent="0.2">
      <c r="A418" s="1091"/>
      <c r="B418" s="1091"/>
      <c r="C418" s="1093" t="s">
        <v>584</v>
      </c>
      <c r="D418" s="1257">
        <v>3500</v>
      </c>
      <c r="E418" s="1257"/>
      <c r="F418" s="1319">
        <v>7887</v>
      </c>
      <c r="G418" s="1257">
        <v>12210</v>
      </c>
      <c r="H418" s="1523">
        <v>12000</v>
      </c>
      <c r="I418" s="1523">
        <v>19111</v>
      </c>
      <c r="J418" s="1321">
        <v>20000</v>
      </c>
      <c r="K418" s="1638">
        <v>22000</v>
      </c>
      <c r="L418" s="1639">
        <v>22000</v>
      </c>
      <c r="M418" s="529"/>
      <c r="N418" s="530"/>
      <c r="O418" s="529"/>
      <c r="P418" s="467"/>
      <c r="Q418" s="529"/>
      <c r="R418" s="16"/>
    </row>
    <row r="419" spans="1:18" s="33" customFormat="1" x14ac:dyDescent="0.2">
      <c r="A419" s="1091"/>
      <c r="B419" s="1091"/>
      <c r="C419" s="1093" t="s">
        <v>888</v>
      </c>
      <c r="D419" s="1257"/>
      <c r="E419" s="1257"/>
      <c r="F419" s="1319">
        <v>100</v>
      </c>
      <c r="G419" s="1257"/>
      <c r="H419" s="1523">
        <v>0</v>
      </c>
      <c r="I419" s="1523">
        <v>0</v>
      </c>
      <c r="J419" s="1321">
        <v>0</v>
      </c>
      <c r="K419" s="1638"/>
      <c r="L419" s="1639"/>
      <c r="M419" s="529"/>
      <c r="N419" s="530"/>
      <c r="O419" s="529"/>
      <c r="P419" s="467"/>
      <c r="Q419" s="529"/>
      <c r="R419" s="16"/>
    </row>
    <row r="420" spans="1:18" s="33" customFormat="1" x14ac:dyDescent="0.2">
      <c r="A420" s="1091"/>
      <c r="B420" s="1091"/>
      <c r="C420" s="1093" t="s">
        <v>885</v>
      </c>
      <c r="D420" s="1257"/>
      <c r="E420" s="1257"/>
      <c r="F420" s="1319">
        <v>5227</v>
      </c>
      <c r="G420" s="1257"/>
      <c r="H420" s="1523">
        <v>0</v>
      </c>
      <c r="I420" s="1523">
        <v>0</v>
      </c>
      <c r="J420" s="1321">
        <v>0</v>
      </c>
      <c r="K420" s="1638"/>
      <c r="L420" s="1639"/>
      <c r="M420" s="529"/>
      <c r="N420" s="530"/>
      <c r="O420" s="529"/>
      <c r="P420" s="467"/>
      <c r="Q420" s="529"/>
      <c r="R420" s="16"/>
    </row>
    <row r="421" spans="1:18" s="33" customFormat="1" x14ac:dyDescent="0.2">
      <c r="A421" s="1091"/>
      <c r="B421" s="1091"/>
      <c r="C421" s="1071" t="s">
        <v>585</v>
      </c>
      <c r="D421" s="1087">
        <v>9550</v>
      </c>
      <c r="E421" s="1087">
        <v>19832</v>
      </c>
      <c r="F421" s="1640">
        <v>3205</v>
      </c>
      <c r="G421" s="1087">
        <v>0</v>
      </c>
      <c r="H421" s="1523">
        <v>0</v>
      </c>
      <c r="I421" s="1523">
        <v>0</v>
      </c>
      <c r="J421" s="1321">
        <v>0</v>
      </c>
      <c r="K421" s="1610">
        <v>0</v>
      </c>
      <c r="L421" s="1600">
        <v>0</v>
      </c>
      <c r="M421" s="64"/>
      <c r="N421" s="48"/>
      <c r="O421" s="58"/>
      <c r="P421" s="50"/>
      <c r="Q421" s="58"/>
      <c r="R421" s="16"/>
    </row>
    <row r="422" spans="1:18" s="33" customFormat="1" x14ac:dyDescent="0.2">
      <c r="A422" s="2093" t="s">
        <v>720</v>
      </c>
      <c r="B422" s="2093"/>
      <c r="C422" s="2093"/>
      <c r="D422" s="1837">
        <f>SUM(D423:D425)</f>
        <v>23000</v>
      </c>
      <c r="E422" s="1837"/>
      <c r="F422" s="2094">
        <f>F425+F423+F424</f>
        <v>41647</v>
      </c>
      <c r="G422" s="1837">
        <f>G423+G424+G425</f>
        <v>45162</v>
      </c>
      <c r="H422" s="1837">
        <f>H425+H423+H424</f>
        <v>56481</v>
      </c>
      <c r="I422" s="1837">
        <f>I425+I423+I424</f>
        <v>53835</v>
      </c>
      <c r="J422" s="1641">
        <f>J425+J423+J424</f>
        <v>56720</v>
      </c>
      <c r="K422" s="1837">
        <f>K425+K423+K424</f>
        <v>58210</v>
      </c>
      <c r="L422" s="1837">
        <f>L425+L423+L424</f>
        <v>58310</v>
      </c>
      <c r="M422" s="64"/>
      <c r="N422" s="48"/>
      <c r="O422" s="58"/>
      <c r="P422" s="50"/>
      <c r="Q422" s="58"/>
      <c r="R422" s="16"/>
    </row>
    <row r="423" spans="1:18" s="33" customFormat="1" x14ac:dyDescent="0.2">
      <c r="A423" s="1627"/>
      <c r="B423" s="1266">
        <v>610</v>
      </c>
      <c r="C423" s="1628" t="s">
        <v>447</v>
      </c>
      <c r="D423" s="1258"/>
      <c r="E423" s="1272"/>
      <c r="F423" s="1272">
        <v>17000</v>
      </c>
      <c r="G423" s="1272">
        <v>19390</v>
      </c>
      <c r="H423" s="1514">
        <v>20060</v>
      </c>
      <c r="I423" s="1514">
        <v>20062</v>
      </c>
      <c r="J423" s="1305">
        <v>22000</v>
      </c>
      <c r="K423" s="1564">
        <v>24000</v>
      </c>
      <c r="L423" s="1642">
        <v>24000</v>
      </c>
      <c r="M423" s="64"/>
      <c r="N423" s="48"/>
      <c r="O423" s="58"/>
      <c r="P423" s="50"/>
      <c r="Q423" s="58"/>
      <c r="R423" s="16"/>
    </row>
    <row r="424" spans="1:18" s="33" customFormat="1" x14ac:dyDescent="0.2">
      <c r="A424" s="1265"/>
      <c r="B424" s="1266">
        <v>620</v>
      </c>
      <c r="C424" s="1631" t="s">
        <v>193</v>
      </c>
      <c r="D424" s="1258"/>
      <c r="E424" s="1272"/>
      <c r="F424" s="1272">
        <v>6000</v>
      </c>
      <c r="G424" s="1272">
        <v>6776</v>
      </c>
      <c r="H424" s="1514">
        <v>7011</v>
      </c>
      <c r="I424" s="1514">
        <v>7012</v>
      </c>
      <c r="J424" s="1305">
        <v>7700</v>
      </c>
      <c r="K424" s="1564">
        <v>8390</v>
      </c>
      <c r="L424" s="1642">
        <v>8390</v>
      </c>
      <c r="M424" s="64"/>
      <c r="N424" s="48"/>
      <c r="O424" s="58"/>
      <c r="P424" s="50"/>
      <c r="Q424" s="58"/>
      <c r="R424" s="16"/>
    </row>
    <row r="425" spans="1:18" s="33" customFormat="1" x14ac:dyDescent="0.2">
      <c r="A425" s="1091"/>
      <c r="B425" s="1266" t="s">
        <v>583</v>
      </c>
      <c r="C425" s="1634" t="s">
        <v>361</v>
      </c>
      <c r="D425" s="1259">
        <f t="shared" ref="D425:L425" si="68">SUM(D426+D432+D436)</f>
        <v>23000</v>
      </c>
      <c r="E425" s="1259"/>
      <c r="F425" s="1259">
        <f>SUM(F426+F432+F436)</f>
        <v>18647</v>
      </c>
      <c r="G425" s="1514">
        <f>SUM(G426+G432+G436)</f>
        <v>18996</v>
      </c>
      <c r="H425" s="1259">
        <f t="shared" si="68"/>
        <v>29410</v>
      </c>
      <c r="I425" s="1259">
        <f t="shared" ref="I425" si="69">SUM(I426+I432+I436)</f>
        <v>26761</v>
      </c>
      <c r="J425" s="1305">
        <f>SUM(J426+J432+J436)</f>
        <v>27020</v>
      </c>
      <c r="K425" s="1629">
        <f t="shared" si="68"/>
        <v>25820</v>
      </c>
      <c r="L425" s="1643">
        <f t="shared" si="68"/>
        <v>25920</v>
      </c>
      <c r="M425" s="64"/>
      <c r="N425" s="48"/>
      <c r="O425" s="58"/>
      <c r="P425" s="50"/>
      <c r="Q425" s="58"/>
      <c r="R425" s="16"/>
    </row>
    <row r="426" spans="1:18" s="33" customFormat="1" x14ac:dyDescent="0.2">
      <c r="A426" s="1567">
        <v>633</v>
      </c>
      <c r="B426" s="1567"/>
      <c r="C426" s="1567" t="s">
        <v>453</v>
      </c>
      <c r="D426" s="1260">
        <f t="shared" ref="D426:L426" si="70">SUM(D427:D431)</f>
        <v>18000</v>
      </c>
      <c r="E426" s="1260"/>
      <c r="F426" s="1260">
        <f>SUM(F427:F431)</f>
        <v>15997</v>
      </c>
      <c r="G426" s="1514">
        <f>SUM(G427:G431)</f>
        <v>18587</v>
      </c>
      <c r="H426" s="1260">
        <f t="shared" si="70"/>
        <v>27960</v>
      </c>
      <c r="I426" s="1260">
        <f t="shared" ref="I426" si="71">SUM(I427:I431)</f>
        <v>24424</v>
      </c>
      <c r="J426" s="1305">
        <f>SUM(J427:J431)</f>
        <v>25770</v>
      </c>
      <c r="K426" s="1629">
        <f t="shared" si="70"/>
        <v>24870</v>
      </c>
      <c r="L426" s="1644">
        <f t="shared" si="70"/>
        <v>24770</v>
      </c>
      <c r="M426" s="64"/>
      <c r="N426" s="48"/>
      <c r="O426" s="58"/>
      <c r="P426" s="50"/>
      <c r="Q426" s="58"/>
      <c r="R426" s="16"/>
    </row>
    <row r="427" spans="1:18" s="33" customFormat="1" x14ac:dyDescent="0.2">
      <c r="A427" s="1031">
        <v>633</v>
      </c>
      <c r="B427" s="1568" t="s">
        <v>120</v>
      </c>
      <c r="C427" s="1031" t="s">
        <v>456</v>
      </c>
      <c r="D427" s="1090">
        <v>450</v>
      </c>
      <c r="E427" s="1090"/>
      <c r="F427" s="1319">
        <v>500</v>
      </c>
      <c r="G427" s="1090">
        <v>3283</v>
      </c>
      <c r="H427" s="1523">
        <v>2200</v>
      </c>
      <c r="I427" s="1523">
        <v>2318</v>
      </c>
      <c r="J427" s="1321">
        <v>2000</v>
      </c>
      <c r="K427" s="1610">
        <v>300</v>
      </c>
      <c r="L427" s="1600">
        <v>200</v>
      </c>
      <c r="M427" s="64"/>
      <c r="N427" s="48"/>
      <c r="O427" s="58"/>
      <c r="P427" s="50"/>
      <c r="Q427" s="58"/>
      <c r="R427" s="16"/>
    </row>
    <row r="428" spans="1:18" s="33" customFormat="1" x14ac:dyDescent="0.2">
      <c r="A428" s="1031">
        <v>633</v>
      </c>
      <c r="B428" s="1031" t="s">
        <v>125</v>
      </c>
      <c r="C428" s="1031" t="s">
        <v>458</v>
      </c>
      <c r="D428" s="1090">
        <v>1750</v>
      </c>
      <c r="E428" s="1090"/>
      <c r="F428" s="1319">
        <v>750</v>
      </c>
      <c r="G428" s="1090">
        <v>354</v>
      </c>
      <c r="H428" s="1523">
        <v>1050</v>
      </c>
      <c r="I428" s="1523">
        <v>783</v>
      </c>
      <c r="J428" s="1321">
        <v>1150</v>
      </c>
      <c r="K428" s="1610">
        <v>950</v>
      </c>
      <c r="L428" s="1600">
        <v>950</v>
      </c>
      <c r="M428" s="64"/>
      <c r="N428" s="48"/>
      <c r="O428" s="58"/>
      <c r="P428" s="50"/>
      <c r="Q428" s="58"/>
      <c r="R428" s="16"/>
    </row>
    <row r="429" spans="1:18" s="33" customFormat="1" x14ac:dyDescent="0.2">
      <c r="A429" s="1031">
        <v>633</v>
      </c>
      <c r="B429" s="1031" t="s">
        <v>461</v>
      </c>
      <c r="C429" s="1031" t="s">
        <v>462</v>
      </c>
      <c r="D429" s="1090">
        <v>160</v>
      </c>
      <c r="E429" s="1090"/>
      <c r="F429" s="1319">
        <v>160</v>
      </c>
      <c r="G429" s="1090">
        <v>0</v>
      </c>
      <c r="H429" s="1523">
        <v>60</v>
      </c>
      <c r="I429" s="1523">
        <v>225</v>
      </c>
      <c r="J429" s="1321">
        <v>60</v>
      </c>
      <c r="K429" s="1610">
        <v>60</v>
      </c>
      <c r="L429" s="1600">
        <v>60</v>
      </c>
      <c r="M429" s="64"/>
      <c r="N429" s="48"/>
      <c r="O429" s="58"/>
      <c r="P429" s="50"/>
      <c r="Q429" s="58"/>
      <c r="R429" s="16"/>
    </row>
    <row r="430" spans="1:18" s="33" customFormat="1" x14ac:dyDescent="0.2">
      <c r="A430" s="1031">
        <v>633</v>
      </c>
      <c r="B430" s="1031" t="s">
        <v>463</v>
      </c>
      <c r="C430" s="1031" t="s">
        <v>464</v>
      </c>
      <c r="D430" s="1090">
        <v>15600</v>
      </c>
      <c r="E430" s="1090"/>
      <c r="F430" s="1319">
        <v>14537</v>
      </c>
      <c r="G430" s="1090">
        <v>14900</v>
      </c>
      <c r="H430" s="1523">
        <v>24600</v>
      </c>
      <c r="I430" s="1523">
        <v>21038</v>
      </c>
      <c r="J430" s="1321">
        <v>22500</v>
      </c>
      <c r="K430" s="1610">
        <v>23500</v>
      </c>
      <c r="L430" s="1600">
        <v>23500</v>
      </c>
      <c r="M430" s="64"/>
      <c r="N430" s="48"/>
      <c r="O430" s="58"/>
      <c r="P430" s="50"/>
      <c r="Q430" s="58"/>
      <c r="R430" s="16"/>
    </row>
    <row r="431" spans="1:18" s="33" customFormat="1" x14ac:dyDescent="0.2">
      <c r="A431" s="1031">
        <v>633</v>
      </c>
      <c r="B431" s="1031" t="s">
        <v>103</v>
      </c>
      <c r="C431" s="1031" t="s">
        <v>465</v>
      </c>
      <c r="D431" s="1090">
        <v>40</v>
      </c>
      <c r="E431" s="1090"/>
      <c r="F431" s="1319">
        <v>50</v>
      </c>
      <c r="G431" s="1090">
        <v>50</v>
      </c>
      <c r="H431" s="1523">
        <v>50</v>
      </c>
      <c r="I431" s="1523">
        <v>60</v>
      </c>
      <c r="J431" s="1321">
        <v>60</v>
      </c>
      <c r="K431" s="1610">
        <v>60</v>
      </c>
      <c r="L431" s="1600">
        <v>60</v>
      </c>
      <c r="M431" s="64"/>
      <c r="N431" s="48"/>
      <c r="O431" s="58"/>
      <c r="P431" s="50"/>
      <c r="Q431" s="58"/>
      <c r="R431" s="16"/>
    </row>
    <row r="432" spans="1:18" s="33" customFormat="1" x14ac:dyDescent="0.2">
      <c r="A432" s="1567">
        <v>635</v>
      </c>
      <c r="B432" s="1567"/>
      <c r="C432" s="1567" t="s">
        <v>475</v>
      </c>
      <c r="D432" s="1260">
        <f t="shared" ref="D432:L432" si="72">SUM(D433:D435)</f>
        <v>1000</v>
      </c>
      <c r="E432" s="1260"/>
      <c r="F432" s="1260">
        <f>SUM(F433:F435)</f>
        <v>1000</v>
      </c>
      <c r="G432" s="1514">
        <f>SUM(G433:G435)</f>
        <v>359</v>
      </c>
      <c r="H432" s="1260">
        <f t="shared" si="72"/>
        <v>1350</v>
      </c>
      <c r="I432" s="1260">
        <f t="shared" ref="I432" si="73">SUM(I433:I435)</f>
        <v>2044</v>
      </c>
      <c r="J432" s="1305">
        <f>SUM(J433:J435)</f>
        <v>850</v>
      </c>
      <c r="K432" s="1645">
        <f t="shared" si="72"/>
        <v>550</v>
      </c>
      <c r="L432" s="1646">
        <f t="shared" si="72"/>
        <v>750</v>
      </c>
      <c r="M432" s="64"/>
      <c r="N432" s="48"/>
      <c r="O432" s="58"/>
      <c r="P432" s="50"/>
      <c r="Q432" s="58"/>
      <c r="R432" s="16"/>
    </row>
    <row r="433" spans="1:18" s="33" customFormat="1" x14ac:dyDescent="0.2">
      <c r="A433" s="1031">
        <v>635</v>
      </c>
      <c r="B433" s="1031" t="s">
        <v>97</v>
      </c>
      <c r="C433" s="1031" t="s">
        <v>476</v>
      </c>
      <c r="D433" s="1090">
        <v>0</v>
      </c>
      <c r="E433" s="1090"/>
      <c r="F433" s="1090">
        <v>0</v>
      </c>
      <c r="G433" s="1090">
        <v>50</v>
      </c>
      <c r="H433" s="1523">
        <v>50</v>
      </c>
      <c r="I433" s="1523">
        <v>0</v>
      </c>
      <c r="J433" s="1321">
        <v>50</v>
      </c>
      <c r="K433" s="1610">
        <v>50</v>
      </c>
      <c r="L433" s="1600">
        <v>50</v>
      </c>
      <c r="M433" s="64"/>
      <c r="N433" s="48"/>
      <c r="O433" s="58"/>
      <c r="P433" s="50"/>
      <c r="Q433" s="58"/>
      <c r="R433" s="16"/>
    </row>
    <row r="434" spans="1:18" s="33" customFormat="1" x14ac:dyDescent="0.2">
      <c r="A434" s="1031">
        <v>635</v>
      </c>
      <c r="B434" s="1031" t="s">
        <v>111</v>
      </c>
      <c r="C434" s="1031" t="s">
        <v>477</v>
      </c>
      <c r="D434" s="1090">
        <v>1000</v>
      </c>
      <c r="E434" s="1090"/>
      <c r="F434" s="1090">
        <v>500</v>
      </c>
      <c r="G434" s="1090">
        <v>309</v>
      </c>
      <c r="H434" s="1523">
        <v>600</v>
      </c>
      <c r="I434" s="1523">
        <v>354</v>
      </c>
      <c r="J434" s="1321">
        <v>600</v>
      </c>
      <c r="K434" s="1610">
        <v>500</v>
      </c>
      <c r="L434" s="1600">
        <v>500</v>
      </c>
      <c r="M434" s="64"/>
      <c r="N434" s="48"/>
      <c r="O434" s="58"/>
      <c r="P434" s="50"/>
      <c r="Q434" s="58"/>
      <c r="R434" s="16"/>
    </row>
    <row r="435" spans="1:18" s="33" customFormat="1" x14ac:dyDescent="0.2">
      <c r="A435" s="1031">
        <v>635</v>
      </c>
      <c r="B435" s="1031" t="s">
        <v>125</v>
      </c>
      <c r="C435" s="1031" t="s">
        <v>478</v>
      </c>
      <c r="D435" s="1090">
        <v>0</v>
      </c>
      <c r="E435" s="1090"/>
      <c r="F435" s="1090">
        <v>500</v>
      </c>
      <c r="G435" s="1090">
        <v>0</v>
      </c>
      <c r="H435" s="1523">
        <v>700</v>
      </c>
      <c r="I435" s="1523">
        <v>1690</v>
      </c>
      <c r="J435" s="1321">
        <v>200</v>
      </c>
      <c r="K435" s="1610">
        <v>0</v>
      </c>
      <c r="L435" s="1600">
        <v>200</v>
      </c>
      <c r="M435" s="64"/>
      <c r="N435" s="48"/>
      <c r="O435" s="58"/>
      <c r="P435" s="50"/>
      <c r="Q435" s="58"/>
      <c r="R435" s="16"/>
    </row>
    <row r="436" spans="1:18" s="33" customFormat="1" x14ac:dyDescent="0.2">
      <c r="A436" s="1567">
        <v>637</v>
      </c>
      <c r="B436" s="1567"/>
      <c r="C436" s="1567" t="s">
        <v>481</v>
      </c>
      <c r="D436" s="1260">
        <f t="shared" ref="D436:L436" si="74">SUM(D437:D439)</f>
        <v>4000</v>
      </c>
      <c r="E436" s="1260"/>
      <c r="F436" s="1260">
        <f>SUM(F437:F439)</f>
        <v>1650</v>
      </c>
      <c r="G436" s="1514">
        <f>SUM(G437:G439)</f>
        <v>50</v>
      </c>
      <c r="H436" s="1260">
        <f t="shared" si="74"/>
        <v>100</v>
      </c>
      <c r="I436" s="1260">
        <f t="shared" ref="I436" si="75">SUM(I437:I439)</f>
        <v>293</v>
      </c>
      <c r="J436" s="1305">
        <f>SUM(J437:J439)</f>
        <v>400</v>
      </c>
      <c r="K436" s="1645">
        <f t="shared" si="74"/>
        <v>400</v>
      </c>
      <c r="L436" s="1646">
        <f t="shared" si="74"/>
        <v>400</v>
      </c>
      <c r="M436" s="64"/>
      <c r="N436" s="48"/>
      <c r="O436" s="58"/>
      <c r="P436" s="50"/>
      <c r="Q436" s="58"/>
      <c r="R436" s="16"/>
    </row>
    <row r="437" spans="1:18" s="33" customFormat="1" x14ac:dyDescent="0.2">
      <c r="A437" s="1031">
        <v>637</v>
      </c>
      <c r="B437" s="1031" t="s">
        <v>94</v>
      </c>
      <c r="C437" s="1031" t="s">
        <v>482</v>
      </c>
      <c r="D437" s="1090">
        <v>0</v>
      </c>
      <c r="E437" s="1090"/>
      <c r="F437" s="1090">
        <v>150</v>
      </c>
      <c r="G437" s="1090">
        <v>50</v>
      </c>
      <c r="H437" s="1090">
        <v>100</v>
      </c>
      <c r="I437" s="1090">
        <v>25</v>
      </c>
      <c r="J437" s="1321">
        <v>100</v>
      </c>
      <c r="K437" s="1610">
        <v>100</v>
      </c>
      <c r="L437" s="1600">
        <v>100</v>
      </c>
      <c r="M437" s="64"/>
      <c r="N437" s="48"/>
      <c r="O437" s="58"/>
      <c r="P437" s="50"/>
      <c r="Q437" s="58"/>
      <c r="R437" s="16"/>
    </row>
    <row r="438" spans="1:18" s="33" customFormat="1" x14ac:dyDescent="0.2">
      <c r="A438" s="1031">
        <v>637</v>
      </c>
      <c r="B438" s="1031" t="s">
        <v>111</v>
      </c>
      <c r="C438" s="1031" t="s">
        <v>485</v>
      </c>
      <c r="D438" s="1090">
        <v>0</v>
      </c>
      <c r="E438" s="1090"/>
      <c r="F438" s="1090">
        <v>0</v>
      </c>
      <c r="G438" s="1090">
        <v>0</v>
      </c>
      <c r="H438" s="1090">
        <v>0</v>
      </c>
      <c r="I438" s="1090">
        <v>268</v>
      </c>
      <c r="J438" s="1321">
        <v>300</v>
      </c>
      <c r="K438" s="1610">
        <v>300</v>
      </c>
      <c r="L438" s="1600">
        <v>300</v>
      </c>
      <c r="M438" s="64"/>
      <c r="N438" s="48"/>
      <c r="O438" s="58"/>
      <c r="P438" s="50"/>
      <c r="Q438" s="58"/>
      <c r="R438" s="16"/>
    </row>
    <row r="439" spans="1:18" s="33" customFormat="1" x14ac:dyDescent="0.2">
      <c r="A439" s="1265"/>
      <c r="B439" s="1091"/>
      <c r="C439" s="1093" t="s">
        <v>819</v>
      </c>
      <c r="D439" s="1090">
        <v>4000</v>
      </c>
      <c r="E439" s="1090"/>
      <c r="F439" s="1090">
        <v>1500</v>
      </c>
      <c r="G439" s="1090">
        <v>0</v>
      </c>
      <c r="H439" s="1090">
        <v>0</v>
      </c>
      <c r="I439" s="1090">
        <v>0</v>
      </c>
      <c r="J439" s="1321">
        <v>0</v>
      </c>
      <c r="K439" s="1610">
        <v>0</v>
      </c>
      <c r="L439" s="1600">
        <v>0</v>
      </c>
      <c r="M439" s="64"/>
      <c r="N439" s="20"/>
      <c r="O439" s="58"/>
      <c r="P439" s="50"/>
      <c r="Q439" s="58"/>
      <c r="R439" s="16"/>
    </row>
    <row r="440" spans="1:18" s="33" customFormat="1" hidden="1" x14ac:dyDescent="0.2">
      <c r="A440" s="1265"/>
      <c r="B440" s="1091"/>
      <c r="C440" s="1647"/>
      <c r="D440" s="1593"/>
      <c r="E440" s="1054"/>
      <c r="F440" s="1648"/>
      <c r="G440" s="1054"/>
      <c r="H440" s="1648"/>
      <c r="I440" s="1648"/>
      <c r="J440" s="1303"/>
      <c r="K440" s="1593"/>
      <c r="L440" s="1649"/>
      <c r="M440" s="65"/>
      <c r="N440" s="20"/>
      <c r="O440" s="20"/>
      <c r="P440" s="20"/>
      <c r="Q440" s="20"/>
      <c r="R440" s="16"/>
    </row>
    <row r="441" spans="1:18" s="92" customFormat="1" ht="11.25" x14ac:dyDescent="0.2">
      <c r="A441" s="1834" t="s">
        <v>586</v>
      </c>
      <c r="B441" s="1834"/>
      <c r="C441" s="1834"/>
      <c r="D441" s="1835">
        <f t="shared" ref="D441:L441" si="76">D442+D508</f>
        <v>717837</v>
      </c>
      <c r="E441" s="1836">
        <f t="shared" si="76"/>
        <v>956643.45</v>
      </c>
      <c r="F441" s="1836">
        <f>F442+F508</f>
        <v>965689</v>
      </c>
      <c r="G441" s="1836">
        <f t="shared" si="76"/>
        <v>986064</v>
      </c>
      <c r="H441" s="1836">
        <f t="shared" si="76"/>
        <v>1134067</v>
      </c>
      <c r="I441" s="1836">
        <f>I442+I508</f>
        <v>1116883</v>
      </c>
      <c r="J441" s="1577">
        <f>J442+J508</f>
        <v>1143713</v>
      </c>
      <c r="K441" s="1836">
        <f t="shared" si="76"/>
        <v>1143713</v>
      </c>
      <c r="L441" s="1836">
        <f t="shared" si="76"/>
        <v>1143893</v>
      </c>
      <c r="M441" s="508"/>
      <c r="N441" s="501"/>
      <c r="O441" s="469"/>
      <c r="P441" s="469"/>
      <c r="Q441" s="469"/>
    </row>
    <row r="442" spans="1:18" s="92" customFormat="1" ht="11.25" x14ac:dyDescent="0.2">
      <c r="A442" s="1831" t="s">
        <v>161</v>
      </c>
      <c r="B442" s="1831"/>
      <c r="C442" s="1831"/>
      <c r="D442" s="1837">
        <f t="shared" ref="D442" si="77">D443+D458</f>
        <v>530846</v>
      </c>
      <c r="E442" s="1832">
        <f>E443+E458</f>
        <v>728117.45</v>
      </c>
      <c r="F442" s="1832">
        <f>F443+F458+F486</f>
        <v>691319</v>
      </c>
      <c r="G442" s="1832">
        <f>G443+G458</f>
        <v>728758</v>
      </c>
      <c r="H442" s="1832">
        <f>H443+H458</f>
        <v>828656</v>
      </c>
      <c r="I442" s="1832">
        <f>I443+I458+I457+I486</f>
        <v>839511</v>
      </c>
      <c r="J442" s="1626">
        <f>J443+J458</f>
        <v>854610</v>
      </c>
      <c r="K442" s="1832">
        <f>K443+K458</f>
        <v>854610</v>
      </c>
      <c r="L442" s="1832">
        <f>L443+L458</f>
        <v>854790</v>
      </c>
      <c r="M442" s="508"/>
      <c r="N442" s="501"/>
      <c r="O442" s="469"/>
      <c r="P442" s="469"/>
      <c r="Q442" s="469"/>
    </row>
    <row r="443" spans="1:18" s="92" customFormat="1" ht="11.25" x14ac:dyDescent="0.2">
      <c r="A443" s="2071">
        <v>610.62</v>
      </c>
      <c r="B443" s="2071"/>
      <c r="C443" s="1650" t="s">
        <v>727</v>
      </c>
      <c r="D443" s="1651">
        <f>SUM(D444:D455)</f>
        <v>445648</v>
      </c>
      <c r="E443" s="1652">
        <v>659320.44999999995</v>
      </c>
      <c r="F443" s="1652">
        <f>SUM(F444:F451)+F452+F453+F454+F455+F456</f>
        <v>634953</v>
      </c>
      <c r="G443" s="1514">
        <f>SUM(G444:G451)+G452+G453+G454+G455+G456+G457</f>
        <v>637519</v>
      </c>
      <c r="H443" s="1652">
        <f>SUM(H444:H451)+H452+H453+H454+H455+H457</f>
        <v>715681</v>
      </c>
      <c r="I443" s="1652">
        <f>SUM(I444:I451)+I452+I453+I454+I455+I456</f>
        <v>720857</v>
      </c>
      <c r="J443" s="1305">
        <f>SUM(J444:J451)+J452+J453+J454+J455+J456</f>
        <v>759492</v>
      </c>
      <c r="K443" s="1095">
        <f>SUM(K444:K451)+K452+K453+K454+K455</f>
        <v>759492</v>
      </c>
      <c r="L443" s="1095">
        <f>SUM(L444:L451)+L452+L453+L454+L455</f>
        <v>759672</v>
      </c>
      <c r="M443" s="508"/>
      <c r="N443" s="501"/>
      <c r="O443" s="469"/>
      <c r="P443" s="469"/>
      <c r="Q443" s="469"/>
    </row>
    <row r="444" spans="1:18" x14ac:dyDescent="0.2">
      <c r="A444" s="2067" t="s">
        <v>721</v>
      </c>
      <c r="B444" s="1091">
        <v>610</v>
      </c>
      <c r="C444" s="1093" t="s">
        <v>447</v>
      </c>
      <c r="D444" s="1090">
        <v>113620</v>
      </c>
      <c r="E444" s="1090"/>
      <c r="F444" s="1319">
        <v>179093</v>
      </c>
      <c r="G444" s="1090">
        <v>194676</v>
      </c>
      <c r="H444" s="1523">
        <v>213997</v>
      </c>
      <c r="I444" s="1090">
        <v>208157</v>
      </c>
      <c r="J444" s="1321">
        <v>232860</v>
      </c>
      <c r="K444" s="1545">
        <v>232860</v>
      </c>
      <c r="L444" s="1581">
        <v>232860</v>
      </c>
      <c r="M444" s="64"/>
      <c r="N444" s="48"/>
      <c r="O444" s="58"/>
      <c r="P444" s="50"/>
      <c r="Q444" s="50"/>
    </row>
    <row r="445" spans="1:18" x14ac:dyDescent="0.2">
      <c r="A445" s="2067"/>
      <c r="B445" s="1091">
        <v>620</v>
      </c>
      <c r="C445" s="1092" t="s">
        <v>193</v>
      </c>
      <c r="D445" s="1090">
        <v>40536</v>
      </c>
      <c r="E445" s="1090"/>
      <c r="F445" s="1319">
        <v>60875</v>
      </c>
      <c r="G445" s="1090">
        <v>65939</v>
      </c>
      <c r="H445" s="1523">
        <v>72501</v>
      </c>
      <c r="I445" s="1090">
        <v>70552</v>
      </c>
      <c r="J445" s="1321">
        <v>78960</v>
      </c>
      <c r="K445" s="1545">
        <v>78960</v>
      </c>
      <c r="L445" s="1581">
        <v>78960</v>
      </c>
      <c r="M445" s="64"/>
      <c r="N445" s="48"/>
      <c r="O445" s="58"/>
      <c r="P445" s="50"/>
      <c r="Q445" s="50"/>
    </row>
    <row r="446" spans="1:18" x14ac:dyDescent="0.2">
      <c r="A446" s="2067" t="s">
        <v>722</v>
      </c>
      <c r="B446" s="1091">
        <v>610</v>
      </c>
      <c r="C446" s="1093" t="s">
        <v>447</v>
      </c>
      <c r="D446" s="1090">
        <v>168048</v>
      </c>
      <c r="E446" s="1090"/>
      <c r="F446" s="1319">
        <v>190770</v>
      </c>
      <c r="G446" s="1090">
        <v>192845</v>
      </c>
      <c r="H446" s="1523">
        <v>213643</v>
      </c>
      <c r="I446" s="1090">
        <v>213445</v>
      </c>
      <c r="J446" s="1321">
        <v>215400</v>
      </c>
      <c r="K446" s="1545">
        <v>215400</v>
      </c>
      <c r="L446" s="1581">
        <v>215400</v>
      </c>
      <c r="M446" s="64"/>
      <c r="N446" s="48"/>
      <c r="O446" s="58"/>
      <c r="P446" s="50"/>
      <c r="Q446" s="50"/>
    </row>
    <row r="447" spans="1:18" x14ac:dyDescent="0.2">
      <c r="A447" s="2067"/>
      <c r="B447" s="1091">
        <v>620</v>
      </c>
      <c r="C447" s="1092" t="s">
        <v>193</v>
      </c>
      <c r="D447" s="1090">
        <v>58728</v>
      </c>
      <c r="E447" s="1090"/>
      <c r="F447" s="1319">
        <v>65689</v>
      </c>
      <c r="G447" s="1090">
        <v>66503</v>
      </c>
      <c r="H447" s="1523">
        <v>73682</v>
      </c>
      <c r="I447" s="1090">
        <v>73236</v>
      </c>
      <c r="J447" s="1321">
        <v>74280</v>
      </c>
      <c r="K447" s="1545">
        <v>74280</v>
      </c>
      <c r="L447" s="1581">
        <v>74280</v>
      </c>
      <c r="M447" s="64"/>
      <c r="N447" s="48"/>
      <c r="O447" s="58"/>
      <c r="P447" s="50"/>
      <c r="Q447" s="50"/>
    </row>
    <row r="448" spans="1:18" x14ac:dyDescent="0.2">
      <c r="A448" s="2067" t="s">
        <v>392</v>
      </c>
      <c r="B448" s="1091">
        <v>610</v>
      </c>
      <c r="C448" s="1093" t="s">
        <v>447</v>
      </c>
      <c r="D448" s="1090">
        <v>18420</v>
      </c>
      <c r="E448" s="1090"/>
      <c r="F448" s="1319">
        <v>25008</v>
      </c>
      <c r="G448" s="1090">
        <v>22807</v>
      </c>
      <c r="H448" s="1523">
        <v>25587</v>
      </c>
      <c r="I448" s="1090">
        <v>24947</v>
      </c>
      <c r="J448" s="1321">
        <v>27096</v>
      </c>
      <c r="K448" s="1545">
        <v>27096</v>
      </c>
      <c r="L448" s="1581">
        <v>27096</v>
      </c>
      <c r="M448" s="64"/>
      <c r="N448" s="48"/>
      <c r="O448" s="58"/>
      <c r="P448" s="50"/>
      <c r="Q448" s="50"/>
    </row>
    <row r="449" spans="1:17" x14ac:dyDescent="0.2">
      <c r="A449" s="2067"/>
      <c r="B449" s="1091">
        <v>620</v>
      </c>
      <c r="C449" s="1092" t="s">
        <v>193</v>
      </c>
      <c r="D449" s="1090">
        <v>7032</v>
      </c>
      <c r="E449" s="1090"/>
      <c r="F449" s="1319">
        <v>8725</v>
      </c>
      <c r="G449" s="1090">
        <v>7972</v>
      </c>
      <c r="H449" s="1523">
        <v>8942</v>
      </c>
      <c r="I449" s="1090">
        <v>8718</v>
      </c>
      <c r="J449" s="1321">
        <v>9504</v>
      </c>
      <c r="K449" s="1545">
        <v>9504</v>
      </c>
      <c r="L449" s="1581">
        <v>9504</v>
      </c>
      <c r="M449" s="64"/>
      <c r="N449" s="48"/>
      <c r="O449" s="58"/>
      <c r="P449" s="50"/>
      <c r="Q449" s="50"/>
    </row>
    <row r="450" spans="1:17" x14ac:dyDescent="0.2">
      <c r="A450" s="2067" t="s">
        <v>723</v>
      </c>
      <c r="B450" s="1091">
        <v>610</v>
      </c>
      <c r="C450" s="1093" t="s">
        <v>447</v>
      </c>
      <c r="D450" s="1090">
        <v>29112</v>
      </c>
      <c r="E450" s="1090"/>
      <c r="F450" s="1319">
        <v>41353</v>
      </c>
      <c r="G450" s="1090">
        <v>48198</v>
      </c>
      <c r="H450" s="1523">
        <v>49133</v>
      </c>
      <c r="I450" s="1090">
        <v>50772</v>
      </c>
      <c r="J450" s="1321">
        <v>53808</v>
      </c>
      <c r="K450" s="1545">
        <v>53808</v>
      </c>
      <c r="L450" s="1581">
        <v>53808</v>
      </c>
      <c r="M450" s="64"/>
      <c r="N450" s="1097"/>
      <c r="O450" s="58"/>
      <c r="P450" s="50"/>
      <c r="Q450" s="50"/>
    </row>
    <row r="451" spans="1:17" x14ac:dyDescent="0.2">
      <c r="A451" s="2067"/>
      <c r="B451" s="1091">
        <v>620</v>
      </c>
      <c r="C451" s="1092" t="s">
        <v>193</v>
      </c>
      <c r="D451" s="1090">
        <v>10152</v>
      </c>
      <c r="E451" s="1090"/>
      <c r="F451" s="1319">
        <v>14126</v>
      </c>
      <c r="G451" s="1090">
        <v>16515</v>
      </c>
      <c r="H451" s="1523">
        <v>16846</v>
      </c>
      <c r="I451" s="1090">
        <v>17433</v>
      </c>
      <c r="J451" s="1321">
        <v>18468</v>
      </c>
      <c r="K451" s="1545">
        <v>18468</v>
      </c>
      <c r="L451" s="1581">
        <v>18648</v>
      </c>
      <c r="M451" s="64"/>
      <c r="N451" s="48"/>
      <c r="O451" s="58"/>
      <c r="P451" s="50"/>
      <c r="Q451" s="50"/>
    </row>
    <row r="452" spans="1:17" x14ac:dyDescent="0.2">
      <c r="A452" s="2073" t="s">
        <v>781</v>
      </c>
      <c r="B452" s="1091">
        <v>610</v>
      </c>
      <c r="C452" s="1093" t="s">
        <v>447</v>
      </c>
      <c r="D452" s="1090"/>
      <c r="E452" s="1090"/>
      <c r="F452" s="1319">
        <v>21152</v>
      </c>
      <c r="G452" s="1090">
        <v>5107</v>
      </c>
      <c r="H452" s="1523">
        <v>30642</v>
      </c>
      <c r="I452" s="1090">
        <v>34715</v>
      </c>
      <c r="J452" s="1321">
        <v>36372</v>
      </c>
      <c r="K452" s="1512">
        <v>36372</v>
      </c>
      <c r="L452" s="1033">
        <v>36372</v>
      </c>
      <c r="M452" s="64"/>
      <c r="N452" s="48"/>
      <c r="O452" s="58"/>
      <c r="P452" s="50"/>
      <c r="Q452" s="50"/>
    </row>
    <row r="453" spans="1:17" x14ac:dyDescent="0.2">
      <c r="A453" s="2073"/>
      <c r="B453" s="1091">
        <v>620</v>
      </c>
      <c r="C453" s="1092" t="s">
        <v>193</v>
      </c>
      <c r="D453" s="1090"/>
      <c r="E453" s="1090"/>
      <c r="F453" s="1319">
        <v>7013</v>
      </c>
      <c r="G453" s="1090">
        <v>1785</v>
      </c>
      <c r="H453" s="1523">
        <v>10708</v>
      </c>
      <c r="I453" s="1090">
        <v>12132</v>
      </c>
      <c r="J453" s="1321">
        <v>12744</v>
      </c>
      <c r="K453" s="1512">
        <v>12744</v>
      </c>
      <c r="L453" s="1033">
        <v>12744</v>
      </c>
      <c r="M453" s="64"/>
      <c r="N453" s="48"/>
      <c r="O453" s="58"/>
      <c r="P453" s="50"/>
      <c r="Q453" s="50"/>
    </row>
    <row r="454" spans="1:17" x14ac:dyDescent="0.2">
      <c r="A454" s="2073" t="s">
        <v>846</v>
      </c>
      <c r="B454" s="1091">
        <v>637</v>
      </c>
      <c r="C454" s="1092" t="s">
        <v>820</v>
      </c>
      <c r="D454" s="1090"/>
      <c r="E454" s="1090"/>
      <c r="F454" s="1319">
        <v>13172</v>
      </c>
      <c r="G454" s="1090">
        <v>10780</v>
      </c>
      <c r="H454" s="1523">
        <v>0</v>
      </c>
      <c r="I454" s="1090">
        <v>0</v>
      </c>
      <c r="J454" s="1321">
        <v>0</v>
      </c>
      <c r="K454" s="1545">
        <v>0</v>
      </c>
      <c r="L454" s="1581">
        <v>0</v>
      </c>
      <c r="M454" s="64"/>
      <c r="N454" s="48"/>
      <c r="O454" s="58"/>
      <c r="P454" s="50"/>
      <c r="Q454" s="50"/>
    </row>
    <row r="455" spans="1:17" x14ac:dyDescent="0.2">
      <c r="A455" s="2073"/>
      <c r="B455" s="1091">
        <v>620</v>
      </c>
      <c r="C455" s="1092" t="s">
        <v>193</v>
      </c>
      <c r="D455" s="1090"/>
      <c r="E455" s="1090"/>
      <c r="F455" s="1319">
        <v>4604</v>
      </c>
      <c r="G455" s="1090">
        <v>3774</v>
      </c>
      <c r="H455" s="1523">
        <v>0</v>
      </c>
      <c r="I455" s="1090">
        <v>0</v>
      </c>
      <c r="J455" s="1321">
        <v>0</v>
      </c>
      <c r="K455" s="1545">
        <v>0</v>
      </c>
      <c r="L455" s="1581">
        <v>0</v>
      </c>
      <c r="M455" s="64"/>
      <c r="N455" s="48"/>
      <c r="O455" s="58"/>
      <c r="P455" s="50"/>
      <c r="Q455" s="50"/>
    </row>
    <row r="456" spans="1:17" x14ac:dyDescent="0.2">
      <c r="A456" s="1575">
        <v>610</v>
      </c>
      <c r="B456" s="1567">
        <v>620</v>
      </c>
      <c r="C456" s="1071" t="s">
        <v>834</v>
      </c>
      <c r="D456" s="1257"/>
      <c r="E456" s="1257"/>
      <c r="F456" s="1319">
        <v>3373</v>
      </c>
      <c r="G456" s="1090">
        <v>618</v>
      </c>
      <c r="H456" s="1523">
        <v>0</v>
      </c>
      <c r="I456" s="1090">
        <v>6750</v>
      </c>
      <c r="J456" s="1321">
        <v>0</v>
      </c>
      <c r="K456" s="1545"/>
      <c r="L456" s="1581"/>
      <c r="M456" s="64"/>
      <c r="N456" s="48"/>
      <c r="O456" s="58"/>
      <c r="P456" s="50"/>
      <c r="Q456" s="50"/>
    </row>
    <row r="457" spans="1:17" x14ac:dyDescent="0.2">
      <c r="A457" s="2077">
        <v>610.62</v>
      </c>
      <c r="B457" s="2077"/>
      <c r="C457" s="1092" t="s">
        <v>992</v>
      </c>
      <c r="D457" s="1090"/>
      <c r="E457" s="1090"/>
      <c r="F457" s="1319"/>
      <c r="G457" s="1090">
        <v>0</v>
      </c>
      <c r="H457" s="1523"/>
      <c r="I457" s="1090">
        <v>13000</v>
      </c>
      <c r="J457" s="1321"/>
      <c r="K457" s="1653"/>
      <c r="L457" s="1654"/>
      <c r="M457" s="64"/>
      <c r="N457" s="48"/>
      <c r="O457" s="58"/>
      <c r="P457" s="50"/>
      <c r="Q457" s="50"/>
    </row>
    <row r="458" spans="1:17" x14ac:dyDescent="0.2">
      <c r="A458" s="1266"/>
      <c r="B458" s="1266" t="s">
        <v>583</v>
      </c>
      <c r="C458" s="1634" t="s">
        <v>361</v>
      </c>
      <c r="D458" s="1094">
        <f>D459+D460+D470+D472+D476+D486</f>
        <v>85198</v>
      </c>
      <c r="E458" s="1094">
        <f>E459+E460+E470+E472+E476+E486</f>
        <v>68797</v>
      </c>
      <c r="F458" s="1095">
        <f>F459+F460+F472+F476+F470</f>
        <v>34146</v>
      </c>
      <c r="G458" s="1514">
        <f>G459+G460+G472+G476+G470+G486</f>
        <v>91239</v>
      </c>
      <c r="H458" s="1095">
        <f>H459+H460+H472+H476+H470+H486</f>
        <v>112975</v>
      </c>
      <c r="I458" s="1095">
        <f>I459+I460+I472+I476+I470</f>
        <v>77563</v>
      </c>
      <c r="J458" s="1305">
        <f>J459+J460+J472+J476+J470+J486</f>
        <v>95118</v>
      </c>
      <c r="K458" s="1094">
        <f>K459+K460+K472+K476+K470+K486</f>
        <v>95118</v>
      </c>
      <c r="L458" s="1094">
        <f>L459+L460+L472+L476+L486+L470</f>
        <v>95118</v>
      </c>
      <c r="M458" s="64"/>
      <c r="N458" s="48"/>
      <c r="O458" s="58"/>
      <c r="P458" s="50"/>
      <c r="Q458" s="50"/>
    </row>
    <row r="459" spans="1:17" x14ac:dyDescent="0.2">
      <c r="A459" s="2079">
        <v>632</v>
      </c>
      <c r="B459" s="2079"/>
      <c r="C459" s="1563" t="s">
        <v>451</v>
      </c>
      <c r="D459" s="1191">
        <v>22041</v>
      </c>
      <c r="E459" s="1191">
        <v>12015</v>
      </c>
      <c r="F459" s="1191">
        <v>11922</v>
      </c>
      <c r="G459" s="1191">
        <v>34249</v>
      </c>
      <c r="H459" s="1514">
        <v>47797</v>
      </c>
      <c r="I459" s="1191">
        <v>23972</v>
      </c>
      <c r="J459" s="1305">
        <v>33366</v>
      </c>
      <c r="K459" s="1629">
        <v>33366</v>
      </c>
      <c r="L459" s="1094">
        <v>33366</v>
      </c>
      <c r="M459" s="64"/>
      <c r="N459" s="48"/>
      <c r="O459" s="58"/>
      <c r="P459" s="50"/>
      <c r="Q459" s="50"/>
    </row>
    <row r="460" spans="1:17" x14ac:dyDescent="0.2">
      <c r="A460" s="2069">
        <v>633</v>
      </c>
      <c r="B460" s="2069"/>
      <c r="C460" s="1567" t="s">
        <v>453</v>
      </c>
      <c r="D460" s="1241">
        <f t="shared" ref="D460:K460" si="78">SUM(D461:D469)</f>
        <v>19167</v>
      </c>
      <c r="E460" s="1191">
        <v>30508</v>
      </c>
      <c r="F460" s="1191">
        <f>SUM(F461:F469)</f>
        <v>9480</v>
      </c>
      <c r="G460" s="1514">
        <f>SUM(G461:G469)</f>
        <v>7737</v>
      </c>
      <c r="H460" s="1191">
        <f>SUM(H461:H475)</f>
        <v>8822</v>
      </c>
      <c r="I460" s="1191">
        <f>SUM(I461:I469)</f>
        <v>17659</v>
      </c>
      <c r="J460" s="1305">
        <f>SUM(J461:J469)</f>
        <v>13671</v>
      </c>
      <c r="K460" s="1094">
        <f t="shared" si="78"/>
        <v>13671</v>
      </c>
      <c r="L460" s="1094">
        <f>SUM(L461:L469)</f>
        <v>13671</v>
      </c>
      <c r="M460" s="64"/>
      <c r="N460" s="48"/>
      <c r="O460" s="58"/>
      <c r="P460" s="50"/>
      <c r="Q460" s="50"/>
    </row>
    <row r="461" spans="1:17" x14ac:dyDescent="0.2">
      <c r="A461" s="835">
        <v>633</v>
      </c>
      <c r="B461" s="835" t="s">
        <v>94</v>
      </c>
      <c r="C461" s="835" t="s">
        <v>454</v>
      </c>
      <c r="D461" s="1090">
        <v>0</v>
      </c>
      <c r="E461" s="1090">
        <v>0</v>
      </c>
      <c r="F461" s="1319">
        <v>0</v>
      </c>
      <c r="G461" s="1090">
        <v>0</v>
      </c>
      <c r="H461" s="1675">
        <v>0</v>
      </c>
      <c r="I461" s="1090">
        <v>0</v>
      </c>
      <c r="J461" s="1720">
        <v>0</v>
      </c>
      <c r="K461" s="1579">
        <v>0</v>
      </c>
      <c r="L461" s="1598">
        <v>0</v>
      </c>
      <c r="M461" s="64"/>
      <c r="N461" s="48"/>
      <c r="O461" s="58"/>
      <c r="P461" s="50"/>
      <c r="Q461" s="50"/>
    </row>
    <row r="462" spans="1:17" x14ac:dyDescent="0.2">
      <c r="A462" s="1031">
        <v>633</v>
      </c>
      <c r="B462" s="1568" t="s">
        <v>97</v>
      </c>
      <c r="C462" s="1031" t="s">
        <v>455</v>
      </c>
      <c r="D462" s="1090">
        <v>0</v>
      </c>
      <c r="E462" s="1090">
        <v>0</v>
      </c>
      <c r="F462" s="1319">
        <v>0</v>
      </c>
      <c r="G462" s="1090">
        <v>0</v>
      </c>
      <c r="H462" s="1675">
        <v>0</v>
      </c>
      <c r="I462" s="1090">
        <v>10000</v>
      </c>
      <c r="J462" s="1720">
        <v>3000</v>
      </c>
      <c r="K462" s="1579">
        <v>3000</v>
      </c>
      <c r="L462" s="1598">
        <v>3000</v>
      </c>
      <c r="M462" s="64"/>
      <c r="N462" s="48"/>
      <c r="O462" s="58"/>
      <c r="P462" s="50"/>
      <c r="Q462" s="50"/>
    </row>
    <row r="463" spans="1:17" x14ac:dyDescent="0.2">
      <c r="A463" s="1031">
        <v>633</v>
      </c>
      <c r="B463" s="1568" t="s">
        <v>120</v>
      </c>
      <c r="C463" s="1031" t="s">
        <v>456</v>
      </c>
      <c r="D463" s="1090">
        <v>0</v>
      </c>
      <c r="E463" s="1090"/>
      <c r="F463" s="1319"/>
      <c r="G463" s="1090"/>
      <c r="H463" s="1675"/>
      <c r="I463" s="1090"/>
      <c r="J463" s="1720"/>
      <c r="K463" s="1579"/>
      <c r="L463" s="1598"/>
      <c r="M463" s="64"/>
      <c r="N463" s="48"/>
      <c r="O463" s="58"/>
      <c r="P463" s="50"/>
      <c r="Q463" s="50"/>
    </row>
    <row r="464" spans="1:17" x14ac:dyDescent="0.2">
      <c r="A464" s="1031">
        <v>633</v>
      </c>
      <c r="B464" s="1031" t="s">
        <v>125</v>
      </c>
      <c r="C464" s="1031" t="s">
        <v>458</v>
      </c>
      <c r="D464" s="1090">
        <v>5830</v>
      </c>
      <c r="E464" s="1090"/>
      <c r="F464" s="1319">
        <v>4253</v>
      </c>
      <c r="G464" s="1090">
        <v>3119</v>
      </c>
      <c r="H464" s="1675">
        <v>3743</v>
      </c>
      <c r="I464" s="1090">
        <v>3720</v>
      </c>
      <c r="J464" s="1720">
        <v>4464</v>
      </c>
      <c r="K464" s="1579">
        <v>4464</v>
      </c>
      <c r="L464" s="1598">
        <v>4464</v>
      </c>
      <c r="M464" s="64"/>
      <c r="N464" s="48"/>
      <c r="O464" s="58"/>
      <c r="P464" s="50"/>
      <c r="Q464" s="50"/>
    </row>
    <row r="465" spans="1:18" x14ac:dyDescent="0.2">
      <c r="A465" s="1655" t="s">
        <v>198</v>
      </c>
      <c r="B465" s="1091" t="s">
        <v>125</v>
      </c>
      <c r="C465" s="1092" t="s">
        <v>741</v>
      </c>
      <c r="D465" s="1090">
        <v>5268</v>
      </c>
      <c r="E465" s="1090"/>
      <c r="F465" s="1319">
        <v>0</v>
      </c>
      <c r="G465" s="1090">
        <v>0</v>
      </c>
      <c r="H465" s="1675">
        <v>0</v>
      </c>
      <c r="I465" s="1090">
        <v>0</v>
      </c>
      <c r="J465" s="1720">
        <v>0</v>
      </c>
      <c r="K465" s="1657">
        <v>0</v>
      </c>
      <c r="L465" s="1598">
        <v>0</v>
      </c>
      <c r="M465" s="64"/>
      <c r="N465" s="48"/>
      <c r="O465" s="58"/>
      <c r="P465" s="50"/>
      <c r="Q465" s="50"/>
    </row>
    <row r="466" spans="1:18" x14ac:dyDescent="0.2">
      <c r="A466" s="1031">
        <v>633</v>
      </c>
      <c r="B466" s="1031" t="s">
        <v>459</v>
      </c>
      <c r="C466" s="1031" t="s">
        <v>783</v>
      </c>
      <c r="D466" s="1090">
        <v>7823</v>
      </c>
      <c r="E466" s="1090"/>
      <c r="F466" s="1319">
        <v>4262</v>
      </c>
      <c r="G466" s="1189">
        <v>2804</v>
      </c>
      <c r="H466" s="1675">
        <v>3365</v>
      </c>
      <c r="I466" s="1189">
        <v>1930</v>
      </c>
      <c r="J466" s="1720">
        <v>4198</v>
      </c>
      <c r="K466" s="1579">
        <v>4198</v>
      </c>
      <c r="L466" s="1722">
        <v>4198</v>
      </c>
      <c r="M466" s="64"/>
      <c r="N466" s="48"/>
      <c r="O466" s="58"/>
      <c r="P466" s="50"/>
      <c r="Q466" s="50"/>
    </row>
    <row r="467" spans="1:18" x14ac:dyDescent="0.2">
      <c r="A467" s="1031">
        <v>633</v>
      </c>
      <c r="B467" s="1031" t="s">
        <v>461</v>
      </c>
      <c r="C467" s="1031" t="s">
        <v>462</v>
      </c>
      <c r="D467" s="1090">
        <v>0</v>
      </c>
      <c r="E467" s="1090"/>
      <c r="F467" s="1319"/>
      <c r="G467" s="1090"/>
      <c r="H467" s="1675"/>
      <c r="I467" s="1090"/>
      <c r="J467" s="1720"/>
      <c r="K467" s="1579"/>
      <c r="L467" s="1598"/>
      <c r="M467" s="64"/>
      <c r="N467" s="48"/>
      <c r="O467" s="58"/>
      <c r="P467" s="50"/>
      <c r="Q467" s="50"/>
    </row>
    <row r="468" spans="1:18" x14ac:dyDescent="0.2">
      <c r="A468" s="1031">
        <v>633</v>
      </c>
      <c r="B468" s="1031" t="s">
        <v>463</v>
      </c>
      <c r="C468" s="1031" t="s">
        <v>467</v>
      </c>
      <c r="D468" s="1090">
        <v>0</v>
      </c>
      <c r="E468" s="1090"/>
      <c r="F468" s="1319">
        <v>0</v>
      </c>
      <c r="G468" s="1090">
        <v>250</v>
      </c>
      <c r="H468" s="1675">
        <v>150</v>
      </c>
      <c r="I468" s="1090">
        <v>445</v>
      </c>
      <c r="J468" s="1720">
        <v>445</v>
      </c>
      <c r="K468" s="1657">
        <v>445</v>
      </c>
      <c r="L468" s="1598">
        <v>445</v>
      </c>
      <c r="M468" s="64"/>
      <c r="N468" s="48"/>
      <c r="O468" s="58"/>
      <c r="P468" s="50"/>
      <c r="Q468" s="50"/>
    </row>
    <row r="469" spans="1:18" x14ac:dyDescent="0.2">
      <c r="A469" s="1031">
        <v>633</v>
      </c>
      <c r="B469" s="1031" t="s">
        <v>103</v>
      </c>
      <c r="C469" s="1031" t="s">
        <v>465</v>
      </c>
      <c r="D469" s="1090">
        <v>246</v>
      </c>
      <c r="E469" s="1090"/>
      <c r="F469" s="1319">
        <v>965</v>
      </c>
      <c r="G469" s="1090">
        <v>1564</v>
      </c>
      <c r="H469" s="1675">
        <v>1564</v>
      </c>
      <c r="I469" s="1090">
        <v>1564</v>
      </c>
      <c r="J469" s="1720">
        <v>1564</v>
      </c>
      <c r="K469" s="1579">
        <v>1564</v>
      </c>
      <c r="L469" s="1598">
        <v>1564</v>
      </c>
      <c r="M469" s="64"/>
      <c r="N469" s="48"/>
      <c r="O469" s="58"/>
      <c r="P469" s="50"/>
      <c r="Q469" s="50"/>
    </row>
    <row r="470" spans="1:18" x14ac:dyDescent="0.2">
      <c r="A470" s="2069">
        <v>634</v>
      </c>
      <c r="B470" s="2069"/>
      <c r="C470" s="1567" t="s">
        <v>468</v>
      </c>
      <c r="D470" s="1241">
        <f t="shared" ref="D470:L470" si="79">D471</f>
        <v>0</v>
      </c>
      <c r="E470" s="1191">
        <f t="shared" si="79"/>
        <v>0</v>
      </c>
      <c r="F470" s="1319">
        <f t="shared" si="79"/>
        <v>0</v>
      </c>
      <c r="G470" s="1319">
        <f t="shared" si="79"/>
        <v>0</v>
      </c>
      <c r="H470" s="1675">
        <f t="shared" si="79"/>
        <v>0</v>
      </c>
      <c r="I470" s="1319">
        <f t="shared" si="79"/>
        <v>0</v>
      </c>
      <c r="J470" s="1720">
        <f t="shared" si="79"/>
        <v>0</v>
      </c>
      <c r="K470" s="1721">
        <f t="shared" si="79"/>
        <v>0</v>
      </c>
      <c r="L470" s="1630">
        <f t="shared" si="79"/>
        <v>0</v>
      </c>
      <c r="M470" s="64"/>
      <c r="N470" s="48"/>
      <c r="O470" s="58"/>
      <c r="P470" s="50"/>
      <c r="Q470" s="50"/>
    </row>
    <row r="471" spans="1:18" x14ac:dyDescent="0.2">
      <c r="A471" s="1031">
        <v>634</v>
      </c>
      <c r="B471" s="1031" t="s">
        <v>111</v>
      </c>
      <c r="C471" s="1031" t="s">
        <v>473</v>
      </c>
      <c r="D471" s="1027">
        <v>0</v>
      </c>
      <c r="E471" s="1090">
        <v>0</v>
      </c>
      <c r="F471" s="1319">
        <v>0</v>
      </c>
      <c r="G471" s="1319">
        <v>0</v>
      </c>
      <c r="H471" s="1675">
        <v>0</v>
      </c>
      <c r="I471" s="1319">
        <v>0</v>
      </c>
      <c r="J471" s="1720">
        <v>0</v>
      </c>
      <c r="K471" s="1581">
        <v>0</v>
      </c>
      <c r="L471" s="1598">
        <v>0</v>
      </c>
      <c r="M471" s="64"/>
      <c r="N471" s="48"/>
      <c r="O471" s="58"/>
      <c r="P471" s="50"/>
      <c r="Q471" s="50"/>
    </row>
    <row r="472" spans="1:18" x14ac:dyDescent="0.2">
      <c r="A472" s="2069">
        <v>635</v>
      </c>
      <c r="B472" s="2069"/>
      <c r="C472" s="1567" t="s">
        <v>475</v>
      </c>
      <c r="D472" s="1241">
        <f>D473</f>
        <v>0</v>
      </c>
      <c r="E472" s="1191">
        <f t="shared" ref="E472:K472" si="80">SUM(E473:E475)</f>
        <v>0</v>
      </c>
      <c r="F472" s="1319">
        <f>SUM(F473:F475)</f>
        <v>0</v>
      </c>
      <c r="G472" s="1319">
        <f>SUM(G473:G475)</f>
        <v>0</v>
      </c>
      <c r="H472" s="1675">
        <f>SUM(H473:H475)</f>
        <v>0</v>
      </c>
      <c r="I472" s="1319">
        <f>SUM(I473:I475)</f>
        <v>0</v>
      </c>
      <c r="J472" s="1720">
        <f>SUM(J473:J475)</f>
        <v>0</v>
      </c>
      <c r="K472" s="1721">
        <f t="shared" si="80"/>
        <v>0</v>
      </c>
      <c r="L472" s="1630">
        <f>L473+L474+L475</f>
        <v>0</v>
      </c>
      <c r="M472" s="64"/>
      <c r="N472" s="48"/>
      <c r="O472" s="58"/>
      <c r="P472" s="50"/>
      <c r="Q472" s="50"/>
      <c r="R472" s="19"/>
    </row>
    <row r="473" spans="1:18" x14ac:dyDescent="0.2">
      <c r="A473" s="1031">
        <v>635</v>
      </c>
      <c r="B473" s="1031" t="s">
        <v>97</v>
      </c>
      <c r="C473" s="1031" t="s">
        <v>476</v>
      </c>
      <c r="D473" s="1090">
        <v>0</v>
      </c>
      <c r="E473" s="1090">
        <v>0</v>
      </c>
      <c r="F473" s="1319">
        <v>0</v>
      </c>
      <c r="G473" s="1319">
        <v>0</v>
      </c>
      <c r="H473" s="1675">
        <v>0</v>
      </c>
      <c r="I473" s="1319">
        <v>0</v>
      </c>
      <c r="J473" s="1720">
        <v>0</v>
      </c>
      <c r="K473" s="1579">
        <v>0</v>
      </c>
      <c r="L473" s="1598">
        <v>0</v>
      </c>
      <c r="M473" s="64"/>
      <c r="N473" s="48"/>
      <c r="O473" s="58"/>
      <c r="P473" s="50"/>
      <c r="Q473" s="50"/>
    </row>
    <row r="474" spans="1:18" x14ac:dyDescent="0.2">
      <c r="A474" s="1031">
        <v>635</v>
      </c>
      <c r="B474" s="1031" t="s">
        <v>111</v>
      </c>
      <c r="C474" s="1031" t="s">
        <v>477</v>
      </c>
      <c r="D474" s="1090">
        <v>0</v>
      </c>
      <c r="E474" s="1090">
        <v>0</v>
      </c>
      <c r="F474" s="1319">
        <v>0</v>
      </c>
      <c r="G474" s="1319">
        <v>0</v>
      </c>
      <c r="H474" s="1675">
        <v>0</v>
      </c>
      <c r="I474" s="1319">
        <v>0</v>
      </c>
      <c r="J474" s="1720">
        <v>0</v>
      </c>
      <c r="K474" s="1579">
        <v>0</v>
      </c>
      <c r="L474" s="1598">
        <v>0</v>
      </c>
      <c r="M474" s="64"/>
      <c r="N474" s="48"/>
      <c r="O474" s="58"/>
      <c r="P474" s="50"/>
      <c r="Q474" s="50"/>
    </row>
    <row r="475" spans="1:18" x14ac:dyDescent="0.2">
      <c r="A475" s="1031">
        <v>635</v>
      </c>
      <c r="B475" s="1031" t="s">
        <v>125</v>
      </c>
      <c r="C475" s="1031" t="s">
        <v>478</v>
      </c>
      <c r="D475" s="1090">
        <v>0</v>
      </c>
      <c r="E475" s="1090">
        <v>0</v>
      </c>
      <c r="F475" s="1319">
        <v>0</v>
      </c>
      <c r="G475" s="1319">
        <v>0</v>
      </c>
      <c r="H475" s="1675">
        <v>0</v>
      </c>
      <c r="I475" s="1319">
        <v>0</v>
      </c>
      <c r="J475" s="1720">
        <v>0</v>
      </c>
      <c r="K475" s="1579">
        <v>0</v>
      </c>
      <c r="L475" s="1598">
        <v>0</v>
      </c>
      <c r="M475" s="64"/>
      <c r="N475" s="48"/>
      <c r="O475" s="58"/>
      <c r="P475" s="50"/>
      <c r="Q475" s="50"/>
      <c r="R475" s="19"/>
    </row>
    <row r="476" spans="1:18" x14ac:dyDescent="0.2">
      <c r="A476" s="2069">
        <v>637</v>
      </c>
      <c r="B476" s="2069"/>
      <c r="C476" s="1567" t="s">
        <v>481</v>
      </c>
      <c r="D476" s="1241">
        <f>SUM(D477:D485)</f>
        <v>16700</v>
      </c>
      <c r="E476" s="1191">
        <v>20101</v>
      </c>
      <c r="F476" s="1348">
        <f t="shared" ref="F476" si="81">SUM(F477:F485)</f>
        <v>12744</v>
      </c>
      <c r="G476" s="1514">
        <f>SUM(G477:G485)</f>
        <v>12453</v>
      </c>
      <c r="H476" s="1191">
        <f t="shared" ref="H476:L476" si="82">SUM(H477:H485)</f>
        <v>17736</v>
      </c>
      <c r="I476" s="1348">
        <f>SUM(I477:I485)</f>
        <v>35932</v>
      </c>
      <c r="J476" s="1305">
        <f>SUM(J477:J485)</f>
        <v>24582</v>
      </c>
      <c r="K476" s="1094">
        <f t="shared" si="82"/>
        <v>24582</v>
      </c>
      <c r="L476" s="1094">
        <f t="shared" si="82"/>
        <v>24582</v>
      </c>
      <c r="M476" s="64"/>
      <c r="N476" s="48"/>
      <c r="O476" s="58"/>
      <c r="P476" s="50"/>
      <c r="Q476" s="50"/>
    </row>
    <row r="477" spans="1:18" x14ac:dyDescent="0.2">
      <c r="A477" s="1031">
        <v>637</v>
      </c>
      <c r="B477" s="1031" t="s">
        <v>94</v>
      </c>
      <c r="C477" s="1031" t="s">
        <v>482</v>
      </c>
      <c r="D477" s="1090">
        <v>0</v>
      </c>
      <c r="E477" s="1090"/>
      <c r="F477" s="1319"/>
      <c r="G477" s="1090"/>
      <c r="H477" s="1523"/>
      <c r="I477" s="1090"/>
      <c r="J477" s="1321"/>
      <c r="K477" s="1545"/>
      <c r="L477" s="1581"/>
      <c r="M477" s="64"/>
      <c r="N477" s="48"/>
      <c r="O477" s="58"/>
      <c r="P477" s="50"/>
      <c r="Q477" s="50"/>
    </row>
    <row r="478" spans="1:18" x14ac:dyDescent="0.2">
      <c r="A478" s="1031">
        <v>637</v>
      </c>
      <c r="B478" s="1031" t="s">
        <v>111</v>
      </c>
      <c r="C478" s="1031" t="s">
        <v>485</v>
      </c>
      <c r="D478" s="1090">
        <v>12350</v>
      </c>
      <c r="E478" s="1090"/>
      <c r="F478" s="1319">
        <v>8265</v>
      </c>
      <c r="G478" s="1090">
        <v>4025</v>
      </c>
      <c r="H478" s="1523">
        <v>5233</v>
      </c>
      <c r="I478" s="1090">
        <v>20232</v>
      </c>
      <c r="J478" s="1321">
        <v>6278</v>
      </c>
      <c r="K478" s="1545">
        <v>6278</v>
      </c>
      <c r="L478" s="1581">
        <v>6278</v>
      </c>
      <c r="M478" s="64"/>
      <c r="N478" s="48"/>
      <c r="O478" s="58"/>
      <c r="P478" s="50"/>
      <c r="Q478" s="50"/>
    </row>
    <row r="479" spans="1:18" x14ac:dyDescent="0.2">
      <c r="A479" s="1031">
        <v>637</v>
      </c>
      <c r="B479" s="1031" t="s">
        <v>120</v>
      </c>
      <c r="C479" s="1031" t="s">
        <v>326</v>
      </c>
      <c r="D479" s="1090">
        <v>0</v>
      </c>
      <c r="E479" s="1090"/>
      <c r="F479" s="1319"/>
      <c r="G479" s="1090"/>
      <c r="H479" s="1523"/>
      <c r="I479" s="1090"/>
      <c r="J479" s="1321"/>
      <c r="K479" s="1545"/>
      <c r="L479" s="1581"/>
      <c r="M479" s="64"/>
      <c r="N479" s="48"/>
      <c r="O479" s="58"/>
      <c r="P479" s="50"/>
      <c r="Q479" s="50"/>
    </row>
    <row r="480" spans="1:18" x14ac:dyDescent="0.2">
      <c r="A480" s="1031">
        <v>637</v>
      </c>
      <c r="B480" s="1031" t="s">
        <v>102</v>
      </c>
      <c r="C480" s="1031" t="s">
        <v>486</v>
      </c>
      <c r="D480" s="1090"/>
      <c r="E480" s="1090"/>
      <c r="F480" s="1319"/>
      <c r="G480" s="1090"/>
      <c r="H480" s="1523"/>
      <c r="I480" s="1090">
        <v>520</v>
      </c>
      <c r="J480" s="1321">
        <v>572</v>
      </c>
      <c r="K480" s="1545">
        <v>572</v>
      </c>
      <c r="L480" s="1581">
        <v>572</v>
      </c>
      <c r="M480" s="64"/>
      <c r="N480" s="48"/>
      <c r="O480" s="58"/>
      <c r="P480" s="50"/>
      <c r="Q480" s="50"/>
    </row>
    <row r="481" spans="1:17" x14ac:dyDescent="0.2">
      <c r="A481" s="1031">
        <v>637</v>
      </c>
      <c r="B481" s="1031" t="s">
        <v>102</v>
      </c>
      <c r="C481" s="1031" t="s">
        <v>467</v>
      </c>
      <c r="D481" s="1090">
        <v>0</v>
      </c>
      <c r="E481" s="1090"/>
      <c r="F481" s="1319">
        <v>156</v>
      </c>
      <c r="G481" s="1090">
        <v>0</v>
      </c>
      <c r="H481" s="1523">
        <v>0</v>
      </c>
      <c r="I481" s="1090">
        <v>0</v>
      </c>
      <c r="J481" s="1321">
        <v>0</v>
      </c>
      <c r="K481" s="1545">
        <v>0</v>
      </c>
      <c r="L481" s="1581">
        <v>0</v>
      </c>
      <c r="M481" s="64"/>
      <c r="N481" s="48"/>
      <c r="O481" s="58"/>
      <c r="P481" s="50"/>
      <c r="Q481" s="50"/>
    </row>
    <row r="482" spans="1:17" x14ac:dyDescent="0.2">
      <c r="A482" s="1031">
        <v>637</v>
      </c>
      <c r="B482" s="1031" t="s">
        <v>105</v>
      </c>
      <c r="C482" s="1031" t="s">
        <v>487</v>
      </c>
      <c r="D482" s="1090">
        <v>3900</v>
      </c>
      <c r="E482" s="1090"/>
      <c r="F482" s="1319">
        <v>3980</v>
      </c>
      <c r="G482" s="1090">
        <v>8150</v>
      </c>
      <c r="H482" s="1523">
        <v>12225</v>
      </c>
      <c r="I482" s="1090">
        <v>10500</v>
      </c>
      <c r="J482" s="1321">
        <v>12600</v>
      </c>
      <c r="K482" s="1545">
        <v>12600</v>
      </c>
      <c r="L482" s="1581">
        <v>12600</v>
      </c>
      <c r="M482" s="64"/>
      <c r="N482" s="48"/>
      <c r="O482" s="58"/>
      <c r="P482" s="50"/>
      <c r="Q482" s="50"/>
    </row>
    <row r="483" spans="1:17" x14ac:dyDescent="0.2">
      <c r="A483" s="1031">
        <v>637</v>
      </c>
      <c r="B483" s="1031" t="s">
        <v>489</v>
      </c>
      <c r="C483" s="1031" t="s">
        <v>490</v>
      </c>
      <c r="D483" s="1090">
        <v>450</v>
      </c>
      <c r="E483" s="1090"/>
      <c r="F483" s="1319">
        <v>343</v>
      </c>
      <c r="G483" s="1090">
        <v>278</v>
      </c>
      <c r="H483" s="1523">
        <v>278</v>
      </c>
      <c r="I483" s="1090">
        <v>347</v>
      </c>
      <c r="J483" s="1321">
        <v>366</v>
      </c>
      <c r="K483" s="1545">
        <v>366</v>
      </c>
      <c r="L483" s="1581">
        <v>366</v>
      </c>
      <c r="M483" s="64"/>
      <c r="N483" s="48"/>
      <c r="O483" s="58"/>
      <c r="P483" s="50"/>
      <c r="Q483" s="50"/>
    </row>
    <row r="484" spans="1:17" x14ac:dyDescent="0.2">
      <c r="A484" s="1031">
        <v>637</v>
      </c>
      <c r="B484" s="1031" t="s">
        <v>466</v>
      </c>
      <c r="C484" s="1031" t="s">
        <v>491</v>
      </c>
      <c r="D484" s="1090">
        <v>0</v>
      </c>
      <c r="E484" s="1090"/>
      <c r="F484" s="1319"/>
      <c r="G484" s="1090"/>
      <c r="H484" s="1523"/>
      <c r="I484" s="1090">
        <v>4333</v>
      </c>
      <c r="J484" s="1321">
        <v>4766</v>
      </c>
      <c r="K484" s="1545">
        <v>4766</v>
      </c>
      <c r="L484" s="1581">
        <v>4766</v>
      </c>
      <c r="M484" s="64"/>
      <c r="N484" s="48"/>
      <c r="O484" s="58"/>
      <c r="P484" s="50"/>
      <c r="Q484" s="50"/>
    </row>
    <row r="485" spans="1:17" x14ac:dyDescent="0.2">
      <c r="A485" s="1031">
        <v>637</v>
      </c>
      <c r="B485" s="1031" t="s">
        <v>494</v>
      </c>
      <c r="C485" s="1031" t="s">
        <v>782</v>
      </c>
      <c r="D485" s="1090">
        <v>0</v>
      </c>
      <c r="E485" s="1090"/>
      <c r="F485" s="1319"/>
      <c r="G485" s="1090"/>
      <c r="H485" s="1523"/>
      <c r="I485" s="1090"/>
      <c r="J485" s="1321"/>
      <c r="K485" s="1545"/>
      <c r="L485" s="1581"/>
      <c r="M485" s="64"/>
      <c r="N485" s="48"/>
      <c r="O485" s="58"/>
      <c r="P485" s="50"/>
      <c r="Q485" s="50"/>
    </row>
    <row r="486" spans="1:17" x14ac:dyDescent="0.2">
      <c r="A486" s="2069">
        <v>640</v>
      </c>
      <c r="B486" s="2069"/>
      <c r="C486" s="1567" t="s">
        <v>495</v>
      </c>
      <c r="D486" s="1239">
        <f t="shared" ref="D486" si="83">D487+D488+D494+D498+D503+D504</f>
        <v>27290</v>
      </c>
      <c r="E486" s="1191">
        <v>6173</v>
      </c>
      <c r="F486" s="1348">
        <f>F487+F488+F494+F498+F503+F504+F489+F490+F491+F493</f>
        <v>22220</v>
      </c>
      <c r="G486" s="1514">
        <f>G487+G488+G494+G498+G503+G504+G489+G490+G491+G493</f>
        <v>36800</v>
      </c>
      <c r="H486" s="1191">
        <f>H487+H488+H494+H498+H503+H504+H493+H489+H490+H491</f>
        <v>38620</v>
      </c>
      <c r="I486" s="1348">
        <f>I487+I488+I494+I498+I503+I504+I489+I490+I491+I493+I492</f>
        <v>28091</v>
      </c>
      <c r="J486" s="1305">
        <f>J487+J488+J494+J498+J503+J504+J489+J490+J491+J493</f>
        <v>23499</v>
      </c>
      <c r="K486" s="1658">
        <f>K487+K488+K494+K498+K503+K504+K489+K490+K491</f>
        <v>23499</v>
      </c>
      <c r="L486" s="1658">
        <f>L487+L488+L494+L498+L503+L504+L489+L490+L491</f>
        <v>23499</v>
      </c>
      <c r="M486" s="64"/>
      <c r="N486" s="48"/>
      <c r="O486" s="58"/>
      <c r="P486" s="50"/>
      <c r="Q486" s="50"/>
    </row>
    <row r="487" spans="1:17" x14ac:dyDescent="0.2">
      <c r="A487" s="1575">
        <v>634</v>
      </c>
      <c r="B487" s="1567" t="s">
        <v>111</v>
      </c>
      <c r="C487" s="1071" t="s">
        <v>724</v>
      </c>
      <c r="D487" s="1261">
        <v>1770</v>
      </c>
      <c r="E487" s="1261"/>
      <c r="F487" s="1319">
        <v>1408</v>
      </c>
      <c r="G487" s="1523">
        <v>2256</v>
      </c>
      <c r="H487" s="1523">
        <v>2256</v>
      </c>
      <c r="I487" s="1523">
        <v>2256</v>
      </c>
      <c r="J487" s="1321">
        <v>2740</v>
      </c>
      <c r="K487" s="1545">
        <v>2740</v>
      </c>
      <c r="L487" s="1656">
        <v>2740</v>
      </c>
      <c r="M487" s="64"/>
      <c r="N487" s="48"/>
      <c r="O487" s="58"/>
      <c r="P487" s="50"/>
      <c r="Q487" s="50"/>
    </row>
    <row r="488" spans="1:17" x14ac:dyDescent="0.2">
      <c r="A488" s="1575"/>
      <c r="B488" s="1567"/>
      <c r="C488" s="1071" t="s">
        <v>729</v>
      </c>
      <c r="D488" s="1261">
        <v>1200</v>
      </c>
      <c r="E488" s="1261"/>
      <c r="F488" s="1319">
        <v>299</v>
      </c>
      <c r="G488" s="1523">
        <v>382</v>
      </c>
      <c r="H488" s="1523">
        <v>382</v>
      </c>
      <c r="I488" s="1523">
        <v>249</v>
      </c>
      <c r="J488" s="1321">
        <v>249</v>
      </c>
      <c r="K488" s="1545">
        <v>249</v>
      </c>
      <c r="L488" s="1656">
        <v>249</v>
      </c>
      <c r="M488" s="64"/>
      <c r="N488" s="48"/>
      <c r="O488" s="58"/>
      <c r="P488" s="50"/>
      <c r="Q488" s="50"/>
    </row>
    <row r="489" spans="1:17" x14ac:dyDescent="0.2">
      <c r="A489" s="1575"/>
      <c r="B489" s="1567"/>
      <c r="C489" s="1071" t="s">
        <v>995</v>
      </c>
      <c r="D489" s="1261"/>
      <c r="E489" s="1261"/>
      <c r="F489" s="1319">
        <v>800</v>
      </c>
      <c r="G489" s="1523">
        <v>7200</v>
      </c>
      <c r="H489" s="1523">
        <v>7200</v>
      </c>
      <c r="I489" s="1523">
        <v>1034</v>
      </c>
      <c r="J489" s="1321">
        <v>0</v>
      </c>
      <c r="K489" s="1545">
        <v>0</v>
      </c>
      <c r="L489" s="1656">
        <v>0</v>
      </c>
      <c r="M489" s="64"/>
      <c r="N489" s="48"/>
      <c r="O489" s="58"/>
      <c r="P489" s="50"/>
      <c r="Q489" s="50"/>
    </row>
    <row r="490" spans="1:17" x14ac:dyDescent="0.2">
      <c r="A490" s="1575"/>
      <c r="B490" s="1567"/>
      <c r="C490" s="1071" t="s">
        <v>975</v>
      </c>
      <c r="D490" s="1261"/>
      <c r="E490" s="1261"/>
      <c r="F490" s="1319">
        <v>1100</v>
      </c>
      <c r="G490" s="1523">
        <v>280</v>
      </c>
      <c r="H490" s="1523">
        <v>1000</v>
      </c>
      <c r="I490" s="1523">
        <v>712</v>
      </c>
      <c r="J490" s="1321">
        <v>0</v>
      </c>
      <c r="K490" s="1545">
        <v>0</v>
      </c>
      <c r="L490" s="1656">
        <v>0</v>
      </c>
      <c r="M490" s="64"/>
      <c r="N490" s="48"/>
      <c r="O490" s="58"/>
      <c r="P490" s="50"/>
      <c r="Q490" s="50"/>
    </row>
    <row r="491" spans="1:17" x14ac:dyDescent="0.2">
      <c r="A491" s="1575"/>
      <c r="B491" s="1567"/>
      <c r="C491" s="1071" t="s">
        <v>994</v>
      </c>
      <c r="D491" s="1261"/>
      <c r="E491" s="1261"/>
      <c r="F491" s="1319">
        <v>4600</v>
      </c>
      <c r="G491" s="1523">
        <v>6900</v>
      </c>
      <c r="H491" s="1523">
        <v>6900</v>
      </c>
      <c r="I491" s="1523">
        <v>1080</v>
      </c>
      <c r="J491" s="1321">
        <v>0</v>
      </c>
      <c r="K491" s="1545">
        <v>0</v>
      </c>
      <c r="L491" s="1656">
        <v>0</v>
      </c>
      <c r="M491" s="64"/>
      <c r="N491" s="48"/>
      <c r="O491" s="58"/>
      <c r="P491" s="50"/>
      <c r="Q491" s="50"/>
    </row>
    <row r="492" spans="1:17" x14ac:dyDescent="0.2">
      <c r="A492" s="1575"/>
      <c r="B492" s="1567"/>
      <c r="C492" s="1071" t="s">
        <v>996</v>
      </c>
      <c r="D492" s="1261"/>
      <c r="E492" s="1261"/>
      <c r="F492" s="1319"/>
      <c r="G492" s="1523"/>
      <c r="H492" s="1523"/>
      <c r="I492" s="1523">
        <v>750</v>
      </c>
      <c r="J492" s="1321"/>
      <c r="K492" s="1545"/>
      <c r="L492" s="1656"/>
      <c r="M492" s="64"/>
      <c r="N492" s="48"/>
      <c r="O492" s="58"/>
      <c r="P492" s="50"/>
      <c r="Q492" s="50"/>
    </row>
    <row r="493" spans="1:17" x14ac:dyDescent="0.2">
      <c r="A493" s="1575"/>
      <c r="B493" s="1567"/>
      <c r="C493" s="1071" t="s">
        <v>993</v>
      </c>
      <c r="D493" s="1261"/>
      <c r="E493" s="1261"/>
      <c r="F493" s="1319">
        <v>4100</v>
      </c>
      <c r="G493" s="1523">
        <v>0</v>
      </c>
      <c r="H493" s="1523">
        <v>0</v>
      </c>
      <c r="I493" s="1523">
        <v>1500</v>
      </c>
      <c r="J493" s="1321">
        <v>0</v>
      </c>
      <c r="K493" s="1545">
        <v>0</v>
      </c>
      <c r="L493" s="1656">
        <v>0</v>
      </c>
      <c r="M493" s="64"/>
      <c r="N493" s="48"/>
      <c r="O493" s="58"/>
      <c r="P493" s="50"/>
      <c r="Q493" s="50"/>
    </row>
    <row r="494" spans="1:17" x14ac:dyDescent="0.2">
      <c r="A494" s="1575"/>
      <c r="B494" s="1567"/>
      <c r="C494" s="1071" t="s">
        <v>725</v>
      </c>
      <c r="D494" s="1261">
        <f>D495+D496+D497</f>
        <v>7500</v>
      </c>
      <c r="E494" s="1261"/>
      <c r="F494" s="1319">
        <v>0</v>
      </c>
      <c r="G494" s="1523">
        <v>5400</v>
      </c>
      <c r="H494" s="1523">
        <v>6500</v>
      </c>
      <c r="I494" s="1523">
        <v>5000</v>
      </c>
      <c r="J494" s="1321">
        <v>5000</v>
      </c>
      <c r="K494" s="1545">
        <v>5000</v>
      </c>
      <c r="L494" s="1656">
        <v>5000</v>
      </c>
      <c r="M494" s="64"/>
      <c r="N494" s="48"/>
      <c r="O494" s="58"/>
      <c r="P494" s="50"/>
      <c r="Q494" s="50"/>
    </row>
    <row r="495" spans="1:17" x14ac:dyDescent="0.2">
      <c r="A495" s="1575"/>
      <c r="B495" s="1567"/>
      <c r="C495" s="1071" t="s">
        <v>737</v>
      </c>
      <c r="D495" s="1257">
        <v>1850</v>
      </c>
      <c r="E495" s="1257"/>
      <c r="F495" s="1319"/>
      <c r="G495" s="1523"/>
      <c r="H495" s="1523"/>
      <c r="I495" s="1523"/>
      <c r="J495" s="1321"/>
      <c r="K495" s="1545"/>
      <c r="L495" s="1747"/>
      <c r="M495" s="64"/>
      <c r="N495" s="48"/>
      <c r="O495" s="58"/>
      <c r="P495" s="50"/>
      <c r="Q495" s="50"/>
    </row>
    <row r="496" spans="1:17" x14ac:dyDescent="0.2">
      <c r="A496" s="1575"/>
      <c r="B496" s="1567"/>
      <c r="C496" s="1071" t="s">
        <v>738</v>
      </c>
      <c r="D496" s="1257">
        <v>610</v>
      </c>
      <c r="E496" s="1257"/>
      <c r="F496" s="1319"/>
      <c r="G496" s="1523"/>
      <c r="H496" s="1523"/>
      <c r="I496" s="1523"/>
      <c r="J496" s="1321"/>
      <c r="K496" s="1545"/>
      <c r="L496" s="1747"/>
      <c r="M496" s="64"/>
      <c r="N496" s="48"/>
      <c r="O496" s="58"/>
      <c r="P496" s="50"/>
      <c r="Q496" s="50"/>
    </row>
    <row r="497" spans="1:18" x14ac:dyDescent="0.2">
      <c r="A497" s="1575"/>
      <c r="B497" s="1567"/>
      <c r="C497" s="1071" t="s">
        <v>739</v>
      </c>
      <c r="D497" s="1257">
        <v>5040</v>
      </c>
      <c r="E497" s="1257"/>
      <c r="F497" s="1319"/>
      <c r="G497" s="1523"/>
      <c r="H497" s="1523"/>
      <c r="I497" s="1523"/>
      <c r="J497" s="1321"/>
      <c r="K497" s="1545"/>
      <c r="L497" s="1747"/>
      <c r="M497" s="64"/>
      <c r="N497" s="48"/>
      <c r="O497" s="58"/>
      <c r="P497" s="50"/>
      <c r="Q497" s="50"/>
    </row>
    <row r="498" spans="1:18" x14ac:dyDescent="0.2">
      <c r="A498" s="1575"/>
      <c r="B498" s="1567"/>
      <c r="C498" s="1071" t="s">
        <v>588</v>
      </c>
      <c r="D498" s="1261">
        <f>D499+D500+D501+D502</f>
        <v>7850</v>
      </c>
      <c r="E498" s="1261"/>
      <c r="F498" s="1319">
        <v>2842</v>
      </c>
      <c r="G498" s="1523">
        <v>7098</v>
      </c>
      <c r="H498" s="1523">
        <v>7098</v>
      </c>
      <c r="I498" s="1523">
        <v>7232</v>
      </c>
      <c r="J498" s="1321">
        <v>7232</v>
      </c>
      <c r="K498" s="1545">
        <v>7232</v>
      </c>
      <c r="L498" s="1656">
        <v>7232</v>
      </c>
      <c r="M498" s="64"/>
      <c r="N498" s="48"/>
      <c r="O498" s="58"/>
      <c r="P498" s="50"/>
      <c r="Q498" s="50"/>
    </row>
    <row r="499" spans="1:18" x14ac:dyDescent="0.2">
      <c r="A499" s="1575"/>
      <c r="B499" s="1567"/>
      <c r="C499" s="1071" t="s">
        <v>731</v>
      </c>
      <c r="D499" s="1257">
        <v>1815</v>
      </c>
      <c r="E499" s="1257"/>
      <c r="F499" s="1319"/>
      <c r="G499" s="1523"/>
      <c r="H499" s="1523"/>
      <c r="I499" s="1523"/>
      <c r="J499" s="1321"/>
      <c r="K499" s="1545"/>
      <c r="L499" s="1747"/>
      <c r="M499" s="64"/>
      <c r="N499" s="48"/>
      <c r="O499" s="58"/>
      <c r="P499" s="50"/>
      <c r="Q499" s="50"/>
    </row>
    <row r="500" spans="1:18" x14ac:dyDescent="0.2">
      <c r="A500" s="1575"/>
      <c r="B500" s="1567"/>
      <c r="C500" s="1071" t="s">
        <v>738</v>
      </c>
      <c r="D500" s="1257">
        <v>1122</v>
      </c>
      <c r="E500" s="1257"/>
      <c r="F500" s="1319"/>
      <c r="G500" s="1523"/>
      <c r="H500" s="1523"/>
      <c r="I500" s="1523"/>
      <c r="J500" s="1321"/>
      <c r="K500" s="1545"/>
      <c r="L500" s="1747"/>
      <c r="M500" s="64"/>
      <c r="N500" s="48"/>
      <c r="O500" s="58"/>
      <c r="P500" s="50"/>
      <c r="Q500" s="50"/>
    </row>
    <row r="501" spans="1:18" x14ac:dyDescent="0.2">
      <c r="A501" s="1575"/>
      <c r="B501" s="1567"/>
      <c r="C501" s="1071" t="s">
        <v>732</v>
      </c>
      <c r="D501" s="1257">
        <v>1023</v>
      </c>
      <c r="E501" s="1257"/>
      <c r="F501" s="1319"/>
      <c r="G501" s="1523"/>
      <c r="H501" s="1523"/>
      <c r="I501" s="1523"/>
      <c r="J501" s="1321"/>
      <c r="K501" s="1545"/>
      <c r="L501" s="1747"/>
      <c r="M501" s="64"/>
      <c r="N501" s="48"/>
      <c r="O501" s="58"/>
      <c r="P501" s="50"/>
      <c r="Q501" s="50"/>
    </row>
    <row r="502" spans="1:18" x14ac:dyDescent="0.2">
      <c r="A502" s="1575"/>
      <c r="B502" s="1567"/>
      <c r="C502" s="1071" t="s">
        <v>736</v>
      </c>
      <c r="D502" s="1257">
        <v>3890</v>
      </c>
      <c r="E502" s="1257"/>
      <c r="F502" s="1319"/>
      <c r="G502" s="1523"/>
      <c r="H502" s="1523"/>
      <c r="I502" s="1523"/>
      <c r="J502" s="1321"/>
      <c r="K502" s="1545"/>
      <c r="L502" s="1747"/>
      <c r="M502" s="64"/>
      <c r="N502" s="48"/>
      <c r="O502" s="58"/>
      <c r="P502" s="50"/>
      <c r="Q502" s="50"/>
    </row>
    <row r="503" spans="1:18" x14ac:dyDescent="0.2">
      <c r="A503" s="1575"/>
      <c r="B503" s="1567"/>
      <c r="C503" s="1071" t="s">
        <v>658</v>
      </c>
      <c r="D503" s="1261">
        <v>130</v>
      </c>
      <c r="E503" s="1261"/>
      <c r="F503" s="1319">
        <v>4621</v>
      </c>
      <c r="G503" s="1523">
        <v>7284</v>
      </c>
      <c r="H503" s="1523">
        <v>7284</v>
      </c>
      <c r="I503" s="1523">
        <v>5578</v>
      </c>
      <c r="J503" s="1321">
        <v>5578</v>
      </c>
      <c r="K503" s="1545">
        <v>5578</v>
      </c>
      <c r="L503" s="1656">
        <v>5578</v>
      </c>
      <c r="M503" s="64"/>
      <c r="N503" s="48"/>
      <c r="O503" s="58"/>
      <c r="P503" s="50"/>
      <c r="Q503" s="50"/>
    </row>
    <row r="504" spans="1:18" x14ac:dyDescent="0.2">
      <c r="A504" s="1575"/>
      <c r="B504" s="1567"/>
      <c r="C504" s="1071" t="s">
        <v>726</v>
      </c>
      <c r="D504" s="1261">
        <f>D505+D506+D507</f>
        <v>8840</v>
      </c>
      <c r="E504" s="1261"/>
      <c r="F504" s="1319">
        <v>2450</v>
      </c>
      <c r="G504" s="1523">
        <v>0</v>
      </c>
      <c r="H504" s="1523">
        <v>0</v>
      </c>
      <c r="I504" s="1523">
        <v>2700</v>
      </c>
      <c r="J504" s="1321">
        <v>2700</v>
      </c>
      <c r="K504" s="1545">
        <v>2700</v>
      </c>
      <c r="L504" s="1656">
        <v>2700</v>
      </c>
      <c r="M504" s="64"/>
      <c r="N504" s="48"/>
      <c r="O504" s="58"/>
      <c r="P504" s="50"/>
      <c r="Q504" s="50"/>
    </row>
    <row r="505" spans="1:18" x14ac:dyDescent="0.2">
      <c r="A505" s="1575"/>
      <c r="B505" s="1567"/>
      <c r="C505" s="1071" t="s">
        <v>733</v>
      </c>
      <c r="D505" s="1257">
        <v>6348</v>
      </c>
      <c r="E505" s="1257"/>
      <c r="F505" s="1319"/>
      <c r="G505" s="1523"/>
      <c r="H505" s="1523"/>
      <c r="I505" s="1523"/>
      <c r="J505" s="1321"/>
      <c r="K505" s="1545"/>
      <c r="L505" s="1659"/>
      <c r="M505" s="64"/>
      <c r="N505" s="48"/>
      <c r="O505" s="58"/>
      <c r="P505" s="50"/>
      <c r="Q505" s="50"/>
    </row>
    <row r="506" spans="1:18" x14ac:dyDescent="0.2">
      <c r="A506" s="1575"/>
      <c r="B506" s="1567"/>
      <c r="C506" s="1071" t="s">
        <v>734</v>
      </c>
      <c r="D506" s="1257">
        <v>1260</v>
      </c>
      <c r="E506" s="1257"/>
      <c r="F506" s="1319"/>
      <c r="G506" s="1523"/>
      <c r="H506" s="1523"/>
      <c r="I506" s="1523"/>
      <c r="J506" s="1321"/>
      <c r="K506" s="1545"/>
      <c r="L506" s="1659"/>
      <c r="M506" s="64"/>
      <c r="N506" s="48"/>
      <c r="O506" s="58"/>
      <c r="P506" s="50"/>
      <c r="Q506" s="50"/>
    </row>
    <row r="507" spans="1:18" x14ac:dyDescent="0.2">
      <c r="A507" s="1575"/>
      <c r="B507" s="1567"/>
      <c r="C507" s="1071" t="s">
        <v>735</v>
      </c>
      <c r="D507" s="1257">
        <v>1232</v>
      </c>
      <c r="E507" s="1257"/>
      <c r="F507" s="1319"/>
      <c r="G507" s="1523"/>
      <c r="H507" s="1523"/>
      <c r="I507" s="1523"/>
      <c r="J507" s="1321"/>
      <c r="K507" s="1545"/>
      <c r="L507" s="1659"/>
      <c r="M507" s="64"/>
      <c r="N507" s="48"/>
      <c r="O507" s="58"/>
      <c r="P507" s="50"/>
      <c r="Q507" s="50"/>
    </row>
    <row r="508" spans="1:18" x14ac:dyDescent="0.2">
      <c r="A508" s="1831" t="s">
        <v>728</v>
      </c>
      <c r="B508" s="1831"/>
      <c r="C508" s="1831"/>
      <c r="D508" s="1832">
        <f t="shared" ref="D508" si="84">D509+D520</f>
        <v>186991</v>
      </c>
      <c r="E508" s="1832">
        <f>E509+E520+E548</f>
        <v>228526</v>
      </c>
      <c r="F508" s="1832">
        <f>F509+F520+F548+F548+F562</f>
        <v>274370</v>
      </c>
      <c r="G508" s="1832">
        <f>G509+G520+G548</f>
        <v>257306</v>
      </c>
      <c r="H508" s="1832">
        <f>H509+H520+H548</f>
        <v>305411</v>
      </c>
      <c r="I508" s="1832">
        <f>I509+I520+I562+I519</f>
        <v>277372</v>
      </c>
      <c r="J508" s="1626">
        <f>J509+J520+J562+J548</f>
        <v>289103</v>
      </c>
      <c r="K508" s="1833">
        <f>K509+K520+K548</f>
        <v>289103</v>
      </c>
      <c r="L508" s="1833">
        <f>L509+L520+L548</f>
        <v>289103</v>
      </c>
      <c r="M508" s="64"/>
      <c r="N508" s="64"/>
      <c r="O508" s="58"/>
      <c r="P508" s="50"/>
      <c r="Q508" s="50"/>
    </row>
    <row r="509" spans="1:18" x14ac:dyDescent="0.2">
      <c r="A509" s="2071">
        <v>610.62</v>
      </c>
      <c r="B509" s="2071"/>
      <c r="C509" s="1634" t="s">
        <v>727</v>
      </c>
      <c r="D509" s="1240">
        <f>SUM(D510:D517)</f>
        <v>168020</v>
      </c>
      <c r="E509" s="1517">
        <v>210618</v>
      </c>
      <c r="F509" s="1517">
        <f>SUM(F510:F517)+F518</f>
        <v>248152</v>
      </c>
      <c r="G509" s="1514">
        <f>SUM(G510:G517)+G518</f>
        <v>235344</v>
      </c>
      <c r="H509" s="1517">
        <f>SUM(H510:H517)+H518</f>
        <v>267156</v>
      </c>
      <c r="I509" s="1517">
        <f>SUM(I510:I517)+I518</f>
        <v>252713</v>
      </c>
      <c r="J509" s="1305">
        <f>SUM(J510:J517)+J518</f>
        <v>264131</v>
      </c>
      <c r="K509" s="1630">
        <f>SUM(K510:K517)</f>
        <v>264131</v>
      </c>
      <c r="L509" s="1630">
        <f>SUM(L510:L517)</f>
        <v>264131</v>
      </c>
      <c r="M509" s="64"/>
      <c r="N509" s="64"/>
      <c r="O509" s="58"/>
      <c r="P509" s="50"/>
      <c r="Q509" s="50"/>
      <c r="R509" s="49"/>
    </row>
    <row r="510" spans="1:18" x14ac:dyDescent="0.2">
      <c r="A510" s="2067" t="s">
        <v>721</v>
      </c>
      <c r="B510" s="1091">
        <v>610</v>
      </c>
      <c r="C510" s="1093" t="s">
        <v>447</v>
      </c>
      <c r="D510" s="1090">
        <v>24752</v>
      </c>
      <c r="E510" s="1090"/>
      <c r="F510" s="1523">
        <v>33924</v>
      </c>
      <c r="G510" s="1523">
        <v>42388</v>
      </c>
      <c r="H510" s="1523">
        <v>48492</v>
      </c>
      <c r="I510" s="1523">
        <v>38492</v>
      </c>
      <c r="J510" s="1321">
        <v>40417</v>
      </c>
      <c r="K510" s="1523">
        <v>40417</v>
      </c>
      <c r="L510" s="1523">
        <v>40417</v>
      </c>
      <c r="M510" s="64"/>
      <c r="N510" s="64"/>
      <c r="O510" s="58"/>
      <c r="P510" s="50"/>
      <c r="Q510" s="50"/>
      <c r="R510" s="49"/>
    </row>
    <row r="511" spans="1:18" s="33" customFormat="1" x14ac:dyDescent="0.2">
      <c r="A511" s="2067"/>
      <c r="B511" s="1091">
        <v>620</v>
      </c>
      <c r="C511" s="1092" t="s">
        <v>193</v>
      </c>
      <c r="D511" s="1090">
        <v>8472</v>
      </c>
      <c r="E511" s="1090"/>
      <c r="F511" s="1523">
        <v>11750</v>
      </c>
      <c r="G511" s="1523">
        <v>14491</v>
      </c>
      <c r="H511" s="1523">
        <v>16578</v>
      </c>
      <c r="I511" s="1523">
        <v>13482</v>
      </c>
      <c r="J511" s="1321">
        <v>14156</v>
      </c>
      <c r="K511" s="1523">
        <v>14156</v>
      </c>
      <c r="L511" s="1523">
        <v>14156</v>
      </c>
      <c r="M511" s="64"/>
      <c r="N511" s="20"/>
      <c r="O511" s="58"/>
      <c r="P511" s="486"/>
      <c r="Q511" s="50"/>
      <c r="R511" s="49"/>
    </row>
    <row r="512" spans="1:18" s="538" customFormat="1" x14ac:dyDescent="0.2">
      <c r="A512" s="2067" t="s">
        <v>722</v>
      </c>
      <c r="B512" s="1091">
        <v>610</v>
      </c>
      <c r="C512" s="1093" t="s">
        <v>447</v>
      </c>
      <c r="D512" s="1090">
        <v>77988</v>
      </c>
      <c r="E512" s="1090"/>
      <c r="F512" s="1523">
        <v>114178</v>
      </c>
      <c r="G512" s="1523">
        <v>101534</v>
      </c>
      <c r="H512" s="1523">
        <v>116155</v>
      </c>
      <c r="I512" s="1523">
        <v>117919</v>
      </c>
      <c r="J512" s="1321">
        <v>123815</v>
      </c>
      <c r="K512" s="1523">
        <v>123815</v>
      </c>
      <c r="L512" s="1523">
        <v>123815</v>
      </c>
      <c r="M512" s="487"/>
      <c r="N512" s="477"/>
      <c r="O512" s="483"/>
      <c r="P512" s="467"/>
      <c r="Q512" s="482"/>
      <c r="R512" s="480"/>
    </row>
    <row r="513" spans="1:18" s="538" customFormat="1" x14ac:dyDescent="0.2">
      <c r="A513" s="2067"/>
      <c r="B513" s="1091">
        <v>620</v>
      </c>
      <c r="C513" s="1092" t="s">
        <v>193</v>
      </c>
      <c r="D513" s="1090">
        <v>27264</v>
      </c>
      <c r="E513" s="1090"/>
      <c r="F513" s="1523">
        <v>39562</v>
      </c>
      <c r="G513" s="1523">
        <v>35467</v>
      </c>
      <c r="H513" s="1523">
        <v>40574</v>
      </c>
      <c r="I513" s="1523">
        <v>41234</v>
      </c>
      <c r="J513" s="1321">
        <v>43296</v>
      </c>
      <c r="K513" s="1523">
        <v>43296</v>
      </c>
      <c r="L513" s="1523">
        <v>43296</v>
      </c>
      <c r="M513" s="487"/>
      <c r="N513" s="477"/>
      <c r="O513" s="483"/>
      <c r="P513" s="467"/>
      <c r="Q513" s="482"/>
      <c r="R513" s="480"/>
    </row>
    <row r="514" spans="1:18" s="33" customFormat="1" x14ac:dyDescent="0.2">
      <c r="A514" s="2067" t="s">
        <v>392</v>
      </c>
      <c r="B514" s="1091">
        <v>610</v>
      </c>
      <c r="C514" s="1093" t="s">
        <v>447</v>
      </c>
      <c r="D514" s="1090">
        <v>9840</v>
      </c>
      <c r="E514" s="1090"/>
      <c r="F514" s="1523">
        <v>15043</v>
      </c>
      <c r="G514" s="1523">
        <v>12381</v>
      </c>
      <c r="H514" s="1523">
        <v>14164</v>
      </c>
      <c r="I514" s="1523">
        <v>12748</v>
      </c>
      <c r="J514" s="1321">
        <v>13385</v>
      </c>
      <c r="K514" s="1523">
        <v>13385</v>
      </c>
      <c r="L514" s="1523">
        <v>13385</v>
      </c>
      <c r="M514" s="529"/>
      <c r="N514" s="530"/>
      <c r="O514" s="529"/>
      <c r="P514" s="467"/>
      <c r="Q514" s="539"/>
      <c r="R514" s="16"/>
    </row>
    <row r="515" spans="1:18" s="33" customFormat="1" x14ac:dyDescent="0.2">
      <c r="A515" s="2067"/>
      <c r="B515" s="1091">
        <v>620</v>
      </c>
      <c r="C515" s="1092" t="s">
        <v>193</v>
      </c>
      <c r="D515" s="1090">
        <v>3384</v>
      </c>
      <c r="E515" s="1090"/>
      <c r="F515" s="1523">
        <v>5258</v>
      </c>
      <c r="G515" s="1523">
        <v>4327</v>
      </c>
      <c r="H515" s="1523">
        <v>4950</v>
      </c>
      <c r="I515" s="1523">
        <v>4487</v>
      </c>
      <c r="J515" s="1321">
        <v>4711</v>
      </c>
      <c r="K515" s="1523">
        <v>4711</v>
      </c>
      <c r="L515" s="1523">
        <v>4711</v>
      </c>
      <c r="M515" s="529"/>
      <c r="N515" s="530"/>
      <c r="O515" s="529"/>
      <c r="P515" s="467"/>
      <c r="Q515" s="539"/>
      <c r="R515" s="16"/>
    </row>
    <row r="516" spans="1:18" s="33" customFormat="1" x14ac:dyDescent="0.2">
      <c r="A516" s="2067" t="s">
        <v>723</v>
      </c>
      <c r="B516" s="1091">
        <v>610</v>
      </c>
      <c r="C516" s="1093" t="s">
        <v>447</v>
      </c>
      <c r="D516" s="1090">
        <v>12120</v>
      </c>
      <c r="E516" s="1090"/>
      <c r="F516" s="1523">
        <v>20270</v>
      </c>
      <c r="G516" s="1523">
        <v>17221</v>
      </c>
      <c r="H516" s="1523">
        <v>19040</v>
      </c>
      <c r="I516" s="1523">
        <v>18017</v>
      </c>
      <c r="J516" s="1321">
        <v>18017</v>
      </c>
      <c r="K516" s="1523">
        <v>18017</v>
      </c>
      <c r="L516" s="1523">
        <v>18017</v>
      </c>
      <c r="M516" s="529"/>
      <c r="N516" s="530"/>
      <c r="O516" s="529"/>
      <c r="P516" s="467"/>
      <c r="Q516" s="539"/>
      <c r="R516" s="16"/>
    </row>
    <row r="517" spans="1:18" s="33" customFormat="1" x14ac:dyDescent="0.2">
      <c r="A517" s="2067"/>
      <c r="B517" s="1091">
        <v>620</v>
      </c>
      <c r="C517" s="1092" t="s">
        <v>193</v>
      </c>
      <c r="D517" s="1189">
        <v>4200</v>
      </c>
      <c r="E517" s="1189"/>
      <c r="F517" s="1523">
        <v>6999</v>
      </c>
      <c r="G517" s="1523">
        <v>6017</v>
      </c>
      <c r="H517" s="1523">
        <v>6653</v>
      </c>
      <c r="I517" s="1523">
        <v>6334</v>
      </c>
      <c r="J517" s="1321">
        <v>6334</v>
      </c>
      <c r="K517" s="1523">
        <v>6334</v>
      </c>
      <c r="L517" s="1523">
        <v>6334</v>
      </c>
      <c r="M517" s="529"/>
      <c r="N517" s="530"/>
      <c r="O517" s="529"/>
      <c r="P517" s="467"/>
      <c r="Q517" s="539"/>
      <c r="R517" s="16"/>
    </row>
    <row r="518" spans="1:18" s="33" customFormat="1" x14ac:dyDescent="0.2">
      <c r="A518" s="1655"/>
      <c r="B518" s="1091"/>
      <c r="C518" s="1092" t="s">
        <v>834</v>
      </c>
      <c r="D518" s="1189"/>
      <c r="E518" s="1189"/>
      <c r="F518" s="1523">
        <v>1168</v>
      </c>
      <c r="G518" s="1523">
        <v>1518</v>
      </c>
      <c r="H518" s="1523">
        <v>550</v>
      </c>
      <c r="I518" s="1523">
        <v>0</v>
      </c>
      <c r="J518" s="1321">
        <v>0</v>
      </c>
      <c r="K518" s="1523">
        <v>0</v>
      </c>
      <c r="L518" s="1523">
        <v>0</v>
      </c>
      <c r="M518" s="529"/>
      <c r="N518" s="530"/>
      <c r="O518" s="529"/>
      <c r="P518" s="467"/>
      <c r="Q518" s="539"/>
      <c r="R518" s="16"/>
    </row>
    <row r="519" spans="1:18" s="33" customFormat="1" x14ac:dyDescent="0.2">
      <c r="A519" s="1655"/>
      <c r="B519" s="1091"/>
      <c r="C519" s="1092" t="s">
        <v>997</v>
      </c>
      <c r="D519" s="1189"/>
      <c r="E519" s="1189"/>
      <c r="F519" s="1523"/>
      <c r="G519" s="1523"/>
      <c r="H519" s="1523"/>
      <c r="I519" s="1189">
        <v>0</v>
      </c>
      <c r="J519" s="1321"/>
      <c r="K519" s="1523"/>
      <c r="L519" s="1660"/>
      <c r="M519" s="529"/>
      <c r="N519" s="530"/>
      <c r="O519" s="529"/>
      <c r="P519" s="467"/>
      <c r="Q519" s="539"/>
      <c r="R519" s="16"/>
    </row>
    <row r="520" spans="1:18" x14ac:dyDescent="0.2">
      <c r="A520" s="1266"/>
      <c r="B520" s="1266" t="s">
        <v>583</v>
      </c>
      <c r="C520" s="1634" t="s">
        <v>361</v>
      </c>
      <c r="D520" s="1240">
        <f t="shared" ref="D520" si="85">D521+D522+D533+D535+D539+D548</f>
        <v>18971</v>
      </c>
      <c r="E520" s="1348">
        <v>17068</v>
      </c>
      <c r="F520" s="1348">
        <f>F521+F522+F533+F535+F539+F548</f>
        <v>12901</v>
      </c>
      <c r="G520" s="1524">
        <f>G521+G522+G533+G535+G539+G548</f>
        <v>16785</v>
      </c>
      <c r="H520" s="1348">
        <f>H521+H522+H533+H535+H539</f>
        <v>31299</v>
      </c>
      <c r="I520" s="1348">
        <f>I521+I522+I533+I535+I539+I548</f>
        <v>23659</v>
      </c>
      <c r="J520" s="1349">
        <f>J521+J522+J533+J535+J539</f>
        <v>17755</v>
      </c>
      <c r="K520" s="1348">
        <f>K521+K522+K533+K535+K539</f>
        <v>17755</v>
      </c>
      <c r="L520" s="1348">
        <f>L521+L522+L533+L535+L539</f>
        <v>17755</v>
      </c>
      <c r="M520" s="487"/>
      <c r="O520" s="512"/>
      <c r="P520" s="467"/>
      <c r="Q520" s="482"/>
    </row>
    <row r="521" spans="1:18" x14ac:dyDescent="0.2">
      <c r="A521" s="2071">
        <v>632</v>
      </c>
      <c r="B521" s="2071"/>
      <c r="C521" s="1634" t="s">
        <v>451</v>
      </c>
      <c r="D521" s="1191">
        <v>1815</v>
      </c>
      <c r="E521" s="1191">
        <v>0</v>
      </c>
      <c r="F521" s="1191">
        <v>1813</v>
      </c>
      <c r="G521" s="1191">
        <v>4641</v>
      </c>
      <c r="H521" s="1514">
        <v>20327</v>
      </c>
      <c r="I521" s="1191">
        <v>9215</v>
      </c>
      <c r="J521" s="1305">
        <v>9409</v>
      </c>
      <c r="K521" s="1564">
        <v>9409</v>
      </c>
      <c r="L521" s="1191">
        <v>9409</v>
      </c>
      <c r="M521" s="487"/>
      <c r="O521" s="512"/>
      <c r="P521" s="467"/>
      <c r="Q521" s="482"/>
    </row>
    <row r="522" spans="1:18" x14ac:dyDescent="0.2">
      <c r="A522" s="2072">
        <v>633</v>
      </c>
      <c r="B522" s="2072"/>
      <c r="C522" s="1650" t="s">
        <v>453</v>
      </c>
      <c r="D522" s="1241">
        <f>SUM(D523:D532)</f>
        <v>5974</v>
      </c>
      <c r="E522" s="1191">
        <v>0</v>
      </c>
      <c r="F522" s="1191">
        <f t="shared" ref="F522" si="86">SUM(F523:F531)+F532</f>
        <v>1120</v>
      </c>
      <c r="G522" s="1514">
        <f>SUM(G523:G531)+G532</f>
        <v>894</v>
      </c>
      <c r="H522" s="1191">
        <f t="shared" ref="H522:K522" si="87">SUM(H523:H531)+H532</f>
        <v>2300</v>
      </c>
      <c r="I522" s="1191">
        <f t="shared" si="87"/>
        <v>994</v>
      </c>
      <c r="J522" s="1305">
        <f>SUM(J523:J531)+J532</f>
        <v>1510</v>
      </c>
      <c r="K522" s="1191">
        <f t="shared" si="87"/>
        <v>1510</v>
      </c>
      <c r="L522" s="1191">
        <f>SUM(L524:L532)</f>
        <v>1510</v>
      </c>
      <c r="M522" s="487"/>
      <c r="O522" s="512"/>
      <c r="P522" s="467"/>
      <c r="Q522" s="482"/>
    </row>
    <row r="523" spans="1:18" x14ac:dyDescent="0.2">
      <c r="A523" s="835">
        <v>633</v>
      </c>
      <c r="B523" s="835" t="s">
        <v>94</v>
      </c>
      <c r="C523" s="835" t="s">
        <v>454</v>
      </c>
      <c r="D523" s="1088"/>
      <c r="E523" s="1088"/>
      <c r="F523" s="1523"/>
      <c r="G523" s="1088"/>
      <c r="H523" s="1523"/>
      <c r="I523" s="1088"/>
      <c r="J523" s="1321"/>
      <c r="K523" s="1661"/>
      <c r="L523" s="1662"/>
      <c r="M523" s="487"/>
      <c r="O523" s="512"/>
      <c r="P523" s="467"/>
      <c r="Q523" s="482"/>
    </row>
    <row r="524" spans="1:18" x14ac:dyDescent="0.2">
      <c r="A524" s="1031">
        <v>633</v>
      </c>
      <c r="B524" s="1568" t="s">
        <v>97</v>
      </c>
      <c r="C524" s="1031" t="s">
        <v>455</v>
      </c>
      <c r="D524" s="1088"/>
      <c r="E524" s="1088"/>
      <c r="F524" s="1523"/>
      <c r="G524" s="1088"/>
      <c r="H524" s="1523"/>
      <c r="I524" s="1088"/>
      <c r="J524" s="1321"/>
      <c r="K524" s="1661"/>
      <c r="L524" s="1662"/>
      <c r="M524" s="487"/>
      <c r="O524" s="512"/>
      <c r="P524" s="467"/>
      <c r="Q524" s="482"/>
    </row>
    <row r="525" spans="1:18" x14ac:dyDescent="0.2">
      <c r="A525" s="1031">
        <v>633</v>
      </c>
      <c r="B525" s="1568" t="s">
        <v>120</v>
      </c>
      <c r="C525" s="1031" t="s">
        <v>456</v>
      </c>
      <c r="D525" s="1088"/>
      <c r="E525" s="1088"/>
      <c r="F525" s="1523"/>
      <c r="G525" s="1088"/>
      <c r="H525" s="1523"/>
      <c r="I525" s="1088"/>
      <c r="J525" s="1321"/>
      <c r="K525" s="1661"/>
      <c r="L525" s="1662"/>
      <c r="M525" s="487"/>
      <c r="O525" s="512"/>
      <c r="P525" s="467"/>
      <c r="Q525" s="482"/>
    </row>
    <row r="526" spans="1:18" x14ac:dyDescent="0.2">
      <c r="A526" s="1031">
        <v>633</v>
      </c>
      <c r="B526" s="1031" t="s">
        <v>125</v>
      </c>
      <c r="C526" s="1031" t="s">
        <v>458</v>
      </c>
      <c r="D526" s="1189">
        <v>935</v>
      </c>
      <c r="E526" s="1189"/>
      <c r="F526" s="1523">
        <v>300</v>
      </c>
      <c r="G526" s="1189">
        <v>413</v>
      </c>
      <c r="H526" s="1523">
        <v>1000</v>
      </c>
      <c r="I526" s="1189">
        <v>443</v>
      </c>
      <c r="J526" s="1321">
        <v>500</v>
      </c>
      <c r="K526" s="1661">
        <v>500</v>
      </c>
      <c r="L526" s="1660">
        <v>500</v>
      </c>
      <c r="M526" s="487"/>
      <c r="O526" s="512"/>
      <c r="P526" s="467"/>
      <c r="Q526" s="482"/>
    </row>
    <row r="527" spans="1:18" x14ac:dyDescent="0.2">
      <c r="A527" s="1031">
        <v>633</v>
      </c>
      <c r="B527" s="1031" t="s">
        <v>125</v>
      </c>
      <c r="C527" s="1031" t="s">
        <v>741</v>
      </c>
      <c r="D527" s="1189">
        <v>4166</v>
      </c>
      <c r="E527" s="1189"/>
      <c r="F527" s="1523">
        <v>0</v>
      </c>
      <c r="G527" s="1189">
        <v>0</v>
      </c>
      <c r="H527" s="1523">
        <v>0</v>
      </c>
      <c r="I527" s="1189">
        <v>0</v>
      </c>
      <c r="J527" s="1321">
        <v>0</v>
      </c>
      <c r="K527" s="1661">
        <v>0</v>
      </c>
      <c r="L527" s="1660">
        <v>0</v>
      </c>
      <c r="M527" s="487"/>
      <c r="O527" s="512"/>
      <c r="P527" s="467"/>
      <c r="Q527" s="482"/>
    </row>
    <row r="528" spans="1:18" x14ac:dyDescent="0.2">
      <c r="A528" s="1031">
        <v>633</v>
      </c>
      <c r="B528" s="1031" t="s">
        <v>459</v>
      </c>
      <c r="C528" s="1031" t="s">
        <v>386</v>
      </c>
      <c r="D528" s="1189">
        <v>627</v>
      </c>
      <c r="E528" s="1189"/>
      <c r="F528" s="1523">
        <v>300</v>
      </c>
      <c r="G528" s="1189">
        <v>161</v>
      </c>
      <c r="H528" s="1523">
        <v>500</v>
      </c>
      <c r="I528" s="1189">
        <v>200</v>
      </c>
      <c r="J528" s="1321">
        <v>210</v>
      </c>
      <c r="K528" s="1661">
        <v>210</v>
      </c>
      <c r="L528" s="1660">
        <v>210</v>
      </c>
      <c r="M528" s="487"/>
      <c r="O528" s="512"/>
      <c r="P528" s="467"/>
      <c r="Q528" s="482"/>
    </row>
    <row r="529" spans="1:17" x14ac:dyDescent="0.2">
      <c r="A529" s="1031">
        <v>633</v>
      </c>
      <c r="B529" s="1031" t="s">
        <v>461</v>
      </c>
      <c r="C529" s="1031" t="s">
        <v>462</v>
      </c>
      <c r="D529" s="1189"/>
      <c r="E529" s="1189"/>
      <c r="F529" s="1523"/>
      <c r="G529" s="1189"/>
      <c r="H529" s="1523"/>
      <c r="I529" s="1189"/>
      <c r="J529" s="1321"/>
      <c r="K529" s="1661"/>
      <c r="L529" s="1660"/>
      <c r="M529" s="487"/>
      <c r="O529" s="512"/>
      <c r="P529" s="467"/>
      <c r="Q529" s="482"/>
    </row>
    <row r="530" spans="1:17" x14ac:dyDescent="0.2">
      <c r="A530" s="1031">
        <v>633</v>
      </c>
      <c r="B530" s="1031" t="s">
        <v>463</v>
      </c>
      <c r="C530" s="1031" t="s">
        <v>464</v>
      </c>
      <c r="D530" s="1189"/>
      <c r="E530" s="1189"/>
      <c r="F530" s="1523"/>
      <c r="G530" s="1189"/>
      <c r="H530" s="1523"/>
      <c r="I530" s="1189"/>
      <c r="J530" s="1321"/>
      <c r="K530" s="1661"/>
      <c r="L530" s="1660"/>
      <c r="M530" s="487"/>
      <c r="O530" s="512"/>
      <c r="P530" s="467"/>
      <c r="Q530" s="482"/>
    </row>
    <row r="531" spans="1:17" x14ac:dyDescent="0.2">
      <c r="A531" s="1031">
        <v>633</v>
      </c>
      <c r="B531" s="1031" t="s">
        <v>103</v>
      </c>
      <c r="C531" s="1031" t="s">
        <v>465</v>
      </c>
      <c r="D531" s="1189">
        <v>246</v>
      </c>
      <c r="E531" s="1189"/>
      <c r="F531" s="1523">
        <v>320</v>
      </c>
      <c r="G531" s="1189">
        <v>320</v>
      </c>
      <c r="H531" s="1523">
        <v>500</v>
      </c>
      <c r="I531" s="1189">
        <v>351</v>
      </c>
      <c r="J531" s="1321">
        <v>500</v>
      </c>
      <c r="K531" s="1661">
        <v>500</v>
      </c>
      <c r="L531" s="1660">
        <v>500</v>
      </c>
      <c r="M531" s="487"/>
      <c r="O531" s="512"/>
      <c r="P531" s="467"/>
      <c r="Q531" s="482"/>
    </row>
    <row r="532" spans="1:17" x14ac:dyDescent="0.2">
      <c r="A532" s="1031">
        <v>633</v>
      </c>
      <c r="B532" s="1031" t="s">
        <v>466</v>
      </c>
      <c r="C532" s="1031" t="s">
        <v>467</v>
      </c>
      <c r="D532" s="1189"/>
      <c r="E532" s="1189"/>
      <c r="F532" s="1523">
        <v>200</v>
      </c>
      <c r="G532" s="1189">
        <v>0</v>
      </c>
      <c r="H532" s="1523">
        <v>300</v>
      </c>
      <c r="I532" s="1189">
        <v>0</v>
      </c>
      <c r="J532" s="1321">
        <v>300</v>
      </c>
      <c r="K532" s="1661">
        <v>300</v>
      </c>
      <c r="L532" s="1660">
        <v>300</v>
      </c>
      <c r="M532" s="487"/>
      <c r="O532" s="512"/>
      <c r="P532" s="467"/>
      <c r="Q532" s="482"/>
    </row>
    <row r="533" spans="1:17" x14ac:dyDescent="0.2">
      <c r="A533" s="2069">
        <v>634</v>
      </c>
      <c r="B533" s="2069"/>
      <c r="C533" s="1567" t="s">
        <v>468</v>
      </c>
      <c r="D533" s="1103"/>
      <c r="E533" s="1191">
        <f t="shared" ref="E533:L533" si="88">E534</f>
        <v>0</v>
      </c>
      <c r="F533" s="1319">
        <f t="shared" si="88"/>
        <v>0</v>
      </c>
      <c r="G533" s="1319">
        <f t="shared" si="88"/>
        <v>0</v>
      </c>
      <c r="H533" s="1319">
        <f t="shared" si="88"/>
        <v>0</v>
      </c>
      <c r="I533" s="1319">
        <f t="shared" si="88"/>
        <v>0</v>
      </c>
      <c r="J533" s="1290">
        <f t="shared" si="88"/>
        <v>0</v>
      </c>
      <c r="K533" s="1663">
        <f t="shared" si="88"/>
        <v>0</v>
      </c>
      <c r="L533" s="1191">
        <f t="shared" si="88"/>
        <v>0</v>
      </c>
      <c r="M533" s="487"/>
      <c r="O533" s="512"/>
      <c r="P533" s="467"/>
      <c r="Q533" s="482"/>
    </row>
    <row r="534" spans="1:17" x14ac:dyDescent="0.2">
      <c r="A534" s="1031">
        <v>634</v>
      </c>
      <c r="B534" s="1031" t="s">
        <v>111</v>
      </c>
      <c r="C534" s="1031" t="s">
        <v>473</v>
      </c>
      <c r="D534" s="1103"/>
      <c r="E534" s="1189"/>
      <c r="F534" s="1319"/>
      <c r="G534" s="1319"/>
      <c r="H534" s="1319"/>
      <c r="I534" s="1319"/>
      <c r="J534" s="1290"/>
      <c r="K534" s="1664"/>
      <c r="L534" s="1189"/>
      <c r="M534" s="487"/>
      <c r="O534" s="512"/>
      <c r="P534" s="467"/>
      <c r="Q534" s="482"/>
    </row>
    <row r="535" spans="1:17" x14ac:dyDescent="0.2">
      <c r="A535" s="2069">
        <v>635</v>
      </c>
      <c r="B535" s="2069"/>
      <c r="C535" s="1567" t="s">
        <v>475</v>
      </c>
      <c r="D535" s="1241">
        <f>D536</f>
        <v>0</v>
      </c>
      <c r="E535" s="1191">
        <f t="shared" ref="E535:L535" si="89">SUM(E536:E538)</f>
        <v>0</v>
      </c>
      <c r="F535" s="1319">
        <f>SUM(F536:F538)</f>
        <v>0</v>
      </c>
      <c r="G535" s="1319">
        <f>SUM(G536:G538)</f>
        <v>0</v>
      </c>
      <c r="H535" s="1319">
        <f>SUM(H536:H538)</f>
        <v>0</v>
      </c>
      <c r="I535" s="1319">
        <f>SUM(I536:I538)</f>
        <v>0</v>
      </c>
      <c r="J535" s="1290">
        <f>SUM(J536:J538)</f>
        <v>0</v>
      </c>
      <c r="K535" s="1663">
        <f t="shared" si="89"/>
        <v>0</v>
      </c>
      <c r="L535" s="1191">
        <f t="shared" si="89"/>
        <v>0</v>
      </c>
      <c r="M535" s="487"/>
      <c r="O535" s="512"/>
      <c r="P535" s="467"/>
      <c r="Q535" s="482"/>
    </row>
    <row r="536" spans="1:17" x14ac:dyDescent="0.2">
      <c r="A536" s="1031">
        <v>635</v>
      </c>
      <c r="B536" s="1031" t="s">
        <v>97</v>
      </c>
      <c r="C536" s="1031" t="s">
        <v>476</v>
      </c>
      <c r="D536" s="1103"/>
      <c r="E536" s="1189"/>
      <c r="F536" s="1319"/>
      <c r="G536" s="1319"/>
      <c r="H536" s="1319"/>
      <c r="I536" s="1319"/>
      <c r="J536" s="1290"/>
      <c r="K536" s="1664"/>
      <c r="L536" s="1189"/>
      <c r="M536" s="487"/>
      <c r="O536" s="512"/>
      <c r="P536" s="467"/>
      <c r="Q536" s="482"/>
    </row>
    <row r="537" spans="1:17" x14ac:dyDescent="0.2">
      <c r="A537" s="1031">
        <v>635</v>
      </c>
      <c r="B537" s="1031" t="s">
        <v>111</v>
      </c>
      <c r="C537" s="1031" t="s">
        <v>477</v>
      </c>
      <c r="D537" s="1103"/>
      <c r="E537" s="1189"/>
      <c r="F537" s="1319"/>
      <c r="G537" s="1319"/>
      <c r="H537" s="1319"/>
      <c r="I537" s="1319"/>
      <c r="J537" s="1290"/>
      <c r="K537" s="1664"/>
      <c r="L537" s="1189"/>
      <c r="M537" s="487"/>
      <c r="O537" s="512"/>
      <c r="P537" s="467"/>
      <c r="Q537" s="482"/>
    </row>
    <row r="538" spans="1:17" x14ac:dyDescent="0.2">
      <c r="A538" s="1031">
        <v>635</v>
      </c>
      <c r="B538" s="1031" t="s">
        <v>125</v>
      </c>
      <c r="C538" s="1031" t="s">
        <v>478</v>
      </c>
      <c r="D538" s="1103"/>
      <c r="E538" s="1189"/>
      <c r="F538" s="1319"/>
      <c r="G538" s="1319"/>
      <c r="H538" s="1319"/>
      <c r="I538" s="1319"/>
      <c r="J538" s="1290"/>
      <c r="K538" s="1664"/>
      <c r="L538" s="1189"/>
      <c r="M538" s="487"/>
      <c r="O538" s="512"/>
      <c r="P538" s="467"/>
      <c r="Q538" s="482"/>
    </row>
    <row r="539" spans="1:17" x14ac:dyDescent="0.2">
      <c r="A539" s="2069">
        <v>637</v>
      </c>
      <c r="B539" s="2069"/>
      <c r="C539" s="1567" t="s">
        <v>481</v>
      </c>
      <c r="D539" s="1241">
        <f t="shared" ref="D539:L539" si="90">SUM(D540:D547)</f>
        <v>4600</v>
      </c>
      <c r="E539" s="1348">
        <v>0</v>
      </c>
      <c r="F539" s="1348">
        <f>SUM(F540:F547)</f>
        <v>3432</v>
      </c>
      <c r="G539" s="1524">
        <f>SUM(G540:G547)</f>
        <v>6073</v>
      </c>
      <c r="H539" s="1348">
        <f t="shared" si="90"/>
        <v>8672</v>
      </c>
      <c r="I539" s="1348">
        <f>SUM(I540:I547)</f>
        <v>6734</v>
      </c>
      <c r="J539" s="1349">
        <f>SUM(J540:J547)</f>
        <v>6836</v>
      </c>
      <c r="K539" s="1665">
        <f t="shared" si="90"/>
        <v>6836</v>
      </c>
      <c r="L539" s="1348">
        <f t="shared" si="90"/>
        <v>6836</v>
      </c>
      <c r="M539" s="487"/>
      <c r="O539" s="512"/>
      <c r="P539" s="467"/>
      <c r="Q539" s="482"/>
    </row>
    <row r="540" spans="1:17" x14ac:dyDescent="0.2">
      <c r="A540" s="1031">
        <v>637</v>
      </c>
      <c r="B540" s="1031" t="s">
        <v>94</v>
      </c>
      <c r="C540" s="1031" t="s">
        <v>482</v>
      </c>
      <c r="D540" s="1189"/>
      <c r="E540" s="1189"/>
      <c r="F540" s="1523"/>
      <c r="G540" s="1523"/>
      <c r="H540" s="1523"/>
      <c r="I540" s="1189"/>
      <c r="J540" s="1321"/>
      <c r="K540" s="1661"/>
      <c r="L540" s="1660"/>
      <c r="M540" s="487"/>
      <c r="O540" s="512"/>
      <c r="P540" s="467"/>
      <c r="Q540" s="482"/>
    </row>
    <row r="541" spans="1:17" x14ac:dyDescent="0.2">
      <c r="A541" s="1031">
        <v>637</v>
      </c>
      <c r="B541" s="1031" t="s">
        <v>111</v>
      </c>
      <c r="C541" s="1031" t="s">
        <v>485</v>
      </c>
      <c r="D541" s="1189"/>
      <c r="E541" s="1189"/>
      <c r="F541" s="1523">
        <v>1831</v>
      </c>
      <c r="G541" s="1189">
        <v>2031</v>
      </c>
      <c r="H541" s="1523">
        <v>2640</v>
      </c>
      <c r="I541" s="1189">
        <v>2031</v>
      </c>
      <c r="J541" s="1321">
        <v>2133</v>
      </c>
      <c r="K541" s="1661">
        <v>2133</v>
      </c>
      <c r="L541" s="1660">
        <v>2133</v>
      </c>
      <c r="M541" s="487"/>
      <c r="O541" s="512"/>
      <c r="P541" s="467"/>
      <c r="Q541" s="482"/>
    </row>
    <row r="542" spans="1:17" x14ac:dyDescent="0.2">
      <c r="A542" s="1031">
        <v>637</v>
      </c>
      <c r="B542" s="1031" t="s">
        <v>120</v>
      </c>
      <c r="C542" s="1031" t="s">
        <v>326</v>
      </c>
      <c r="D542" s="1189">
        <v>1640</v>
      </c>
      <c r="E542" s="1189"/>
      <c r="F542" s="1523"/>
      <c r="G542" s="1189"/>
      <c r="H542" s="1523"/>
      <c r="I542" s="1189"/>
      <c r="J542" s="1321"/>
      <c r="K542" s="1661"/>
      <c r="L542" s="1660"/>
      <c r="M542" s="487"/>
      <c r="O542" s="512"/>
      <c r="P542" s="467"/>
      <c r="Q542" s="482"/>
    </row>
    <row r="543" spans="1:17" x14ac:dyDescent="0.2">
      <c r="A543" s="1031">
        <v>637</v>
      </c>
      <c r="B543" s="1031" t="s">
        <v>102</v>
      </c>
      <c r="C543" s="1031" t="s">
        <v>486</v>
      </c>
      <c r="D543" s="1088"/>
      <c r="E543" s="1088"/>
      <c r="F543" s="1523"/>
      <c r="G543" s="1088"/>
      <c r="H543" s="1523"/>
      <c r="I543" s="1088"/>
      <c r="J543" s="1321"/>
      <c r="K543" s="1661"/>
      <c r="L543" s="1662"/>
      <c r="M543" s="487"/>
      <c r="O543" s="512"/>
      <c r="P543" s="467"/>
      <c r="Q543" s="482"/>
    </row>
    <row r="544" spans="1:17" x14ac:dyDescent="0.2">
      <c r="A544" s="1031">
        <v>637</v>
      </c>
      <c r="B544" s="1031" t="s">
        <v>105</v>
      </c>
      <c r="C544" s="1031" t="s">
        <v>487</v>
      </c>
      <c r="D544" s="1189">
        <v>2772</v>
      </c>
      <c r="E544" s="1189"/>
      <c r="F544" s="1523">
        <v>1430</v>
      </c>
      <c r="G544" s="1189">
        <v>3868</v>
      </c>
      <c r="H544" s="1523">
        <v>5802</v>
      </c>
      <c r="I544" s="1189">
        <v>4529</v>
      </c>
      <c r="J544" s="1321">
        <v>4529</v>
      </c>
      <c r="K544" s="1661">
        <v>4529</v>
      </c>
      <c r="L544" s="1660">
        <v>4529</v>
      </c>
      <c r="M544" s="487"/>
      <c r="O544" s="512"/>
      <c r="P544" s="467"/>
      <c r="Q544" s="482"/>
    </row>
    <row r="545" spans="1:17" x14ac:dyDescent="0.2">
      <c r="A545" s="1031">
        <v>637</v>
      </c>
      <c r="B545" s="1031" t="s">
        <v>489</v>
      </c>
      <c r="C545" s="1031" t="s">
        <v>490</v>
      </c>
      <c r="D545" s="1189">
        <v>188</v>
      </c>
      <c r="E545" s="1189"/>
      <c r="F545" s="1523">
        <v>171</v>
      </c>
      <c r="G545" s="1189">
        <v>174</v>
      </c>
      <c r="H545" s="1523">
        <v>230</v>
      </c>
      <c r="I545" s="1189">
        <v>174</v>
      </c>
      <c r="J545" s="1321">
        <v>174</v>
      </c>
      <c r="K545" s="1661">
        <v>174</v>
      </c>
      <c r="L545" s="1660">
        <v>174</v>
      </c>
      <c r="M545" s="487"/>
      <c r="O545" s="512"/>
      <c r="P545" s="467"/>
      <c r="Q545" s="482"/>
    </row>
    <row r="546" spans="1:17" x14ac:dyDescent="0.2">
      <c r="A546" s="1031">
        <v>637</v>
      </c>
      <c r="B546" s="1031" t="s">
        <v>466</v>
      </c>
      <c r="C546" s="1031" t="s">
        <v>491</v>
      </c>
      <c r="D546" s="1088"/>
      <c r="E546" s="1088"/>
      <c r="F546" s="1523"/>
      <c r="G546" s="1088"/>
      <c r="H546" s="1523"/>
      <c r="I546" s="1088"/>
      <c r="J546" s="1321"/>
      <c r="K546" s="1661"/>
      <c r="L546" s="1662"/>
      <c r="M546" s="487"/>
      <c r="O546" s="512"/>
      <c r="P546" s="467"/>
      <c r="Q546" s="482"/>
    </row>
    <row r="547" spans="1:17" x14ac:dyDescent="0.2">
      <c r="A547" s="1031">
        <v>637</v>
      </c>
      <c r="B547" s="1031" t="s">
        <v>494</v>
      </c>
      <c r="C547" s="1031" t="s">
        <v>256</v>
      </c>
      <c r="D547" s="1088"/>
      <c r="E547" s="1088"/>
      <c r="F547" s="1523"/>
      <c r="G547" s="1088"/>
      <c r="H547" s="1523"/>
      <c r="I547" s="1088"/>
      <c r="J547" s="1321"/>
      <c r="K547" s="1661"/>
      <c r="L547" s="1662"/>
      <c r="M547" s="487"/>
      <c r="O547" s="512"/>
      <c r="P547" s="467"/>
      <c r="Q547" s="482"/>
    </row>
    <row r="548" spans="1:17" x14ac:dyDescent="0.2">
      <c r="A548" s="2069">
        <v>640</v>
      </c>
      <c r="B548" s="2069"/>
      <c r="C548" s="1567" t="s">
        <v>495</v>
      </c>
      <c r="D548" s="1241">
        <f>D549+D550+D553+D555+D560+D561</f>
        <v>6582</v>
      </c>
      <c r="E548" s="1348">
        <v>840</v>
      </c>
      <c r="F548" s="1348">
        <f>F549+F550+F553+F555+F560+F561+F552+F551</f>
        <v>6536</v>
      </c>
      <c r="G548" s="1524">
        <f>G549+G550+G553+G555+G560+G561+G551+G552+G562</f>
        <v>5177</v>
      </c>
      <c r="H548" s="1348">
        <f>H549+H550+H553+H555+H560+H561+H551+H552+H562</f>
        <v>6956</v>
      </c>
      <c r="I548" s="1348">
        <f>I549+I550+I553+I555+I560+I561+I552+I551</f>
        <v>6716</v>
      </c>
      <c r="J548" s="1349">
        <f>J549+J550+J553+J555+J560+J561+J551+J552</f>
        <v>7217</v>
      </c>
      <c r="K548" s="1665">
        <f>K549+K550+K553+K555+K560+K561+K552</f>
        <v>7217</v>
      </c>
      <c r="L548" s="1348">
        <f>L549+L550+L553+L555+L560+L561+L552</f>
        <v>7217</v>
      </c>
      <c r="M548" s="487"/>
      <c r="O548" s="512"/>
      <c r="P548" s="467"/>
      <c r="Q548" s="482"/>
    </row>
    <row r="549" spans="1:17" x14ac:dyDescent="0.2">
      <c r="A549" s="1575"/>
      <c r="B549" s="1567"/>
      <c r="C549" s="1071" t="s">
        <v>724</v>
      </c>
      <c r="D549" s="1100">
        <v>2032</v>
      </c>
      <c r="E549" s="1100"/>
      <c r="F549" s="1525">
        <v>1063</v>
      </c>
      <c r="G549" s="1525">
        <v>1391</v>
      </c>
      <c r="H549" s="1525">
        <v>1390</v>
      </c>
      <c r="I549" s="1525">
        <v>1701</v>
      </c>
      <c r="J549" s="1350">
        <v>1701</v>
      </c>
      <c r="K549" s="1666">
        <v>1701</v>
      </c>
      <c r="L549" s="1100">
        <v>1701</v>
      </c>
      <c r="M549" s="487"/>
      <c r="O549" s="512"/>
      <c r="P549" s="467"/>
      <c r="Q549" s="482"/>
    </row>
    <row r="550" spans="1:17" x14ac:dyDescent="0.2">
      <c r="A550" s="1575"/>
      <c r="B550" s="1567"/>
      <c r="C550" s="1071" t="s">
        <v>730</v>
      </c>
      <c r="D550" s="1100">
        <v>400</v>
      </c>
      <c r="E550" s="1100"/>
      <c r="F550" s="1525">
        <v>183</v>
      </c>
      <c r="G550" s="1525">
        <v>166</v>
      </c>
      <c r="H550" s="1525">
        <v>166</v>
      </c>
      <c r="I550" s="1525">
        <v>116</v>
      </c>
      <c r="J550" s="1350">
        <v>116</v>
      </c>
      <c r="K550" s="1666">
        <v>116</v>
      </c>
      <c r="L550" s="1100">
        <v>116</v>
      </c>
      <c r="M550" s="487"/>
      <c r="O550" s="512"/>
      <c r="P550" s="467"/>
      <c r="Q550" s="482"/>
    </row>
    <row r="551" spans="1:17" x14ac:dyDescent="0.2">
      <c r="A551" s="1575"/>
      <c r="B551" s="1567"/>
      <c r="C551" s="1071" t="s">
        <v>890</v>
      </c>
      <c r="D551" s="1100"/>
      <c r="E551" s="1100"/>
      <c r="F551" s="1525">
        <v>950</v>
      </c>
      <c r="G551" s="1525">
        <v>0</v>
      </c>
      <c r="H551" s="1525">
        <v>0</v>
      </c>
      <c r="I551" s="1525">
        <v>0</v>
      </c>
      <c r="J551" s="1350">
        <v>0</v>
      </c>
      <c r="K551" s="1666"/>
      <c r="L551" s="1100"/>
      <c r="M551" s="487"/>
      <c r="O551" s="512"/>
      <c r="P551" s="467"/>
      <c r="Q551" s="482"/>
    </row>
    <row r="552" spans="1:17" x14ac:dyDescent="0.2">
      <c r="A552" s="1575"/>
      <c r="B552" s="1567"/>
      <c r="C552" s="1071" t="s">
        <v>893</v>
      </c>
      <c r="D552" s="1100"/>
      <c r="E552" s="1100"/>
      <c r="F552" s="1525">
        <v>2000</v>
      </c>
      <c r="G552" s="1525">
        <v>0</v>
      </c>
      <c r="H552" s="1525">
        <v>0</v>
      </c>
      <c r="I552" s="1525">
        <v>0</v>
      </c>
      <c r="J552" s="1350">
        <v>0</v>
      </c>
      <c r="K552" s="1666">
        <v>0</v>
      </c>
      <c r="L552" s="1100">
        <v>0</v>
      </c>
      <c r="M552" s="487"/>
      <c r="O552" s="512"/>
      <c r="P552" s="467"/>
      <c r="Q552" s="482"/>
    </row>
    <row r="553" spans="1:17" x14ac:dyDescent="0.2">
      <c r="A553" s="1575"/>
      <c r="B553" s="1567"/>
      <c r="C553" s="1071" t="s">
        <v>725</v>
      </c>
      <c r="D553" s="1100">
        <v>800</v>
      </c>
      <c r="E553" s="1100"/>
      <c r="F553" s="1525">
        <v>0</v>
      </c>
      <c r="G553" s="1525">
        <v>0</v>
      </c>
      <c r="H553" s="1525">
        <v>2000</v>
      </c>
      <c r="I553" s="1525">
        <v>2150</v>
      </c>
      <c r="J553" s="1350">
        <v>2000</v>
      </c>
      <c r="K553" s="1666">
        <v>2000</v>
      </c>
      <c r="L553" s="1100">
        <v>2000</v>
      </c>
      <c r="M553" s="487"/>
      <c r="O553" s="512"/>
      <c r="P553" s="467"/>
      <c r="Q553" s="482"/>
    </row>
    <row r="554" spans="1:17" x14ac:dyDescent="0.2">
      <c r="A554" s="1575"/>
      <c r="B554" s="1567"/>
      <c r="C554" s="1071" t="s">
        <v>742</v>
      </c>
      <c r="D554" s="1088">
        <v>800</v>
      </c>
      <c r="E554" s="1088"/>
      <c r="F554" s="1525"/>
      <c r="G554" s="1525"/>
      <c r="H554" s="1525"/>
      <c r="I554" s="1525"/>
      <c r="J554" s="1350"/>
      <c r="K554" s="1666"/>
      <c r="L554" s="1088"/>
      <c r="M554" s="487"/>
      <c r="O554" s="512"/>
      <c r="P554" s="467"/>
      <c r="Q554" s="482"/>
    </row>
    <row r="555" spans="1:17" x14ac:dyDescent="0.2">
      <c r="A555" s="1575"/>
      <c r="B555" s="1567"/>
      <c r="C555" s="1071" t="s">
        <v>588</v>
      </c>
      <c r="D555" s="1100">
        <f>D556+D557+D558+D559</f>
        <v>1880</v>
      </c>
      <c r="E555" s="1100"/>
      <c r="F555" s="1525">
        <v>538</v>
      </c>
      <c r="G555" s="1525">
        <v>1178</v>
      </c>
      <c r="H555" s="1525">
        <v>1800</v>
      </c>
      <c r="I555" s="1525">
        <v>902</v>
      </c>
      <c r="J555" s="1350">
        <v>1800</v>
      </c>
      <c r="K555" s="1666">
        <v>1800</v>
      </c>
      <c r="L555" s="1100">
        <v>1800</v>
      </c>
      <c r="M555" s="487"/>
      <c r="O555" s="512"/>
      <c r="P555" s="467"/>
      <c r="Q555" s="482"/>
    </row>
    <row r="556" spans="1:17" x14ac:dyDescent="0.2">
      <c r="A556" s="1575"/>
      <c r="B556" s="1567"/>
      <c r="C556" s="1071" t="s">
        <v>743</v>
      </c>
      <c r="D556" s="1088">
        <v>297</v>
      </c>
      <c r="E556" s="1088"/>
      <c r="F556" s="1525"/>
      <c r="G556" s="1525"/>
      <c r="H556" s="1525"/>
      <c r="I556" s="1525"/>
      <c r="J556" s="1350"/>
      <c r="K556" s="1666"/>
      <c r="L556" s="1088"/>
      <c r="M556" s="487"/>
      <c r="O556" s="512"/>
      <c r="P556" s="467"/>
      <c r="Q556" s="482"/>
    </row>
    <row r="557" spans="1:17" x14ac:dyDescent="0.2">
      <c r="A557" s="1575"/>
      <c r="B557" s="1567"/>
      <c r="C557" s="1071" t="s">
        <v>738</v>
      </c>
      <c r="D557" s="1088">
        <v>105</v>
      </c>
      <c r="E557" s="1088"/>
      <c r="F557" s="1525"/>
      <c r="G557" s="1525"/>
      <c r="H557" s="1525"/>
      <c r="I557" s="1525"/>
      <c r="J557" s="1350"/>
      <c r="K557" s="1666"/>
      <c r="L557" s="1088"/>
      <c r="M557" s="487"/>
      <c r="O557" s="512"/>
      <c r="P557" s="467"/>
      <c r="Q557" s="482"/>
    </row>
    <row r="558" spans="1:17" x14ac:dyDescent="0.2">
      <c r="A558" s="1575"/>
      <c r="B558" s="1567"/>
      <c r="C558" s="1071" t="s">
        <v>744</v>
      </c>
      <c r="D558" s="1088">
        <v>283</v>
      </c>
      <c r="E558" s="1088"/>
      <c r="F558" s="1525"/>
      <c r="G558" s="1525"/>
      <c r="H558" s="1525"/>
      <c r="I558" s="1525"/>
      <c r="J558" s="1350"/>
      <c r="K558" s="1666"/>
      <c r="L558" s="1088"/>
      <c r="M558" s="487"/>
      <c r="O558" s="512"/>
      <c r="P558" s="467"/>
      <c r="Q558" s="482"/>
    </row>
    <row r="559" spans="1:17" x14ac:dyDescent="0.2">
      <c r="A559" s="1575"/>
      <c r="B559" s="1567"/>
      <c r="C559" s="1071" t="s">
        <v>735</v>
      </c>
      <c r="D559" s="1088">
        <v>1195</v>
      </c>
      <c r="E559" s="1088"/>
      <c r="F559" s="1525"/>
      <c r="G559" s="1525"/>
      <c r="H559" s="1525"/>
      <c r="I559" s="1525"/>
      <c r="J559" s="1350"/>
      <c r="K559" s="1666"/>
      <c r="L559" s="1088"/>
      <c r="M559" s="487"/>
      <c r="O559" s="512"/>
      <c r="P559" s="467"/>
      <c r="Q559" s="482"/>
    </row>
    <row r="560" spans="1:17" x14ac:dyDescent="0.2">
      <c r="A560" s="2069"/>
      <c r="B560" s="2069"/>
      <c r="C560" s="1071" t="s">
        <v>658</v>
      </c>
      <c r="D560" s="1100">
        <v>70</v>
      </c>
      <c r="E560" s="1100"/>
      <c r="F560" s="1525">
        <v>1352</v>
      </c>
      <c r="G560" s="1525">
        <v>1842</v>
      </c>
      <c r="H560" s="1525">
        <v>1000</v>
      </c>
      <c r="I560" s="1525">
        <v>947</v>
      </c>
      <c r="J560" s="1350">
        <v>1000</v>
      </c>
      <c r="K560" s="1666">
        <v>1000</v>
      </c>
      <c r="L560" s="1100">
        <v>1000</v>
      </c>
      <c r="M560" s="487"/>
      <c r="O560" s="512"/>
      <c r="P560" s="467"/>
      <c r="Q560" s="482"/>
    </row>
    <row r="561" spans="1:17" x14ac:dyDescent="0.2">
      <c r="A561" s="2069"/>
      <c r="B561" s="2069"/>
      <c r="C561" s="1071" t="s">
        <v>726</v>
      </c>
      <c r="D561" s="1100">
        <v>1400</v>
      </c>
      <c r="E561" s="1100"/>
      <c r="F561" s="1525">
        <v>450</v>
      </c>
      <c r="G561" s="1525">
        <v>600</v>
      </c>
      <c r="H561" s="1525">
        <v>600</v>
      </c>
      <c r="I561" s="1525">
        <v>900</v>
      </c>
      <c r="J561" s="1350">
        <v>600</v>
      </c>
      <c r="K561" s="1666">
        <v>600</v>
      </c>
      <c r="L561" s="1100">
        <v>600</v>
      </c>
      <c r="M561" s="487"/>
      <c r="O561" s="512"/>
      <c r="P561" s="467"/>
      <c r="Q561" s="482"/>
    </row>
    <row r="562" spans="1:17" x14ac:dyDescent="0.2">
      <c r="A562" s="2069"/>
      <c r="B562" s="2069"/>
      <c r="C562" s="1071" t="s">
        <v>1004</v>
      </c>
      <c r="D562" s="1088">
        <v>1400</v>
      </c>
      <c r="E562" s="1089">
        <v>89</v>
      </c>
      <c r="F562" s="1523">
        <v>245</v>
      </c>
      <c r="G562" s="1523">
        <v>0</v>
      </c>
      <c r="H562" s="1523">
        <v>0</v>
      </c>
      <c r="I562" s="1523">
        <v>1000</v>
      </c>
      <c r="J562" s="1321">
        <v>0</v>
      </c>
      <c r="K562" s="1666"/>
      <c r="L562" s="1088"/>
      <c r="M562" s="487"/>
      <c r="O562" s="512"/>
      <c r="P562" s="467"/>
      <c r="Q562" s="482"/>
    </row>
    <row r="563" spans="1:17" hidden="1" x14ac:dyDescent="0.2">
      <c r="A563" s="1575"/>
      <c r="B563" s="1567"/>
      <c r="C563" s="1071"/>
      <c r="D563" s="1088"/>
      <c r="E563" s="1262"/>
      <c r="F563" s="1262"/>
      <c r="G563" s="1262"/>
      <c r="H563" s="1667"/>
      <c r="I563" s="1667"/>
      <c r="J563" s="1290"/>
      <c r="K563" s="1668"/>
      <c r="L563" s="1100"/>
      <c r="M563" s="487"/>
      <c r="O563" s="512"/>
      <c r="P563" s="467"/>
      <c r="Q563" s="482"/>
    </row>
    <row r="564" spans="1:17" hidden="1" x14ac:dyDescent="0.2">
      <c r="A564" s="1565"/>
      <c r="B564" s="1565"/>
      <c r="C564" s="1565"/>
      <c r="D564" s="1182"/>
      <c r="E564" s="1669"/>
      <c r="F564" s="1264"/>
      <c r="G564" s="1669"/>
      <c r="H564" s="1670"/>
      <c r="I564" s="1670"/>
      <c r="J564" s="1290"/>
      <c r="K564" s="1671"/>
      <c r="L564" s="1263"/>
      <c r="M564" s="487"/>
      <c r="O564" s="512"/>
      <c r="P564" s="467"/>
      <c r="Q564" s="482"/>
    </row>
    <row r="565" spans="1:17" hidden="1" x14ac:dyDescent="0.2">
      <c r="A565" s="1565"/>
      <c r="B565" s="1565"/>
      <c r="C565" s="1672"/>
      <c r="D565" s="1672"/>
      <c r="E565" s="1672"/>
      <c r="F565" s="1672"/>
      <c r="G565" s="1672"/>
      <c r="H565" s="1673"/>
      <c r="I565" s="1673"/>
      <c r="J565" s="1290"/>
      <c r="K565" s="1674"/>
      <c r="L565" s="1672"/>
      <c r="M565" s="487"/>
      <c r="O565" s="512"/>
      <c r="P565" s="467"/>
      <c r="Q565" s="482"/>
    </row>
    <row r="566" spans="1:17" s="502" customFormat="1" x14ac:dyDescent="0.2">
      <c r="A566" s="1834" t="s">
        <v>589</v>
      </c>
      <c r="B566" s="1834"/>
      <c r="C566" s="1834" t="s">
        <v>397</v>
      </c>
      <c r="D566" s="1835">
        <f>D567+D569+D570</f>
        <v>78781</v>
      </c>
      <c r="E566" s="1836">
        <f>SUM(E567,E569,E568,E570)</f>
        <v>96181</v>
      </c>
      <c r="F566" s="1836">
        <f>SUM(F567,F569,F570)+F568</f>
        <v>94417</v>
      </c>
      <c r="G566" s="1836">
        <f>SUM(G567,G569,G568,G570)</f>
        <v>111963</v>
      </c>
      <c r="H566" s="1836">
        <f>SUM(H567,H569,H570)+H568</f>
        <v>110917</v>
      </c>
      <c r="I566" s="1836">
        <f>SUM(I567,I569,I570)+I568</f>
        <v>114234</v>
      </c>
      <c r="J566" s="1625">
        <f>SUM(J567,J569,J570)+J568</f>
        <v>116300</v>
      </c>
      <c r="K566" s="1836">
        <f>SUM(K567,K569,K570)</f>
        <v>118385</v>
      </c>
      <c r="L566" s="1836">
        <f>SUM(L567,L569,L570)+L568</f>
        <v>121385</v>
      </c>
      <c r="M566" s="508"/>
      <c r="N566" s="491"/>
      <c r="O566" s="469"/>
      <c r="P566" s="469"/>
      <c r="Q566" s="469"/>
    </row>
    <row r="567" spans="1:17" x14ac:dyDescent="0.2">
      <c r="A567" s="1252">
        <v>610</v>
      </c>
      <c r="B567" s="1193"/>
      <c r="C567" s="1093" t="s">
        <v>447</v>
      </c>
      <c r="D567" s="1028">
        <v>30200</v>
      </c>
      <c r="E567" s="1028">
        <v>44783</v>
      </c>
      <c r="F567" s="1319">
        <v>43000</v>
      </c>
      <c r="G567" s="1511">
        <v>54000</v>
      </c>
      <c r="H567" s="1319">
        <v>55500</v>
      </c>
      <c r="I567" s="1511">
        <v>53900</v>
      </c>
      <c r="J567" s="1290">
        <v>55500</v>
      </c>
      <c r="K567" s="1783">
        <v>54000</v>
      </c>
      <c r="L567" s="1598">
        <v>54000</v>
      </c>
      <c r="M567" s="58"/>
      <c r="O567" s="58"/>
      <c r="P567" s="50"/>
      <c r="Q567" s="58"/>
    </row>
    <row r="568" spans="1:17" x14ac:dyDescent="0.2">
      <c r="A568" s="1252"/>
      <c r="B568" s="1193"/>
      <c r="C568" s="1093"/>
      <c r="D568" s="1028">
        <v>0</v>
      </c>
      <c r="E568" s="1028">
        <v>0</v>
      </c>
      <c r="F568" s="1319">
        <v>0</v>
      </c>
      <c r="G568" s="1511">
        <v>0</v>
      </c>
      <c r="H568" s="1319">
        <v>0</v>
      </c>
      <c r="I568" s="1511">
        <v>0</v>
      </c>
      <c r="J568" s="1290">
        <v>0</v>
      </c>
      <c r="K568" s="1783">
        <v>0</v>
      </c>
      <c r="L568" s="1598">
        <v>0</v>
      </c>
      <c r="M568" s="58"/>
      <c r="O568" s="58"/>
      <c r="P568" s="50"/>
      <c r="Q568" s="58"/>
    </row>
    <row r="569" spans="1:17" x14ac:dyDescent="0.2">
      <c r="A569" s="1252">
        <v>620</v>
      </c>
      <c r="B569" s="1252"/>
      <c r="C569" s="1092" t="s">
        <v>193</v>
      </c>
      <c r="D569" s="1028">
        <v>11170</v>
      </c>
      <c r="E569" s="1028">
        <v>16192</v>
      </c>
      <c r="F569" s="1319">
        <v>15000</v>
      </c>
      <c r="G569" s="1511">
        <v>18400</v>
      </c>
      <c r="H569" s="1319">
        <v>19000</v>
      </c>
      <c r="I569" s="1511">
        <v>19200</v>
      </c>
      <c r="J569" s="1290">
        <v>19000</v>
      </c>
      <c r="K569" s="1783">
        <v>19000</v>
      </c>
      <c r="L569" s="1598">
        <v>19000</v>
      </c>
      <c r="M569" s="58"/>
      <c r="O569" s="58"/>
      <c r="P569" s="50"/>
      <c r="Q569" s="58"/>
    </row>
    <row r="570" spans="1:17" x14ac:dyDescent="0.2">
      <c r="A570" s="1620">
        <v>630</v>
      </c>
      <c r="B570" s="1253"/>
      <c r="C570" s="1071" t="s">
        <v>361</v>
      </c>
      <c r="D570" s="1028">
        <f>SUM(D571,D572,D574,D578,D575,D576)+D579+D573</f>
        <v>37411</v>
      </c>
      <c r="E570" s="1028">
        <f t="shared" ref="E570:L570" si="91">SUM(E571,E572,E574,E578,E575,E576)+E579+E573+E577</f>
        <v>35206</v>
      </c>
      <c r="F570" s="1319">
        <f t="shared" si="91"/>
        <v>36417</v>
      </c>
      <c r="G570" s="1511">
        <f t="shared" si="91"/>
        <v>39563</v>
      </c>
      <c r="H570" s="1319">
        <f t="shared" si="91"/>
        <v>36417</v>
      </c>
      <c r="I570" s="1511">
        <f t="shared" si="91"/>
        <v>41134</v>
      </c>
      <c r="J570" s="1290">
        <f t="shared" si="91"/>
        <v>41800</v>
      </c>
      <c r="K570" s="1783">
        <f t="shared" si="91"/>
        <v>45385</v>
      </c>
      <c r="L570" s="1598">
        <f t="shared" si="91"/>
        <v>48385</v>
      </c>
      <c r="M570" s="58"/>
      <c r="O570" s="50"/>
      <c r="P570" s="50"/>
      <c r="Q570" s="58"/>
    </row>
    <row r="571" spans="1:17" x14ac:dyDescent="0.2">
      <c r="A571" s="1031">
        <v>632</v>
      </c>
      <c r="B571" s="1031"/>
      <c r="C571" s="1031" t="s">
        <v>590</v>
      </c>
      <c r="D571" s="1090">
        <v>6800</v>
      </c>
      <c r="E571" s="1090">
        <v>5542</v>
      </c>
      <c r="F571" s="1319">
        <v>6000</v>
      </c>
      <c r="G571" s="1675">
        <v>10000</v>
      </c>
      <c r="H571" s="1523">
        <v>6000</v>
      </c>
      <c r="I571" s="1675">
        <v>5000</v>
      </c>
      <c r="J571" s="1321">
        <v>6000</v>
      </c>
      <c r="K571" s="1840">
        <v>8185</v>
      </c>
      <c r="L571" s="1676">
        <v>8185</v>
      </c>
      <c r="M571" s="490"/>
      <c r="O571" s="490"/>
      <c r="P571" s="486"/>
      <c r="Q571" s="490"/>
    </row>
    <row r="572" spans="1:17" x14ac:dyDescent="0.2">
      <c r="A572" s="1031">
        <v>633</v>
      </c>
      <c r="B572" s="1031"/>
      <c r="C572" s="1031" t="s">
        <v>355</v>
      </c>
      <c r="D572" s="1090">
        <v>1451</v>
      </c>
      <c r="E572" s="1090">
        <v>1864</v>
      </c>
      <c r="F572" s="1319">
        <v>2000</v>
      </c>
      <c r="G572" s="1675">
        <v>2000</v>
      </c>
      <c r="H572" s="1523">
        <v>2000</v>
      </c>
      <c r="I572" s="1675">
        <v>2000</v>
      </c>
      <c r="J572" s="1321">
        <v>2000</v>
      </c>
      <c r="K572" s="1840">
        <v>2000</v>
      </c>
      <c r="L572" s="1676">
        <v>2000</v>
      </c>
      <c r="M572" s="490"/>
      <c r="O572" s="509"/>
      <c r="P572" s="486"/>
      <c r="Q572" s="490"/>
    </row>
    <row r="573" spans="1:17" x14ac:dyDescent="0.2">
      <c r="A573" s="1031">
        <v>633</v>
      </c>
      <c r="B573" s="1031" t="s">
        <v>97</v>
      </c>
      <c r="C573" s="1031" t="s">
        <v>454</v>
      </c>
      <c r="D573" s="1090">
        <v>0</v>
      </c>
      <c r="E573" s="1090">
        <v>0</v>
      </c>
      <c r="F573" s="1319">
        <v>0</v>
      </c>
      <c r="G573" s="1675">
        <v>0</v>
      </c>
      <c r="H573" s="1523">
        <v>0</v>
      </c>
      <c r="I573" s="1675">
        <v>1100</v>
      </c>
      <c r="J573" s="1321">
        <v>0</v>
      </c>
      <c r="K573" s="1840">
        <v>0</v>
      </c>
      <c r="L573" s="1676">
        <v>0</v>
      </c>
      <c r="M573" s="490"/>
      <c r="O573" s="509"/>
      <c r="P573" s="486"/>
      <c r="Q573" s="490"/>
    </row>
    <row r="574" spans="1:17" x14ac:dyDescent="0.2">
      <c r="A574" s="1031">
        <v>633</v>
      </c>
      <c r="B574" s="1031" t="s">
        <v>463</v>
      </c>
      <c r="C574" s="1031" t="s">
        <v>385</v>
      </c>
      <c r="D574" s="1090">
        <v>27000</v>
      </c>
      <c r="E574" s="1090">
        <v>25965</v>
      </c>
      <c r="F574" s="1319">
        <v>25000</v>
      </c>
      <c r="G574" s="1675">
        <v>23746</v>
      </c>
      <c r="H574" s="1523">
        <v>25000</v>
      </c>
      <c r="I574" s="1675">
        <v>29617</v>
      </c>
      <c r="J574" s="1321">
        <v>30000</v>
      </c>
      <c r="K574" s="1840">
        <v>32000</v>
      </c>
      <c r="L574" s="1676">
        <v>35000</v>
      </c>
      <c r="M574" s="490"/>
      <c r="O574" s="490"/>
      <c r="P574" s="486"/>
      <c r="Q574" s="58"/>
    </row>
    <row r="575" spans="1:17" x14ac:dyDescent="0.2">
      <c r="A575" s="1031">
        <v>633</v>
      </c>
      <c r="B575" s="1031" t="s">
        <v>111</v>
      </c>
      <c r="C575" s="1027" t="s">
        <v>591</v>
      </c>
      <c r="D575" s="1090">
        <v>280</v>
      </c>
      <c r="E575" s="1090">
        <v>385</v>
      </c>
      <c r="F575" s="1319">
        <v>1117</v>
      </c>
      <c r="G575" s="1675">
        <v>1117</v>
      </c>
      <c r="H575" s="1523">
        <v>1117</v>
      </c>
      <c r="I575" s="1675">
        <v>1117</v>
      </c>
      <c r="J575" s="1321">
        <v>1500</v>
      </c>
      <c r="K575" s="1840">
        <v>1500</v>
      </c>
      <c r="L575" s="1676">
        <v>1500</v>
      </c>
      <c r="M575" s="490"/>
      <c r="O575" s="490"/>
      <c r="P575" s="486"/>
      <c r="Q575" s="58"/>
    </row>
    <row r="576" spans="1:17" x14ac:dyDescent="0.2">
      <c r="A576" s="1031">
        <v>635</v>
      </c>
      <c r="B576" s="1031"/>
      <c r="C576" s="1027" t="s">
        <v>592</v>
      </c>
      <c r="D576" s="1090">
        <v>1100</v>
      </c>
      <c r="E576" s="1090">
        <v>220</v>
      </c>
      <c r="F576" s="1319">
        <v>500</v>
      </c>
      <c r="G576" s="1675">
        <v>500</v>
      </c>
      <c r="H576" s="1523">
        <v>500</v>
      </c>
      <c r="I576" s="1675">
        <v>500</v>
      </c>
      <c r="J576" s="1321">
        <v>500</v>
      </c>
      <c r="K576" s="1840">
        <v>500</v>
      </c>
      <c r="L576" s="1676">
        <v>500</v>
      </c>
      <c r="M576" s="490"/>
      <c r="O576" s="490"/>
      <c r="P576" s="486"/>
      <c r="Q576" s="58"/>
    </row>
    <row r="577" spans="1:18" x14ac:dyDescent="0.2">
      <c r="A577" s="1031">
        <v>636</v>
      </c>
      <c r="B577" s="1031"/>
      <c r="C577" s="1027" t="s">
        <v>769</v>
      </c>
      <c r="D577" s="1090"/>
      <c r="E577" s="1090">
        <v>1000</v>
      </c>
      <c r="F577" s="1319">
        <v>1000</v>
      </c>
      <c r="G577" s="1675">
        <v>2000</v>
      </c>
      <c r="H577" s="1523">
        <v>1000</v>
      </c>
      <c r="I577" s="1675">
        <v>1000</v>
      </c>
      <c r="J577" s="1321">
        <v>1000</v>
      </c>
      <c r="K577" s="1840">
        <v>1000</v>
      </c>
      <c r="L577" s="1676">
        <v>1000</v>
      </c>
      <c r="M577" s="490"/>
      <c r="O577" s="490"/>
      <c r="P577" s="486"/>
      <c r="Q577" s="58"/>
    </row>
    <row r="578" spans="1:18" x14ac:dyDescent="0.2">
      <c r="A578" s="1091">
        <v>637</v>
      </c>
      <c r="B578" s="835"/>
      <c r="C578" s="835" t="s">
        <v>207</v>
      </c>
      <c r="D578" s="1090">
        <v>780</v>
      </c>
      <c r="E578" s="1090">
        <v>199</v>
      </c>
      <c r="F578" s="1319">
        <v>800</v>
      </c>
      <c r="G578" s="1675">
        <v>200</v>
      </c>
      <c r="H578" s="1523">
        <v>800</v>
      </c>
      <c r="I578" s="1675">
        <v>800</v>
      </c>
      <c r="J578" s="1321">
        <v>800</v>
      </c>
      <c r="K578" s="1840">
        <v>200</v>
      </c>
      <c r="L578" s="1676">
        <v>200</v>
      </c>
      <c r="M578" s="490"/>
      <c r="O578" s="509"/>
      <c r="P578" s="486"/>
      <c r="Q578" s="58"/>
      <c r="R578" s="493"/>
    </row>
    <row r="579" spans="1:18" x14ac:dyDescent="0.2">
      <c r="A579" s="1091">
        <v>642</v>
      </c>
      <c r="B579" s="835"/>
      <c r="C579" s="835" t="s">
        <v>302</v>
      </c>
      <c r="D579" s="1090">
        <v>0</v>
      </c>
      <c r="E579" s="1090">
        <v>31</v>
      </c>
      <c r="F579" s="1319">
        <v>0</v>
      </c>
      <c r="G579" s="1675">
        <v>0</v>
      </c>
      <c r="H579" s="1523">
        <v>0</v>
      </c>
      <c r="I579" s="1675">
        <v>0</v>
      </c>
      <c r="J579" s="1321">
        <v>0</v>
      </c>
      <c r="K579" s="1840">
        <v>0</v>
      </c>
      <c r="L579" s="1676">
        <v>0</v>
      </c>
      <c r="M579" s="490"/>
      <c r="O579" s="509"/>
      <c r="P579" s="486"/>
      <c r="Q579" s="58"/>
      <c r="R579" s="493"/>
    </row>
    <row r="580" spans="1:18" x14ac:dyDescent="0.2">
      <c r="A580" s="1834" t="s">
        <v>788</v>
      </c>
      <c r="B580" s="1834"/>
      <c r="C580" s="1834" t="s">
        <v>755</v>
      </c>
      <c r="D580" s="1838">
        <f t="shared" ref="D580:L580" si="92">D581</f>
        <v>300</v>
      </c>
      <c r="E580" s="1838">
        <f t="shared" si="92"/>
        <v>0</v>
      </c>
      <c r="F580" s="1838">
        <f t="shared" si="92"/>
        <v>0</v>
      </c>
      <c r="G580" s="1838">
        <f t="shared" si="92"/>
        <v>300</v>
      </c>
      <c r="H580" s="1839">
        <f t="shared" si="92"/>
        <v>0</v>
      </c>
      <c r="I580" s="1839">
        <f t="shared" si="92"/>
        <v>300</v>
      </c>
      <c r="J580" s="1641">
        <f t="shared" si="92"/>
        <v>300</v>
      </c>
      <c r="K580" s="1838">
        <f t="shared" si="92"/>
        <v>300</v>
      </c>
      <c r="L580" s="1838">
        <f t="shared" si="92"/>
        <v>300</v>
      </c>
      <c r="M580" s="490"/>
      <c r="O580" s="509"/>
      <c r="P580" s="486"/>
      <c r="Q580" s="58"/>
      <c r="R580" s="493"/>
    </row>
    <row r="581" spans="1:18" x14ac:dyDescent="0.2">
      <c r="A581" s="2078">
        <v>640</v>
      </c>
      <c r="B581" s="2078"/>
      <c r="C581" s="1677" t="s">
        <v>495</v>
      </c>
      <c r="D581" s="1089">
        <v>300</v>
      </c>
      <c r="E581" s="1090">
        <v>0</v>
      </c>
      <c r="F581" s="1087">
        <v>0</v>
      </c>
      <c r="G581" s="1090">
        <v>300</v>
      </c>
      <c r="H581" s="1087">
        <v>0</v>
      </c>
      <c r="I581" s="1087">
        <v>300</v>
      </c>
      <c r="J581" s="1290">
        <v>300</v>
      </c>
      <c r="K581" s="1545">
        <v>300</v>
      </c>
      <c r="L581" s="1033">
        <v>300</v>
      </c>
      <c r="M581" s="490"/>
      <c r="O581" s="509"/>
      <c r="P581" s="486"/>
      <c r="Q581" s="58"/>
      <c r="R581" s="493"/>
    </row>
    <row r="582" spans="1:18" x14ac:dyDescent="0.2">
      <c r="A582" s="1546" t="s">
        <v>593</v>
      </c>
      <c r="B582" s="1547"/>
      <c r="C582" s="1548" t="s">
        <v>443</v>
      </c>
      <c r="D582" s="1550">
        <f>D386+D441+D566+D580</f>
        <v>1020564</v>
      </c>
      <c r="E582" s="1549">
        <f>SUM(E386,E441,E566)+E580</f>
        <v>1324063.24</v>
      </c>
      <c r="F582" s="1549">
        <f>F386+F441+F566+F580</f>
        <v>1341788</v>
      </c>
      <c r="G582" s="1549">
        <f>SUM(G386,G441,G566)+G580</f>
        <v>1387736</v>
      </c>
      <c r="H582" s="1549">
        <f>SUM(H386,H441,H566)+H580</f>
        <v>1580496</v>
      </c>
      <c r="I582" s="1549">
        <f>SUM(I386,I441,I566)+I580</f>
        <v>1578538</v>
      </c>
      <c r="J582" s="1300">
        <f>SUM(J386,J441,J566)+J580</f>
        <v>1629768</v>
      </c>
      <c r="K582" s="1549">
        <f>SUM(K386,K441,K566)+K580</f>
        <v>1646464</v>
      </c>
      <c r="L582" s="1549">
        <f>L386+L442+L508+L566+L580</f>
        <v>1661790</v>
      </c>
      <c r="M582" s="65"/>
      <c r="N582" s="50"/>
      <c r="O582" s="469"/>
      <c r="P582" s="469"/>
      <c r="Q582" s="469"/>
    </row>
    <row r="583" spans="1:18" hidden="1" x14ac:dyDescent="0.2">
      <c r="A583" s="50"/>
      <c r="B583" s="50"/>
      <c r="C583" s="50"/>
      <c r="D583" s="50"/>
      <c r="E583" s="50"/>
      <c r="F583" s="50"/>
      <c r="G583" s="38"/>
      <c r="H583" s="494"/>
      <c r="I583" s="494"/>
      <c r="J583" s="1285"/>
      <c r="K583" s="38"/>
      <c r="L583" s="38"/>
    </row>
    <row r="584" spans="1:18" x14ac:dyDescent="0.2">
      <c r="A584" s="50"/>
      <c r="B584" s="50"/>
      <c r="C584" s="50"/>
      <c r="D584" s="50"/>
      <c r="E584" s="50"/>
      <c r="F584" s="50"/>
      <c r="G584" s="38"/>
      <c r="H584" s="494"/>
      <c r="I584" s="494"/>
      <c r="J584" s="1313"/>
      <c r="K584" s="38"/>
      <c r="L584" s="38"/>
    </row>
    <row r="585" spans="1:18" hidden="1" x14ac:dyDescent="0.2">
      <c r="A585" s="50"/>
      <c r="B585" s="50"/>
      <c r="C585" s="50"/>
      <c r="D585" s="50"/>
      <c r="E585" s="50"/>
      <c r="F585" s="50"/>
      <c r="G585" s="38"/>
      <c r="H585" s="494"/>
      <c r="I585" s="494"/>
      <c r="J585" s="1285"/>
      <c r="K585" s="38"/>
      <c r="L585" s="38"/>
    </row>
    <row r="586" spans="1:18" hidden="1" x14ac:dyDescent="0.2">
      <c r="A586" s="50"/>
      <c r="B586" s="50"/>
      <c r="C586" s="50"/>
      <c r="D586" s="50"/>
      <c r="E586" s="50"/>
      <c r="F586" s="50"/>
      <c r="G586" s="38"/>
      <c r="H586" s="494"/>
      <c r="I586" s="494"/>
      <c r="J586" s="1285"/>
      <c r="K586" s="38"/>
      <c r="L586" s="38"/>
    </row>
    <row r="587" spans="1:18" hidden="1" x14ac:dyDescent="0.2">
      <c r="A587" s="50"/>
      <c r="B587" s="50"/>
      <c r="C587" s="50"/>
      <c r="D587" s="50"/>
      <c r="E587" s="50"/>
      <c r="F587" s="50"/>
      <c r="G587" s="38"/>
      <c r="H587" s="494"/>
      <c r="I587" s="494"/>
      <c r="J587" s="1285"/>
      <c r="K587" s="38"/>
      <c r="L587" s="38"/>
    </row>
    <row r="588" spans="1:18" x14ac:dyDescent="0.2">
      <c r="A588" s="50"/>
      <c r="B588" s="50"/>
      <c r="C588" s="50"/>
      <c r="D588" s="50"/>
      <c r="E588" s="50"/>
      <c r="F588" s="50"/>
      <c r="G588" s="38"/>
      <c r="H588" s="2074" t="s">
        <v>594</v>
      </c>
      <c r="I588" s="2074"/>
      <c r="J588" s="2074"/>
      <c r="K588" s="2074"/>
      <c r="L588" s="2074"/>
      <c r="M588" s="86"/>
      <c r="N588" s="86"/>
      <c r="O588" s="86"/>
      <c r="P588" s="86"/>
      <c r="Q588" s="86"/>
    </row>
    <row r="589" spans="1:18" ht="13.5" hidden="1" thickBot="1" x14ac:dyDescent="0.25">
      <c r="A589" s="50"/>
      <c r="B589" s="50"/>
      <c r="C589" s="50"/>
      <c r="D589" s="50"/>
      <c r="E589" s="50"/>
      <c r="F589" s="50"/>
      <c r="G589" s="38"/>
      <c r="H589" s="494"/>
      <c r="I589" s="494"/>
      <c r="J589" s="1285"/>
      <c r="K589" s="38"/>
      <c r="L589" s="38"/>
    </row>
    <row r="590" spans="1:18" s="498" customFormat="1" x14ac:dyDescent="0.2">
      <c r="A590" s="1537" t="s">
        <v>431</v>
      </c>
      <c r="B590" s="1538"/>
      <c r="C590" s="1539"/>
      <c r="D590" s="1539">
        <v>2018</v>
      </c>
      <c r="E590" s="1540" t="s">
        <v>909</v>
      </c>
      <c r="F590" s="1540">
        <v>2021</v>
      </c>
      <c r="G590" s="1541">
        <v>2022</v>
      </c>
      <c r="H590" s="1818">
        <v>2023</v>
      </c>
      <c r="I590" s="1542" t="s">
        <v>981</v>
      </c>
      <c r="J590" s="1543">
        <v>2024</v>
      </c>
      <c r="K590" s="1541">
        <v>2025</v>
      </c>
      <c r="L590" s="1541">
        <v>2026</v>
      </c>
      <c r="M590" s="495"/>
      <c r="N590" s="496"/>
      <c r="O590" s="497"/>
      <c r="P590" s="465"/>
      <c r="Q590" s="466"/>
    </row>
    <row r="591" spans="1:18" s="92" customFormat="1" ht="11.25" x14ac:dyDescent="0.2">
      <c r="A591" s="1834" t="s">
        <v>595</v>
      </c>
      <c r="B591" s="1834"/>
      <c r="C591" s="1834"/>
      <c r="D591" s="1835">
        <f>SUM(D592:D597)</f>
        <v>17050</v>
      </c>
      <c r="E591" s="1836">
        <f>E592+E593+E595+E596+E597</f>
        <v>16377</v>
      </c>
      <c r="F591" s="2095">
        <f>F592+F593+F595+F596+F597+F594</f>
        <v>13160</v>
      </c>
      <c r="G591" s="1836">
        <f>G592+G593+G595+G596+G597</f>
        <v>16360</v>
      </c>
      <c r="H591" s="1836">
        <f>H592+H593+H595+H596+H597+H594</f>
        <v>13160</v>
      </c>
      <c r="I591" s="1836">
        <f>I592+I593+I595+I596+I597+I594</f>
        <v>14051</v>
      </c>
      <c r="J591" s="1625">
        <f>J592+J593+J595+J596+J597+J594</f>
        <v>13500</v>
      </c>
      <c r="K591" s="1836">
        <f>K592+K593+K595+K596+K597+K594</f>
        <v>13500</v>
      </c>
      <c r="L591" s="1836">
        <f>L592+L593+L595+L596+L597+L594</f>
        <v>13500</v>
      </c>
      <c r="M591" s="508"/>
      <c r="N591" s="78"/>
      <c r="O591" s="469"/>
      <c r="P591" s="469"/>
      <c r="Q591" s="469"/>
    </row>
    <row r="592" spans="1:18" x14ac:dyDescent="0.2">
      <c r="A592" s="835" t="s">
        <v>596</v>
      </c>
      <c r="B592" s="835"/>
      <c r="C592" s="835" t="s">
        <v>409</v>
      </c>
      <c r="D592" s="1058">
        <v>2300</v>
      </c>
      <c r="E592" s="1058">
        <v>1186</v>
      </c>
      <c r="F592" s="1319">
        <v>500</v>
      </c>
      <c r="G592" s="1319">
        <v>500</v>
      </c>
      <c r="H592" s="1319">
        <v>500</v>
      </c>
      <c r="I592" s="1319">
        <v>500</v>
      </c>
      <c r="J592" s="1290">
        <v>500</v>
      </c>
      <c r="K592" s="1545">
        <v>500</v>
      </c>
      <c r="L592" s="1678">
        <v>500</v>
      </c>
      <c r="M592" s="64"/>
      <c r="N592" s="21"/>
      <c r="O592" s="58"/>
      <c r="P592" s="50"/>
      <c r="Q592" s="50"/>
    </row>
    <row r="593" spans="1:18" x14ac:dyDescent="0.2">
      <c r="A593" s="835" t="s">
        <v>596</v>
      </c>
      <c r="B593" s="835"/>
      <c r="C593" s="835" t="s">
        <v>410</v>
      </c>
      <c r="D593" s="1058">
        <v>12000</v>
      </c>
      <c r="E593" s="1058">
        <v>11480</v>
      </c>
      <c r="F593" s="1319">
        <v>11060</v>
      </c>
      <c r="G593" s="1319">
        <v>11060</v>
      </c>
      <c r="H593" s="1319">
        <v>11060</v>
      </c>
      <c r="I593" s="1319">
        <v>11600</v>
      </c>
      <c r="J593" s="1290">
        <v>12000</v>
      </c>
      <c r="K593" s="1545">
        <v>12000</v>
      </c>
      <c r="L593" s="1678">
        <v>12000</v>
      </c>
      <c r="M593" s="1153"/>
      <c r="N593" s="540"/>
      <c r="O593" s="58"/>
      <c r="P593" s="50"/>
      <c r="Q593" s="50"/>
    </row>
    <row r="594" spans="1:18" x14ac:dyDescent="0.2">
      <c r="A594" s="835" t="s">
        <v>596</v>
      </c>
      <c r="B594" s="835"/>
      <c r="C594" s="835" t="s">
        <v>411</v>
      </c>
      <c r="D594" s="1058">
        <v>0</v>
      </c>
      <c r="E594" s="1058">
        <v>0</v>
      </c>
      <c r="F594" s="1319">
        <v>0</v>
      </c>
      <c r="G594" s="1319">
        <v>0</v>
      </c>
      <c r="H594" s="1319">
        <v>0</v>
      </c>
      <c r="I594" s="1319">
        <v>0</v>
      </c>
      <c r="J594" s="1290">
        <v>0</v>
      </c>
      <c r="K594" s="1545">
        <v>0</v>
      </c>
      <c r="L594" s="1678">
        <v>0</v>
      </c>
      <c r="M594" s="64"/>
      <c r="N594" s="540"/>
      <c r="O594" s="58"/>
      <c r="P594" s="50"/>
      <c r="Q594" s="50"/>
    </row>
    <row r="595" spans="1:18" x14ac:dyDescent="0.2">
      <c r="A595" s="835" t="s">
        <v>413</v>
      </c>
      <c r="B595" s="835"/>
      <c r="C595" s="835" t="s">
        <v>597</v>
      </c>
      <c r="D595" s="1058">
        <v>600</v>
      </c>
      <c r="E595" s="1058">
        <v>2111</v>
      </c>
      <c r="F595" s="1319">
        <v>600</v>
      </c>
      <c r="G595" s="1319">
        <v>1300</v>
      </c>
      <c r="H595" s="1319">
        <v>600</v>
      </c>
      <c r="I595" s="1319">
        <v>951</v>
      </c>
      <c r="J595" s="1290">
        <v>1000</v>
      </c>
      <c r="K595" s="1545">
        <v>1000</v>
      </c>
      <c r="L595" s="1678">
        <v>1000</v>
      </c>
      <c r="M595" s="64"/>
      <c r="N595" s="74"/>
      <c r="O595" s="64"/>
      <c r="P595" s="64"/>
      <c r="Q595" s="64"/>
    </row>
    <row r="596" spans="1:18" x14ac:dyDescent="0.2">
      <c r="A596" s="835" t="s">
        <v>413</v>
      </c>
      <c r="B596" s="835"/>
      <c r="C596" s="835" t="s">
        <v>598</v>
      </c>
      <c r="D596" s="1089">
        <v>1150</v>
      </c>
      <c r="E596" s="1089">
        <v>1200</v>
      </c>
      <c r="F596" s="1319">
        <v>0</v>
      </c>
      <c r="G596" s="1516">
        <v>2500</v>
      </c>
      <c r="H596" s="1319">
        <v>0</v>
      </c>
      <c r="I596" s="1516">
        <v>0</v>
      </c>
      <c r="J596" s="1290">
        <v>0</v>
      </c>
      <c r="K596" s="1516">
        <v>0</v>
      </c>
      <c r="L596" s="1089">
        <v>0</v>
      </c>
      <c r="M596" s="64"/>
      <c r="N596" s="74"/>
      <c r="O596" s="64"/>
      <c r="P596" s="64"/>
      <c r="Q596" s="50"/>
    </row>
    <row r="597" spans="1:18" s="33" customFormat="1" x14ac:dyDescent="0.2">
      <c r="A597" s="1679" t="s">
        <v>599</v>
      </c>
      <c r="B597" s="835"/>
      <c r="C597" s="835" t="s">
        <v>600</v>
      </c>
      <c r="D597" s="1058">
        <v>1000</v>
      </c>
      <c r="E597" s="1058">
        <v>400</v>
      </c>
      <c r="F597" s="1319">
        <v>1000</v>
      </c>
      <c r="G597" s="1319">
        <v>1000</v>
      </c>
      <c r="H597" s="1319">
        <v>1000</v>
      </c>
      <c r="I597" s="1319">
        <v>1000</v>
      </c>
      <c r="J597" s="1290">
        <v>0</v>
      </c>
      <c r="K597" s="1545">
        <v>0</v>
      </c>
      <c r="L597" s="1678">
        <v>0</v>
      </c>
      <c r="M597" s="64"/>
      <c r="N597" s="74"/>
      <c r="O597" s="64"/>
      <c r="P597" s="64"/>
      <c r="Q597" s="64"/>
      <c r="R597" s="16"/>
    </row>
    <row r="598" spans="1:18" x14ac:dyDescent="0.2">
      <c r="A598" s="2096" t="s">
        <v>420</v>
      </c>
      <c r="B598" s="2097"/>
      <c r="C598" s="2098" t="s">
        <v>659</v>
      </c>
      <c r="D598" s="1532">
        <f>SUM(D599:D602)</f>
        <v>23600</v>
      </c>
      <c r="E598" s="1532">
        <f t="shared" ref="E598:G598" si="93">SUM(E599,E602,E600)</f>
        <v>31498</v>
      </c>
      <c r="F598" s="1532">
        <f>SUM(F599,F602,F600)+F601</f>
        <v>33044</v>
      </c>
      <c r="G598" s="1532">
        <f t="shared" si="93"/>
        <v>25500</v>
      </c>
      <c r="H598" s="2099">
        <f>SUM(H599,H602,H600)+H601</f>
        <v>31000</v>
      </c>
      <c r="I598" s="2099">
        <f>SUM(I599,I602,I600)+I601</f>
        <v>38000</v>
      </c>
      <c r="J598" s="1577">
        <f>SUM(J599:J602)</f>
        <v>38000</v>
      </c>
      <c r="K598" s="1532">
        <f>SUM(K599:K602)</f>
        <v>38000</v>
      </c>
      <c r="L598" s="1532">
        <f>SUM(L599:L602)</f>
        <v>37500</v>
      </c>
      <c r="M598" s="541"/>
      <c r="N598" s="74"/>
      <c r="O598" s="64"/>
      <c r="P598" s="64"/>
      <c r="Q598" s="64"/>
    </row>
    <row r="599" spans="1:18" x14ac:dyDescent="0.2">
      <c r="A599" s="2076" t="s">
        <v>582</v>
      </c>
      <c r="B599" s="2076"/>
      <c r="C599" s="1265" t="s">
        <v>447</v>
      </c>
      <c r="D599" s="1087">
        <v>3100</v>
      </c>
      <c r="E599" s="1087">
        <v>5841</v>
      </c>
      <c r="F599" s="1087">
        <v>5000</v>
      </c>
      <c r="G599" s="1516">
        <v>5000</v>
      </c>
      <c r="H599" s="1319">
        <v>5000</v>
      </c>
      <c r="I599" s="1516">
        <v>12937</v>
      </c>
      <c r="J599" s="1290">
        <v>0</v>
      </c>
      <c r="K599" s="1516">
        <v>0</v>
      </c>
      <c r="L599" s="1087">
        <v>0</v>
      </c>
      <c r="M599" s="542"/>
      <c r="N599" s="74"/>
      <c r="O599" s="64"/>
      <c r="P599" s="543"/>
      <c r="Q599" s="490"/>
    </row>
    <row r="600" spans="1:18" x14ac:dyDescent="0.2">
      <c r="A600" s="2077"/>
      <c r="B600" s="2077"/>
      <c r="C600" s="1265" t="s">
        <v>447</v>
      </c>
      <c r="D600" s="1087">
        <v>18600</v>
      </c>
      <c r="E600" s="1087">
        <v>25152</v>
      </c>
      <c r="F600" s="1821">
        <v>26000</v>
      </c>
      <c r="G600" s="1819">
        <v>20000</v>
      </c>
      <c r="H600" s="1822">
        <v>25500</v>
      </c>
      <c r="I600" s="1819">
        <v>24563</v>
      </c>
      <c r="J600" s="1823">
        <v>37500</v>
      </c>
      <c r="K600" s="1819">
        <v>37500</v>
      </c>
      <c r="L600" s="1821">
        <v>37500</v>
      </c>
      <c r="M600" s="542"/>
      <c r="N600" s="74"/>
      <c r="O600" s="64"/>
      <c r="P600" s="543"/>
      <c r="Q600" s="490"/>
    </row>
    <row r="601" spans="1:18" x14ac:dyDescent="0.2">
      <c r="A601" s="1680"/>
      <c r="B601" s="1680"/>
      <c r="C601" s="1265" t="s">
        <v>861</v>
      </c>
      <c r="D601" s="1087"/>
      <c r="E601" s="1087"/>
      <c r="F601" s="1087">
        <v>1544</v>
      </c>
      <c r="G601" s="1516"/>
      <c r="H601" s="1319"/>
      <c r="I601" s="1516"/>
      <c r="J601" s="1290"/>
      <c r="K601" s="1516"/>
      <c r="L601" s="1087"/>
      <c r="M601" s="542"/>
      <c r="N601" s="74"/>
      <c r="O601" s="64"/>
      <c r="P601" s="543"/>
      <c r="Q601" s="490"/>
    </row>
    <row r="602" spans="1:18" x14ac:dyDescent="0.2">
      <c r="A602" s="2076" t="s">
        <v>583</v>
      </c>
      <c r="B602" s="2076"/>
      <c r="C602" s="1265" t="s">
        <v>361</v>
      </c>
      <c r="D602" s="1087">
        <v>1900</v>
      </c>
      <c r="E602" s="1087">
        <v>505</v>
      </c>
      <c r="F602" s="1087">
        <v>500</v>
      </c>
      <c r="G602" s="1516">
        <v>500</v>
      </c>
      <c r="H602" s="1319">
        <v>500</v>
      </c>
      <c r="I602" s="1516">
        <v>500</v>
      </c>
      <c r="J602" s="1290">
        <v>500</v>
      </c>
      <c r="K602" s="1545">
        <v>500</v>
      </c>
      <c r="L602" s="1033">
        <v>0</v>
      </c>
      <c r="M602" s="542"/>
      <c r="N602" s="74"/>
      <c r="O602" s="64"/>
      <c r="P602" s="543"/>
      <c r="Q602" s="490"/>
    </row>
    <row r="603" spans="1:18" x14ac:dyDescent="0.2">
      <c r="A603" s="1746" t="s">
        <v>420</v>
      </c>
      <c r="B603" s="2100"/>
      <c r="C603" s="2101" t="s">
        <v>417</v>
      </c>
      <c r="D603" s="1838">
        <f t="shared" ref="D603:H603" si="94">SUM(D604:D619)</f>
        <v>53956</v>
      </c>
      <c r="E603" s="1838">
        <f t="shared" si="94"/>
        <v>42087</v>
      </c>
      <c r="F603" s="1838">
        <f t="shared" si="94"/>
        <v>54894</v>
      </c>
      <c r="G603" s="1838">
        <f t="shared" si="94"/>
        <v>57550</v>
      </c>
      <c r="H603" s="1839">
        <f t="shared" si="94"/>
        <v>60000</v>
      </c>
      <c r="I603" s="1839">
        <f>SUM(I604:I619)</f>
        <v>70964</v>
      </c>
      <c r="J603" s="1577">
        <f>SUM(J604:J619)</f>
        <v>70000</v>
      </c>
      <c r="K603" s="1838">
        <f>SUM(K604:K619)</f>
        <v>74650</v>
      </c>
      <c r="L603" s="1838">
        <f>SUM(L604:L619)</f>
        <v>74650</v>
      </c>
      <c r="M603" s="542"/>
      <c r="N603" s="74"/>
      <c r="O603" s="64"/>
      <c r="P603" s="543"/>
      <c r="Q603" s="64"/>
    </row>
    <row r="604" spans="1:18" x14ac:dyDescent="0.2">
      <c r="A604" s="2066">
        <v>610</v>
      </c>
      <c r="B604" s="2066"/>
      <c r="C604" s="1265" t="s">
        <v>447</v>
      </c>
      <c r="D604" s="1058">
        <v>4500</v>
      </c>
      <c r="E604" s="1058">
        <v>16505</v>
      </c>
      <c r="F604" s="1319">
        <v>3600</v>
      </c>
      <c r="G604" s="1058">
        <v>3600</v>
      </c>
      <c r="H604" s="1319">
        <v>3600</v>
      </c>
      <c r="I604" s="1058">
        <v>0</v>
      </c>
      <c r="J604" s="1290">
        <v>0</v>
      </c>
      <c r="K604" s="1545">
        <v>0</v>
      </c>
      <c r="L604" s="1678">
        <v>0</v>
      </c>
      <c r="M604" s="541"/>
      <c r="N604" s="74"/>
      <c r="O604" s="64"/>
      <c r="P604" s="64"/>
      <c r="Q604" s="64"/>
    </row>
    <row r="605" spans="1:18" x14ac:dyDescent="0.2">
      <c r="A605" s="2070"/>
      <c r="B605" s="2070"/>
      <c r="C605" s="1265" t="s">
        <v>447</v>
      </c>
      <c r="D605" s="1028">
        <v>34650</v>
      </c>
      <c r="E605" s="1028">
        <v>21608</v>
      </c>
      <c r="F605" s="1822">
        <v>40000</v>
      </c>
      <c r="G605" s="1820">
        <v>45000</v>
      </c>
      <c r="H605" s="1822">
        <v>47450</v>
      </c>
      <c r="I605" s="1820">
        <v>57000</v>
      </c>
      <c r="J605" s="1823">
        <v>60000</v>
      </c>
      <c r="K605" s="1824">
        <v>65000</v>
      </c>
      <c r="L605" s="1825">
        <v>65000</v>
      </c>
      <c r="M605" s="541"/>
      <c r="N605" s="74"/>
      <c r="O605" s="64"/>
      <c r="P605" s="64"/>
      <c r="Q605" s="64"/>
    </row>
    <row r="606" spans="1:18" x14ac:dyDescent="0.2">
      <c r="A606" s="2070"/>
      <c r="B606" s="2070"/>
      <c r="C606" s="1265" t="s">
        <v>862</v>
      </c>
      <c r="D606" s="1028">
        <v>4925</v>
      </c>
      <c r="E606" s="1028">
        <v>0</v>
      </c>
      <c r="F606" s="1319">
        <v>1544</v>
      </c>
      <c r="G606" s="1028">
        <v>0</v>
      </c>
      <c r="H606" s="1319"/>
      <c r="I606" s="1028">
        <v>0</v>
      </c>
      <c r="J606" s="1290"/>
      <c r="K606" s="1545">
        <v>0</v>
      </c>
      <c r="L606" s="1027">
        <v>0</v>
      </c>
      <c r="M606" s="541"/>
      <c r="N606" s="74"/>
      <c r="O606" s="64"/>
      <c r="P606" s="64"/>
      <c r="Q606" s="64"/>
    </row>
    <row r="607" spans="1:18" x14ac:dyDescent="0.2">
      <c r="A607" s="2066">
        <v>631</v>
      </c>
      <c r="B607" s="2066"/>
      <c r="C607" s="1265" t="s">
        <v>660</v>
      </c>
      <c r="D607" s="1058">
        <v>300</v>
      </c>
      <c r="E607" s="1058">
        <v>20</v>
      </c>
      <c r="F607" s="1319">
        <v>400</v>
      </c>
      <c r="G607" s="1058">
        <v>400</v>
      </c>
      <c r="H607" s="1319">
        <v>400</v>
      </c>
      <c r="I607" s="1058">
        <v>400</v>
      </c>
      <c r="J607" s="1290">
        <v>400</v>
      </c>
      <c r="K607" s="1545">
        <v>400</v>
      </c>
      <c r="L607" s="1678">
        <v>400</v>
      </c>
      <c r="M607" s="541"/>
      <c r="N607" s="74"/>
      <c r="O607" s="64"/>
      <c r="P607" s="64"/>
      <c r="Q607" s="64"/>
    </row>
    <row r="608" spans="1:18" x14ac:dyDescent="0.2">
      <c r="A608" s="2066">
        <v>632</v>
      </c>
      <c r="B608" s="2066"/>
      <c r="C608" s="1265" t="s">
        <v>661</v>
      </c>
      <c r="D608" s="1058">
        <v>4580</v>
      </c>
      <c r="E608" s="1058">
        <v>2781</v>
      </c>
      <c r="F608" s="1319">
        <v>4300</v>
      </c>
      <c r="G608" s="1058">
        <v>6000</v>
      </c>
      <c r="H608" s="1319">
        <v>6000</v>
      </c>
      <c r="I608" s="1058">
        <v>6500</v>
      </c>
      <c r="J608" s="1290">
        <v>6500</v>
      </c>
      <c r="K608" s="1545">
        <v>6500</v>
      </c>
      <c r="L608" s="1678">
        <v>6500</v>
      </c>
      <c r="M608" s="541"/>
      <c r="N608" s="74"/>
      <c r="O608" s="64"/>
      <c r="P608" s="64"/>
      <c r="Q608" s="64"/>
    </row>
    <row r="609" spans="1:17" x14ac:dyDescent="0.2">
      <c r="A609" s="2066">
        <v>633</v>
      </c>
      <c r="B609" s="2066"/>
      <c r="C609" s="1265" t="s">
        <v>454</v>
      </c>
      <c r="D609" s="1058">
        <v>300</v>
      </c>
      <c r="E609" s="1058">
        <v>0</v>
      </c>
      <c r="F609" s="1319">
        <v>300</v>
      </c>
      <c r="G609" s="1058">
        <v>300</v>
      </c>
      <c r="H609" s="1319">
        <v>300</v>
      </c>
      <c r="I609" s="1058">
        <v>300</v>
      </c>
      <c r="J609" s="1290">
        <v>300</v>
      </c>
      <c r="K609" s="1545">
        <v>500</v>
      </c>
      <c r="L609" s="1678">
        <v>500</v>
      </c>
      <c r="M609" s="541"/>
      <c r="N609" s="74"/>
      <c r="O609" s="64"/>
      <c r="P609" s="64"/>
      <c r="Q609" s="64"/>
    </row>
    <row r="610" spans="1:17" x14ac:dyDescent="0.2">
      <c r="A610" s="2066">
        <v>633</v>
      </c>
      <c r="B610" s="2066"/>
      <c r="C610" s="1265" t="s">
        <v>454</v>
      </c>
      <c r="D610" s="1028">
        <v>0</v>
      </c>
      <c r="E610" s="1028">
        <v>0</v>
      </c>
      <c r="F610" s="1319">
        <v>0</v>
      </c>
      <c r="G610" s="1028">
        <v>0</v>
      </c>
      <c r="H610" s="1319">
        <v>0</v>
      </c>
      <c r="I610" s="1028">
        <v>0</v>
      </c>
      <c r="J610" s="1290">
        <v>0</v>
      </c>
      <c r="K610" s="1545">
        <v>0</v>
      </c>
      <c r="L610" s="1027">
        <v>0</v>
      </c>
      <c r="M610" s="541"/>
      <c r="N610" s="74"/>
      <c r="O610" s="64"/>
      <c r="P610" s="64"/>
      <c r="Q610" s="64"/>
    </row>
    <row r="611" spans="1:17" x14ac:dyDescent="0.2">
      <c r="A611" s="2066">
        <v>633</v>
      </c>
      <c r="B611" s="2066"/>
      <c r="C611" s="1265" t="s">
        <v>455</v>
      </c>
      <c r="D611" s="1058">
        <v>0</v>
      </c>
      <c r="E611" s="1058">
        <v>0</v>
      </c>
      <c r="F611" s="1319">
        <v>0</v>
      </c>
      <c r="G611" s="1058">
        <v>0</v>
      </c>
      <c r="H611" s="1319">
        <v>0</v>
      </c>
      <c r="I611" s="1058">
        <v>0</v>
      </c>
      <c r="J611" s="1290">
        <v>0</v>
      </c>
      <c r="K611" s="1545">
        <v>0</v>
      </c>
      <c r="L611" s="1678">
        <v>0</v>
      </c>
      <c r="M611" s="541"/>
      <c r="N611" s="74"/>
      <c r="O611" s="64"/>
      <c r="P611" s="64"/>
      <c r="Q611" s="64"/>
    </row>
    <row r="612" spans="1:17" x14ac:dyDescent="0.2">
      <c r="A612" s="2066">
        <v>633</v>
      </c>
      <c r="B612" s="2066"/>
      <c r="C612" s="1265" t="s">
        <v>455</v>
      </c>
      <c r="D612" s="1028">
        <v>0</v>
      </c>
      <c r="E612" s="1028">
        <v>0</v>
      </c>
      <c r="F612" s="1319">
        <v>0</v>
      </c>
      <c r="G612" s="1028">
        <v>0</v>
      </c>
      <c r="H612" s="1319">
        <v>0</v>
      </c>
      <c r="I612" s="1028">
        <v>0</v>
      </c>
      <c r="J612" s="1290">
        <v>0</v>
      </c>
      <c r="K612" s="1545">
        <v>0</v>
      </c>
      <c r="L612" s="1027">
        <v>0</v>
      </c>
      <c r="M612" s="541"/>
      <c r="N612" s="74"/>
      <c r="O612" s="64"/>
      <c r="P612" s="64"/>
      <c r="Q612" s="64"/>
    </row>
    <row r="613" spans="1:17" x14ac:dyDescent="0.2">
      <c r="A613" s="2066">
        <v>633</v>
      </c>
      <c r="B613" s="2066"/>
      <c r="C613" s="1265" t="s">
        <v>662</v>
      </c>
      <c r="D613" s="1058">
        <v>516</v>
      </c>
      <c r="E613" s="1058">
        <v>51</v>
      </c>
      <c r="F613" s="1319">
        <v>500</v>
      </c>
      <c r="G613" s="1058">
        <v>500</v>
      </c>
      <c r="H613" s="1319">
        <v>500</v>
      </c>
      <c r="I613" s="1058">
        <v>600</v>
      </c>
      <c r="J613" s="1290">
        <v>500</v>
      </c>
      <c r="K613" s="1545">
        <v>500</v>
      </c>
      <c r="L613" s="1678">
        <v>500</v>
      </c>
      <c r="M613" s="541"/>
      <c r="N613" s="74"/>
      <c r="O613" s="64"/>
      <c r="P613" s="64"/>
      <c r="Q613" s="64"/>
    </row>
    <row r="614" spans="1:17" x14ac:dyDescent="0.2">
      <c r="A614" s="2066">
        <v>633</v>
      </c>
      <c r="B614" s="2066"/>
      <c r="C614" s="1265" t="s">
        <v>662</v>
      </c>
      <c r="D614" s="1028">
        <v>750</v>
      </c>
      <c r="E614" s="1028">
        <v>0</v>
      </c>
      <c r="F614" s="1319">
        <v>0</v>
      </c>
      <c r="G614" s="1028">
        <v>0</v>
      </c>
      <c r="H614" s="1319">
        <v>0</v>
      </c>
      <c r="I614" s="1028">
        <v>0</v>
      </c>
      <c r="J614" s="1290">
        <v>0</v>
      </c>
      <c r="K614" s="1545">
        <v>0</v>
      </c>
      <c r="L614" s="1027">
        <v>0</v>
      </c>
      <c r="M614" s="541"/>
      <c r="N614" s="74"/>
      <c r="O614" s="64"/>
      <c r="P614" s="64"/>
      <c r="Q614" s="64"/>
    </row>
    <row r="615" spans="1:17" x14ac:dyDescent="0.2">
      <c r="A615" s="2066">
        <v>633</v>
      </c>
      <c r="B615" s="2066"/>
      <c r="C615" s="1265" t="s">
        <v>458</v>
      </c>
      <c r="D615" s="1058">
        <v>1340</v>
      </c>
      <c r="E615" s="1058">
        <v>622</v>
      </c>
      <c r="F615" s="1319">
        <v>1000</v>
      </c>
      <c r="G615" s="1058">
        <v>1000</v>
      </c>
      <c r="H615" s="1319">
        <v>1000</v>
      </c>
      <c r="I615" s="1058">
        <v>2214</v>
      </c>
      <c r="J615" s="1290">
        <v>1550</v>
      </c>
      <c r="K615" s="1545">
        <v>1000</v>
      </c>
      <c r="L615" s="1678">
        <v>1000</v>
      </c>
      <c r="M615" s="541"/>
      <c r="N615" s="74"/>
      <c r="O615" s="64"/>
      <c r="P615" s="64"/>
      <c r="Q615" s="64"/>
    </row>
    <row r="616" spans="1:17" x14ac:dyDescent="0.2">
      <c r="A616" s="2066">
        <v>633</v>
      </c>
      <c r="B616" s="2066"/>
      <c r="C616" s="1265" t="s">
        <v>663</v>
      </c>
      <c r="D616" s="1058">
        <v>0</v>
      </c>
      <c r="E616" s="1058">
        <v>0</v>
      </c>
      <c r="F616" s="1319">
        <v>0</v>
      </c>
      <c r="G616" s="1058">
        <v>0</v>
      </c>
      <c r="H616" s="1319">
        <v>0</v>
      </c>
      <c r="I616" s="1058">
        <v>3200</v>
      </c>
      <c r="J616" s="1290">
        <v>0</v>
      </c>
      <c r="K616" s="1545">
        <v>0</v>
      </c>
      <c r="L616" s="1678">
        <v>0</v>
      </c>
      <c r="M616" s="541"/>
      <c r="N616" s="74"/>
      <c r="O616" s="64"/>
      <c r="P616" s="64"/>
      <c r="Q616" s="64"/>
    </row>
    <row r="617" spans="1:17" x14ac:dyDescent="0.2">
      <c r="A617" s="2066">
        <v>635</v>
      </c>
      <c r="B617" s="2066"/>
      <c r="C617" s="1265" t="s">
        <v>548</v>
      </c>
      <c r="D617" s="1058">
        <v>1045</v>
      </c>
      <c r="E617" s="1058">
        <v>500</v>
      </c>
      <c r="F617" s="1319">
        <v>500</v>
      </c>
      <c r="G617" s="1058">
        <v>500</v>
      </c>
      <c r="H617" s="1319">
        <v>500</v>
      </c>
      <c r="I617" s="1058">
        <v>500</v>
      </c>
      <c r="J617" s="1290">
        <v>500</v>
      </c>
      <c r="K617" s="1545">
        <v>500</v>
      </c>
      <c r="L617" s="1678">
        <v>500</v>
      </c>
      <c r="M617" s="541"/>
      <c r="N617" s="74"/>
      <c r="O617" s="64"/>
      <c r="P617" s="64"/>
      <c r="Q617" s="64"/>
    </row>
    <row r="618" spans="1:17" customFormat="1" x14ac:dyDescent="0.2">
      <c r="A618" s="2068">
        <v>633</v>
      </c>
      <c r="B618" s="2068"/>
      <c r="C618" s="1308" t="s">
        <v>880</v>
      </c>
      <c r="D618" s="1308">
        <v>0</v>
      </c>
      <c r="E618" s="1308">
        <v>0</v>
      </c>
      <c r="F618" s="1319">
        <v>2500</v>
      </c>
      <c r="G618" s="1681">
        <v>0</v>
      </c>
      <c r="H618" s="1319">
        <v>0</v>
      </c>
      <c r="I618" s="1681">
        <v>0</v>
      </c>
      <c r="J618" s="1290">
        <v>0</v>
      </c>
      <c r="K618" s="1308">
        <v>0</v>
      </c>
      <c r="L618" s="1308">
        <v>0</v>
      </c>
    </row>
    <row r="619" spans="1:17" x14ac:dyDescent="0.2">
      <c r="A619" s="2066">
        <v>637</v>
      </c>
      <c r="B619" s="2066"/>
      <c r="C619" s="1265" t="s">
        <v>664</v>
      </c>
      <c r="D619" s="1058">
        <v>1050</v>
      </c>
      <c r="E619" s="1058">
        <v>0</v>
      </c>
      <c r="F619" s="1319">
        <v>250</v>
      </c>
      <c r="G619" s="1058">
        <v>250</v>
      </c>
      <c r="H619" s="1319">
        <v>250</v>
      </c>
      <c r="I619" s="1058">
        <v>250</v>
      </c>
      <c r="J619" s="1290">
        <v>250</v>
      </c>
      <c r="K619" s="1545">
        <v>250</v>
      </c>
      <c r="L619" s="1678">
        <v>250</v>
      </c>
      <c r="M619" s="541"/>
      <c r="N619" s="74"/>
      <c r="O619" s="64"/>
      <c r="P619" s="64"/>
      <c r="Q619" s="64"/>
    </row>
    <row r="620" spans="1:17" x14ac:dyDescent="0.2">
      <c r="A620" s="2102" t="s">
        <v>601</v>
      </c>
      <c r="B620" s="2103"/>
      <c r="C620" s="2098" t="s">
        <v>602</v>
      </c>
      <c r="D620" s="1532">
        <f>SUM(D621:D625)</f>
        <v>9000</v>
      </c>
      <c r="E620" s="1532">
        <f t="shared" ref="E620:J620" si="95">SUM(E621,E622,E623,E625,E624)</f>
        <v>5747</v>
      </c>
      <c r="F620" s="1532">
        <f t="shared" si="95"/>
        <v>6000</v>
      </c>
      <c r="G620" s="1532">
        <f t="shared" si="95"/>
        <v>7000</v>
      </c>
      <c r="H620" s="2099">
        <f t="shared" si="95"/>
        <v>3000</v>
      </c>
      <c r="I620" s="2099">
        <f t="shared" si="95"/>
        <v>5000</v>
      </c>
      <c r="J620" s="1577">
        <f t="shared" si="95"/>
        <v>3000</v>
      </c>
      <c r="K620" s="1532">
        <f>SUM(K621,K622,K623,K624,K625)</f>
        <v>3000</v>
      </c>
      <c r="L620" s="1532">
        <f>SUM(L621,L622,L623,L624,L625)</f>
        <v>3000</v>
      </c>
      <c r="M620" s="541"/>
      <c r="N620" s="74"/>
      <c r="O620" s="64"/>
      <c r="P620" s="64"/>
      <c r="Q620" s="64"/>
    </row>
    <row r="621" spans="1:17" x14ac:dyDescent="0.2">
      <c r="A621" s="1255" t="s">
        <v>599</v>
      </c>
      <c r="B621" s="1612"/>
      <c r="C621" s="1613" t="s">
        <v>603</v>
      </c>
      <c r="D621" s="1028">
        <v>0</v>
      </c>
      <c r="E621" s="1028">
        <v>0</v>
      </c>
      <c r="F621" s="1028"/>
      <c r="G621" s="1028">
        <v>0</v>
      </c>
      <c r="H621" s="1028"/>
      <c r="I621" s="1319"/>
      <c r="J621" s="1290"/>
      <c r="K621" s="1545">
        <v>0</v>
      </c>
      <c r="L621" s="1027">
        <v>0</v>
      </c>
      <c r="M621" s="542"/>
      <c r="N621" s="74"/>
      <c r="O621" s="490"/>
      <c r="P621" s="544"/>
      <c r="Q621" s="64"/>
    </row>
    <row r="622" spans="1:17" x14ac:dyDescent="0.2">
      <c r="A622" s="835" t="s">
        <v>604</v>
      </c>
      <c r="B622" s="835"/>
      <c r="C622" s="835" t="s">
        <v>605</v>
      </c>
      <c r="D622" s="1028">
        <v>0</v>
      </c>
      <c r="E622" s="1028">
        <v>0</v>
      </c>
      <c r="F622" s="1028">
        <v>0</v>
      </c>
      <c r="G622" s="1028">
        <v>0</v>
      </c>
      <c r="H622" s="1028">
        <v>0</v>
      </c>
      <c r="I622" s="1319">
        <v>0</v>
      </c>
      <c r="J622" s="1290">
        <v>0</v>
      </c>
      <c r="K622" s="1545">
        <v>0</v>
      </c>
      <c r="L622" s="1027">
        <v>0</v>
      </c>
      <c r="M622" s="490"/>
      <c r="N622" s="505"/>
      <c r="O622" s="490"/>
      <c r="P622" s="64"/>
      <c r="Q622" s="64"/>
    </row>
    <row r="623" spans="1:17" x14ac:dyDescent="0.2">
      <c r="A623" s="1682" t="s">
        <v>604</v>
      </c>
      <c r="B623" s="1682"/>
      <c r="C623" s="1682" t="s">
        <v>606</v>
      </c>
      <c r="D623" s="1089">
        <v>6000</v>
      </c>
      <c r="E623" s="1089"/>
      <c r="F623" s="1089"/>
      <c r="G623" s="1089">
        <v>0</v>
      </c>
      <c r="H623" s="1089"/>
      <c r="I623" s="1319"/>
      <c r="J623" s="1290"/>
      <c r="K623" s="1545"/>
      <c r="L623" s="1656"/>
      <c r="M623" s="529"/>
      <c r="N623" s="545"/>
      <c r="O623" s="546"/>
      <c r="P623" s="547"/>
      <c r="Q623" s="546"/>
    </row>
    <row r="624" spans="1:17" x14ac:dyDescent="0.2">
      <c r="A624" s="835" t="s">
        <v>604</v>
      </c>
      <c r="B624" s="835"/>
      <c r="C624" s="835" t="s">
        <v>607</v>
      </c>
      <c r="D624" s="1089">
        <v>0</v>
      </c>
      <c r="E624" s="1089">
        <v>0</v>
      </c>
      <c r="F624" s="1089"/>
      <c r="G624" s="1089">
        <v>0</v>
      </c>
      <c r="H624" s="1089">
        <v>0</v>
      </c>
      <c r="I624" s="1319">
        <v>0</v>
      </c>
      <c r="J624" s="1290">
        <v>0</v>
      </c>
      <c r="K624" s="1545">
        <v>0</v>
      </c>
      <c r="L624" s="1656">
        <v>0</v>
      </c>
      <c r="M624" s="529"/>
      <c r="N624" s="545"/>
      <c r="O624" s="546"/>
      <c r="P624" s="547"/>
      <c r="Q624" s="546"/>
    </row>
    <row r="625" spans="1:18" s="550" customFormat="1" x14ac:dyDescent="0.2">
      <c r="A625" s="835" t="s">
        <v>604</v>
      </c>
      <c r="B625" s="835"/>
      <c r="C625" s="835" t="s">
        <v>608</v>
      </c>
      <c r="D625" s="1089">
        <v>3000</v>
      </c>
      <c r="E625" s="1089">
        <v>5747</v>
      </c>
      <c r="F625" s="1089">
        <v>6000</v>
      </c>
      <c r="G625" s="1089">
        <v>7000</v>
      </c>
      <c r="H625" s="1089">
        <v>3000</v>
      </c>
      <c r="I625" s="1319">
        <v>5000</v>
      </c>
      <c r="J625" s="1290">
        <v>3000</v>
      </c>
      <c r="K625" s="1545">
        <v>3000</v>
      </c>
      <c r="L625" s="1656">
        <v>3000</v>
      </c>
      <c r="M625" s="529"/>
      <c r="N625" s="540"/>
      <c r="O625" s="548"/>
      <c r="P625" s="549"/>
      <c r="Q625" s="548"/>
    </row>
    <row r="626" spans="1:18" x14ac:dyDescent="0.2">
      <c r="A626" s="1546" t="s">
        <v>270</v>
      </c>
      <c r="B626" s="1547"/>
      <c r="C626" s="1548" t="s">
        <v>609</v>
      </c>
      <c r="D626" s="1550">
        <f t="shared" ref="D626:K626" si="96">D591+D598+D603+D620</f>
        <v>103606</v>
      </c>
      <c r="E626" s="1549">
        <f t="shared" si="96"/>
        <v>95709</v>
      </c>
      <c r="F626" s="1549">
        <f t="shared" si="96"/>
        <v>107098</v>
      </c>
      <c r="G626" s="1549">
        <f>G591+G598+G603+G620</f>
        <v>106410</v>
      </c>
      <c r="H626" s="1549">
        <f>H591+H598+H603+H620</f>
        <v>107160</v>
      </c>
      <c r="I626" s="1549">
        <f>I591+I598+I603+I620</f>
        <v>128015</v>
      </c>
      <c r="J626" s="1300">
        <f>J591+J598+J603+J620</f>
        <v>124500</v>
      </c>
      <c r="K626" s="1549">
        <f t="shared" si="96"/>
        <v>129150</v>
      </c>
      <c r="L626" s="1549">
        <f>L591+L598+L620+L603</f>
        <v>128650</v>
      </c>
      <c r="M626" s="65"/>
      <c r="N626" s="78"/>
      <c r="O626" s="469"/>
      <c r="P626" s="469"/>
      <c r="Q626" s="469"/>
    </row>
    <row r="627" spans="1:18" x14ac:dyDescent="0.2">
      <c r="A627" s="1683" t="s">
        <v>610</v>
      </c>
      <c r="B627" s="1684"/>
      <c r="C627" s="1683"/>
      <c r="D627" s="1685">
        <f>D105+D122+D169+D231+D275+D294+D312+D379+D582+D626</f>
        <v>1985648</v>
      </c>
      <c r="E627" s="1686">
        <f>SUM(E105,E122,E169,E231,E275,E294,E312,E379,E582,E626)</f>
        <v>2306244.2400000002</v>
      </c>
      <c r="F627" s="1686">
        <f t="shared" ref="F627:L627" si="97">F105+F122+F169+F231+F275+F294+F312+F379+F582+F626</f>
        <v>2432265.15</v>
      </c>
      <c r="G627" s="1685">
        <f t="shared" si="97"/>
        <v>2528285</v>
      </c>
      <c r="H627" s="1685">
        <f t="shared" si="97"/>
        <v>2586832</v>
      </c>
      <c r="I627" s="1685">
        <f t="shared" si="97"/>
        <v>2751498</v>
      </c>
      <c r="J627" s="1687">
        <f t="shared" si="97"/>
        <v>2722458</v>
      </c>
      <c r="K627" s="1685">
        <f t="shared" si="97"/>
        <v>2758814</v>
      </c>
      <c r="L627" s="1685">
        <f t="shared" si="97"/>
        <v>2776340</v>
      </c>
      <c r="M627" s="65"/>
      <c r="N627" s="21"/>
      <c r="O627" s="469"/>
      <c r="P627" s="469"/>
      <c r="Q627" s="469"/>
      <c r="R627" s="510"/>
    </row>
    <row r="628" spans="1:18" x14ac:dyDescent="0.2">
      <c r="A628" s="88"/>
      <c r="B628" s="20"/>
      <c r="C628" s="88"/>
      <c r="D628" s="65"/>
      <c r="E628" s="1192"/>
      <c r="F628" s="1192"/>
      <c r="G628" s="65"/>
      <c r="H628" s="65"/>
      <c r="I628" s="65"/>
      <c r="J628" s="1238"/>
      <c r="K628" s="65"/>
      <c r="L628" s="65"/>
      <c r="M628" s="65"/>
      <c r="N628" s="21"/>
      <c r="O628" s="469"/>
      <c r="P628" s="469"/>
      <c r="Q628" s="469"/>
      <c r="R628" s="510"/>
    </row>
    <row r="629" spans="1:18" x14ac:dyDescent="0.2">
      <c r="A629" s="88"/>
      <c r="B629" s="20"/>
      <c r="C629" s="88"/>
      <c r="D629" s="65"/>
      <c r="E629" s="1192"/>
      <c r="F629" s="1192"/>
      <c r="G629" s="65"/>
      <c r="H629" s="65"/>
      <c r="I629" s="65"/>
      <c r="J629" s="1238"/>
      <c r="K629" s="65"/>
      <c r="L629" s="65"/>
      <c r="M629" s="65"/>
      <c r="N629" s="21"/>
      <c r="O629" s="469"/>
      <c r="P629" s="469"/>
      <c r="Q629" s="469"/>
      <c r="R629" s="510"/>
    </row>
    <row r="630" spans="1:18" hidden="1" x14ac:dyDescent="0.2">
      <c r="A630" s="88"/>
      <c r="B630" s="20"/>
      <c r="C630" s="88"/>
      <c r="D630" s="65"/>
      <c r="E630" s="1192"/>
      <c r="F630" s="1192"/>
      <c r="G630" s="65"/>
      <c r="H630" s="65"/>
      <c r="I630" s="65"/>
      <c r="J630" s="1238"/>
      <c r="K630" s="65"/>
      <c r="L630" s="65"/>
      <c r="M630" s="65"/>
      <c r="N630" s="21"/>
      <c r="O630" s="469"/>
      <c r="P630" s="469"/>
      <c r="Q630" s="469"/>
      <c r="R630" s="510"/>
    </row>
    <row r="631" spans="1:18" hidden="1" x14ac:dyDescent="0.2">
      <c r="A631" s="88"/>
      <c r="B631" s="20"/>
      <c r="C631" s="88"/>
      <c r="D631" s="65"/>
      <c r="E631" s="1192"/>
      <c r="F631" s="1192"/>
      <c r="G631" s="65"/>
      <c r="H631" s="65"/>
      <c r="I631" s="65"/>
      <c r="J631" s="1238"/>
      <c r="K631" s="65"/>
      <c r="L631" s="65"/>
      <c r="M631" s="65"/>
      <c r="N631" s="21"/>
      <c r="O631" s="469"/>
      <c r="P631" s="469"/>
      <c r="Q631" s="469"/>
      <c r="R631" s="510"/>
    </row>
    <row r="632" spans="1:18" hidden="1" x14ac:dyDescent="0.2">
      <c r="A632" s="88"/>
      <c r="B632" s="20"/>
      <c r="C632" s="88"/>
      <c r="D632" s="65"/>
      <c r="E632" s="1192"/>
      <c r="F632" s="1192"/>
      <c r="G632" s="65"/>
      <c r="H632" s="65"/>
      <c r="I632" s="65"/>
      <c r="J632" s="1238"/>
      <c r="K632" s="65"/>
      <c r="L632" s="65"/>
      <c r="M632" s="65"/>
      <c r="N632" s="21"/>
      <c r="O632" s="469"/>
      <c r="P632" s="469"/>
      <c r="Q632" s="469"/>
      <c r="R632" s="510"/>
    </row>
    <row r="633" spans="1:18" hidden="1" x14ac:dyDescent="0.2">
      <c r="A633" s="88"/>
      <c r="B633" s="20"/>
      <c r="C633" s="88"/>
      <c r="D633" s="65"/>
      <c r="E633" s="1192"/>
      <c r="F633" s="1192"/>
      <c r="G633" s="65"/>
      <c r="H633" s="65"/>
      <c r="I633" s="65"/>
      <c r="J633" s="1238"/>
      <c r="K633" s="65"/>
      <c r="L633" s="65"/>
      <c r="M633" s="65"/>
      <c r="N633" s="21"/>
      <c r="O633" s="469"/>
      <c r="P633" s="469"/>
      <c r="Q633" s="469"/>
      <c r="R633" s="510"/>
    </row>
    <row r="634" spans="1:18" hidden="1" x14ac:dyDescent="0.2">
      <c r="A634" s="88"/>
      <c r="B634" s="20"/>
      <c r="C634" s="88"/>
      <c r="D634" s="65"/>
      <c r="E634" s="1192"/>
      <c r="F634" s="1192"/>
      <c r="G634" s="65"/>
      <c r="H634" s="65"/>
      <c r="I634" s="65"/>
      <c r="J634" s="1238"/>
      <c r="K634" s="65"/>
      <c r="L634" s="65"/>
      <c r="M634" s="65"/>
      <c r="N634" s="21"/>
      <c r="O634" s="469"/>
      <c r="P634" s="469"/>
      <c r="Q634" s="469"/>
      <c r="R634" s="510"/>
    </row>
    <row r="635" spans="1:18" hidden="1" x14ac:dyDescent="0.2">
      <c r="A635" s="88"/>
      <c r="B635" s="20"/>
      <c r="C635" s="88"/>
      <c r="D635" s="65"/>
      <c r="E635" s="1192"/>
      <c r="F635" s="1192"/>
      <c r="G635" s="65"/>
      <c r="H635" s="65"/>
      <c r="I635" s="65"/>
      <c r="J635" s="1238"/>
      <c r="K635" s="65"/>
      <c r="L635" s="65"/>
      <c r="M635" s="65"/>
      <c r="N635" s="21"/>
      <c r="O635" s="469"/>
      <c r="P635" s="469"/>
      <c r="Q635" s="469"/>
      <c r="R635" s="510"/>
    </row>
    <row r="636" spans="1:18" hidden="1" x14ac:dyDescent="0.2">
      <c r="A636" s="88"/>
      <c r="B636" s="20"/>
      <c r="C636" s="88"/>
      <c r="D636" s="65"/>
      <c r="E636" s="1192"/>
      <c r="F636" s="1192"/>
      <c r="G636" s="65"/>
      <c r="H636" s="65"/>
      <c r="I636" s="65"/>
      <c r="J636" s="1238"/>
      <c r="K636" s="65"/>
      <c r="L636" s="65"/>
      <c r="M636" s="65"/>
      <c r="N636" s="21"/>
      <c r="O636" s="469"/>
      <c r="P636" s="469"/>
      <c r="Q636" s="469"/>
      <c r="R636" s="510"/>
    </row>
    <row r="637" spans="1:18" hidden="1" x14ac:dyDescent="0.2">
      <c r="A637" s="88"/>
      <c r="B637" s="20"/>
      <c r="C637" s="88"/>
      <c r="D637" s="65"/>
      <c r="E637" s="1192"/>
      <c r="F637" s="1192"/>
      <c r="G637" s="65"/>
      <c r="H637" s="65"/>
      <c r="I637" s="65"/>
      <c r="J637" s="1238"/>
      <c r="K637" s="65"/>
      <c r="L637" s="65"/>
      <c r="M637" s="65"/>
      <c r="N637" s="21"/>
      <c r="O637" s="469"/>
      <c r="P637" s="469"/>
      <c r="Q637" s="469"/>
      <c r="R637" s="510"/>
    </row>
    <row r="638" spans="1:18" hidden="1" x14ac:dyDescent="0.2">
      <c r="A638" s="88"/>
      <c r="B638" s="20"/>
      <c r="C638" s="88"/>
      <c r="D638" s="65"/>
      <c r="E638" s="1192"/>
      <c r="F638" s="1192"/>
      <c r="G638" s="65"/>
      <c r="H638" s="65"/>
      <c r="I638" s="65"/>
      <c r="J638" s="1238"/>
      <c r="K638" s="65"/>
      <c r="L638" s="65"/>
      <c r="M638" s="65"/>
      <c r="N638" s="21"/>
      <c r="O638" s="469"/>
      <c r="P638" s="469"/>
      <c r="Q638" s="469"/>
      <c r="R638" s="510"/>
    </row>
    <row r="639" spans="1:18" hidden="1" x14ac:dyDescent="0.2">
      <c r="A639" s="88"/>
      <c r="B639" s="20"/>
      <c r="C639" s="88"/>
      <c r="D639" s="65"/>
      <c r="E639" s="1192"/>
      <c r="F639" s="1192"/>
      <c r="G639" s="65"/>
      <c r="H639" s="65"/>
      <c r="I639" s="65"/>
      <c r="J639" s="1238"/>
      <c r="K639" s="65"/>
      <c r="L639" s="65"/>
      <c r="M639" s="65"/>
      <c r="N639" s="21"/>
      <c r="O639" s="469"/>
      <c r="P639" s="469"/>
      <c r="Q639" s="469"/>
      <c r="R639" s="510"/>
    </row>
    <row r="640" spans="1:18" hidden="1" x14ac:dyDescent="0.2">
      <c r="A640" s="88"/>
      <c r="B640" s="20"/>
      <c r="C640" s="88"/>
      <c r="D640" s="65"/>
      <c r="E640" s="1192"/>
      <c r="F640" s="1192"/>
      <c r="G640" s="65"/>
      <c r="H640" s="65"/>
      <c r="I640" s="65"/>
      <c r="J640" s="1238"/>
      <c r="K640" s="65"/>
      <c r="L640" s="65"/>
      <c r="M640" s="65"/>
      <c r="N640" s="21"/>
      <c r="O640" s="469"/>
      <c r="P640" s="469"/>
      <c r="Q640" s="469"/>
      <c r="R640" s="510"/>
    </row>
    <row r="641" spans="1:18" hidden="1" x14ac:dyDescent="0.2">
      <c r="A641" s="88"/>
      <c r="B641" s="20"/>
      <c r="C641" s="88"/>
      <c r="D641" s="65"/>
      <c r="E641" s="1192"/>
      <c r="F641" s="1192"/>
      <c r="G641" s="65"/>
      <c r="H641" s="65"/>
      <c r="I641" s="65"/>
      <c r="J641" s="1238"/>
      <c r="K641" s="65"/>
      <c r="L641" s="65"/>
      <c r="M641" s="65"/>
      <c r="N641" s="21"/>
      <c r="O641" s="469"/>
      <c r="P641" s="469"/>
      <c r="Q641" s="469"/>
      <c r="R641" s="510"/>
    </row>
    <row r="642" spans="1:18" hidden="1" x14ac:dyDescent="0.2">
      <c r="A642" s="88"/>
      <c r="B642" s="20"/>
      <c r="C642" s="88"/>
      <c r="D642" s="65"/>
      <c r="E642" s="1192"/>
      <c r="F642" s="1192"/>
      <c r="G642" s="65"/>
      <c r="H642" s="65"/>
      <c r="I642" s="65"/>
      <c r="J642" s="1238"/>
      <c r="K642" s="65"/>
      <c r="L642" s="65"/>
      <c r="M642" s="65"/>
      <c r="N642" s="21"/>
      <c r="O642" s="469"/>
      <c r="P642" s="469"/>
      <c r="Q642" s="469"/>
      <c r="R642" s="510"/>
    </row>
    <row r="643" spans="1:18" hidden="1" x14ac:dyDescent="0.2">
      <c r="A643" s="88"/>
      <c r="B643" s="20"/>
      <c r="C643" s="88"/>
      <c r="D643" s="65"/>
      <c r="E643" s="1192"/>
      <c r="F643" s="1192"/>
      <c r="G643" s="65"/>
      <c r="H643" s="65"/>
      <c r="I643" s="65"/>
      <c r="J643" s="1238"/>
      <c r="K643" s="65"/>
      <c r="L643" s="65"/>
      <c r="M643" s="65"/>
      <c r="N643" s="21"/>
      <c r="O643" s="469"/>
      <c r="P643" s="469"/>
      <c r="Q643" s="469"/>
      <c r="R643" s="510"/>
    </row>
    <row r="644" spans="1:18" hidden="1" x14ac:dyDescent="0.2">
      <c r="A644" s="88"/>
      <c r="B644" s="20"/>
      <c r="C644" s="88"/>
      <c r="D644" s="65"/>
      <c r="E644" s="1192"/>
      <c r="F644" s="1192"/>
      <c r="G644" s="65"/>
      <c r="H644" s="65"/>
      <c r="I644" s="65"/>
      <c r="J644" s="1238"/>
      <c r="K644" s="65"/>
      <c r="L644" s="65"/>
      <c r="M644" s="65"/>
      <c r="N644" s="21"/>
      <c r="O644" s="469"/>
      <c r="P644" s="469"/>
      <c r="Q644" s="469"/>
      <c r="R644" s="510"/>
    </row>
    <row r="645" spans="1:18" hidden="1" x14ac:dyDescent="0.2">
      <c r="A645" s="88"/>
      <c r="B645" s="20"/>
      <c r="C645" s="88"/>
      <c r="D645" s="65"/>
      <c r="E645" s="1192"/>
      <c r="F645" s="1192"/>
      <c r="G645" s="65"/>
      <c r="H645" s="65"/>
      <c r="I645" s="65"/>
      <c r="J645" s="1238"/>
      <c r="K645" s="65"/>
      <c r="L645" s="65"/>
      <c r="M645" s="65"/>
      <c r="N645" s="21"/>
      <c r="O645" s="469"/>
      <c r="P645" s="469"/>
      <c r="Q645" s="469"/>
      <c r="R645" s="510"/>
    </row>
    <row r="646" spans="1:18" hidden="1" x14ac:dyDescent="0.2">
      <c r="A646" s="88"/>
      <c r="B646" s="20"/>
      <c r="C646" s="88"/>
      <c r="D646" s="65"/>
      <c r="E646" s="1192"/>
      <c r="F646" s="1192"/>
      <c r="G646" s="65"/>
      <c r="H646" s="65"/>
      <c r="I646" s="65"/>
      <c r="J646" s="1238"/>
      <c r="K646" s="65"/>
      <c r="L646" s="65"/>
      <c r="M646" s="65"/>
      <c r="N646" s="21"/>
      <c r="O646" s="469"/>
      <c r="P646" s="469"/>
      <c r="Q646" s="469"/>
      <c r="R646" s="510"/>
    </row>
    <row r="647" spans="1:18" hidden="1" x14ac:dyDescent="0.2">
      <c r="A647" s="88"/>
      <c r="B647" s="20"/>
      <c r="C647" s="88"/>
      <c r="D647" s="65"/>
      <c r="E647" s="1192"/>
      <c r="F647" s="1192"/>
      <c r="G647" s="65"/>
      <c r="H647" s="65"/>
      <c r="I647" s="65"/>
      <c r="J647" s="1238"/>
      <c r="K647" s="65"/>
      <c r="L647" s="65"/>
      <c r="M647" s="65"/>
      <c r="N647" s="21"/>
      <c r="O647" s="469"/>
      <c r="P647" s="469"/>
      <c r="Q647" s="469"/>
      <c r="R647" s="510"/>
    </row>
    <row r="648" spans="1:18" hidden="1" x14ac:dyDescent="0.2">
      <c r="A648" s="88"/>
      <c r="B648" s="20"/>
      <c r="C648" s="88"/>
      <c r="D648" s="65"/>
      <c r="E648" s="1192"/>
      <c r="F648" s="1192"/>
      <c r="G648" s="65"/>
      <c r="H648" s="65"/>
      <c r="I648" s="65"/>
      <c r="J648" s="1238"/>
      <c r="K648" s="65"/>
      <c r="L648" s="65"/>
      <c r="M648" s="65"/>
      <c r="N648" s="21"/>
      <c r="O648" s="469"/>
      <c r="P648" s="469"/>
      <c r="Q648" s="469"/>
      <c r="R648" s="510"/>
    </row>
    <row r="649" spans="1:18" hidden="1" x14ac:dyDescent="0.2">
      <c r="A649" s="88"/>
      <c r="B649" s="20"/>
      <c r="C649" s="88"/>
      <c r="D649" s="65"/>
      <c r="E649" s="1192"/>
      <c r="F649" s="1192"/>
      <c r="G649" s="65"/>
      <c r="H649" s="65"/>
      <c r="I649" s="65"/>
      <c r="J649" s="1238"/>
      <c r="K649" s="65"/>
      <c r="L649" s="65"/>
      <c r="M649" s="65"/>
      <c r="N649" s="21"/>
      <c r="O649" s="469"/>
      <c r="P649" s="469"/>
      <c r="Q649" s="469"/>
      <c r="R649" s="510"/>
    </row>
    <row r="650" spans="1:18" hidden="1" x14ac:dyDescent="0.2">
      <c r="A650" s="88"/>
      <c r="B650" s="20"/>
      <c r="C650" s="88"/>
      <c r="D650" s="65"/>
      <c r="E650" s="1192"/>
      <c r="F650" s="1192"/>
      <c r="G650" s="65"/>
      <c r="H650" s="65"/>
      <c r="I650" s="65"/>
      <c r="J650" s="1238"/>
      <c r="K650" s="65"/>
      <c r="L650" s="65"/>
      <c r="M650" s="65"/>
      <c r="N650" s="21"/>
      <c r="O650" s="469"/>
      <c r="P650" s="469"/>
      <c r="Q650" s="469"/>
      <c r="R650" s="510"/>
    </row>
    <row r="651" spans="1:18" hidden="1" x14ac:dyDescent="0.2">
      <c r="A651" s="88"/>
      <c r="B651" s="20"/>
      <c r="C651" s="88"/>
      <c r="D651" s="65"/>
      <c r="E651" s="1192"/>
      <c r="F651" s="1192"/>
      <c r="G651" s="65"/>
      <c r="H651" s="65"/>
      <c r="I651" s="65"/>
      <c r="J651" s="1238"/>
      <c r="K651" s="65"/>
      <c r="L651" s="65"/>
      <c r="M651" s="65"/>
      <c r="N651" s="21"/>
      <c r="O651" s="469"/>
      <c r="P651" s="469"/>
      <c r="Q651" s="469"/>
      <c r="R651" s="510"/>
    </row>
    <row r="652" spans="1:18" hidden="1" x14ac:dyDescent="0.2">
      <c r="A652" s="88"/>
      <c r="B652" s="20"/>
      <c r="C652" s="88"/>
      <c r="D652" s="65"/>
      <c r="E652" s="1192"/>
      <c r="F652" s="1192"/>
      <c r="G652" s="65"/>
      <c r="H652" s="65"/>
      <c r="I652" s="65"/>
      <c r="J652" s="1238"/>
      <c r="K652" s="65"/>
      <c r="L652" s="65"/>
      <c r="M652" s="65"/>
      <c r="N652" s="21"/>
      <c r="O652" s="469"/>
      <c r="P652" s="469"/>
      <c r="Q652" s="469"/>
      <c r="R652" s="510"/>
    </row>
    <row r="653" spans="1:18" hidden="1" x14ac:dyDescent="0.2">
      <c r="A653" s="88"/>
      <c r="B653" s="20"/>
      <c r="C653" s="88"/>
      <c r="D653" s="65"/>
      <c r="E653" s="1192"/>
      <c r="F653" s="1192"/>
      <c r="G653" s="65"/>
      <c r="H653" s="65"/>
      <c r="I653" s="65"/>
      <c r="J653" s="1238"/>
      <c r="K653" s="65"/>
      <c r="L653" s="65"/>
      <c r="M653" s="65"/>
      <c r="N653" s="21"/>
      <c r="O653" s="469"/>
      <c r="P653" s="469"/>
      <c r="Q653" s="469"/>
      <c r="R653" s="510"/>
    </row>
    <row r="654" spans="1:18" hidden="1" x14ac:dyDescent="0.2">
      <c r="A654" s="88"/>
      <c r="B654" s="20"/>
      <c r="C654" s="88"/>
      <c r="D654" s="65"/>
      <c r="E654" s="1192"/>
      <c r="F654" s="1192"/>
      <c r="G654" s="65"/>
      <c r="H654" s="65"/>
      <c r="I654" s="65"/>
      <c r="J654" s="1238"/>
      <c r="K654" s="65"/>
      <c r="L654" s="65"/>
      <c r="M654" s="65"/>
      <c r="N654" s="21"/>
      <c r="O654" s="469"/>
      <c r="P654" s="469"/>
      <c r="Q654" s="469"/>
      <c r="R654" s="510"/>
    </row>
    <row r="655" spans="1:18" hidden="1" x14ac:dyDescent="0.2">
      <c r="A655" s="88"/>
      <c r="B655" s="20"/>
      <c r="C655" s="88"/>
      <c r="D655" s="65"/>
      <c r="E655" s="1192"/>
      <c r="F655" s="1192"/>
      <c r="G655" s="65"/>
      <c r="H655" s="65"/>
      <c r="I655" s="65"/>
      <c r="J655" s="1238"/>
      <c r="K655" s="65"/>
      <c r="L655" s="65"/>
      <c r="M655" s="65"/>
      <c r="N655" s="21"/>
      <c r="O655" s="469"/>
      <c r="P655" s="469"/>
      <c r="Q655" s="469"/>
      <c r="R655" s="510"/>
    </row>
    <row r="656" spans="1:18" x14ac:dyDescent="0.2">
      <c r="A656" s="88"/>
      <c r="B656" s="20"/>
      <c r="C656" s="88"/>
      <c r="D656" s="88"/>
      <c r="E656" s="88"/>
      <c r="F656" s="501"/>
      <c r="G656" s="89"/>
      <c r="H656" s="89"/>
      <c r="I656" s="89"/>
      <c r="J656" s="1316"/>
      <c r="K656" s="89"/>
      <c r="L656" s="506"/>
    </row>
    <row r="657" spans="1:12" hidden="1" x14ac:dyDescent="0.2">
      <c r="A657" s="88"/>
      <c r="B657" s="20"/>
      <c r="C657" s="88"/>
      <c r="D657" s="88"/>
      <c r="E657" s="88"/>
      <c r="F657" s="88"/>
      <c r="G657" s="89"/>
      <c r="H657" s="89"/>
      <c r="I657" s="89"/>
      <c r="J657" s="1316"/>
      <c r="K657" s="89"/>
      <c r="L657" s="506"/>
    </row>
    <row r="658" spans="1:12" hidden="1" x14ac:dyDescent="0.2">
      <c r="A658" s="88"/>
      <c r="B658" s="20"/>
      <c r="C658" s="88"/>
      <c r="D658" s="88"/>
      <c r="E658" s="88"/>
      <c r="F658" s="88"/>
      <c r="G658" s="89"/>
      <c r="H658" s="89"/>
      <c r="I658" s="89"/>
      <c r="J658" s="1316"/>
      <c r="K658" s="89"/>
      <c r="L658" s="506"/>
    </row>
    <row r="659" spans="1:12" hidden="1" x14ac:dyDescent="0.2">
      <c r="A659" s="88"/>
      <c r="B659" s="20"/>
      <c r="C659" s="88"/>
      <c r="D659" s="88"/>
      <c r="E659" s="88"/>
      <c r="F659" s="88"/>
      <c r="G659" s="89"/>
      <c r="H659" s="89"/>
      <c r="I659" s="89"/>
      <c r="J659" s="1316"/>
      <c r="K659" s="551"/>
      <c r="L659" s="506"/>
    </row>
    <row r="660" spans="1:12" hidden="1" x14ac:dyDescent="0.2">
      <c r="A660" s="88"/>
      <c r="B660" s="20"/>
      <c r="C660" s="88"/>
      <c r="D660" s="88"/>
      <c r="E660" s="88"/>
      <c r="F660" s="88"/>
      <c r="G660" s="89"/>
      <c r="H660" s="89"/>
      <c r="I660" s="89"/>
      <c r="J660" s="1316"/>
      <c r="K660" s="89"/>
      <c r="L660" s="506"/>
    </row>
    <row r="661" spans="1:12" hidden="1" x14ac:dyDescent="0.2">
      <c r="A661" s="88"/>
      <c r="B661" s="20"/>
      <c r="C661" s="88"/>
      <c r="D661" s="88"/>
      <c r="E661" s="88"/>
      <c r="F661" s="88"/>
      <c r="G661" s="89"/>
      <c r="H661" s="89"/>
      <c r="I661" s="89"/>
      <c r="J661" s="1316"/>
      <c r="K661" s="89"/>
      <c r="L661" s="506"/>
    </row>
    <row r="662" spans="1:12" hidden="1" x14ac:dyDescent="0.2">
      <c r="A662" s="88"/>
      <c r="B662" s="20"/>
      <c r="C662" s="88"/>
      <c r="D662" s="88"/>
      <c r="E662" s="88"/>
      <c r="F662" s="88"/>
      <c r="G662" s="89"/>
      <c r="H662" s="89"/>
      <c r="I662" s="89"/>
      <c r="J662" s="1316"/>
      <c r="K662" s="89"/>
      <c r="L662" s="506"/>
    </row>
    <row r="663" spans="1:12" hidden="1" x14ac:dyDescent="0.2">
      <c r="A663" s="88"/>
      <c r="B663" s="20"/>
      <c r="C663" s="88"/>
      <c r="D663" s="88"/>
      <c r="E663" s="88"/>
      <c r="F663" s="88"/>
      <c r="G663" s="89"/>
      <c r="H663" s="89"/>
      <c r="I663" s="89"/>
      <c r="J663" s="1316"/>
      <c r="K663" s="89"/>
      <c r="L663" s="506"/>
    </row>
    <row r="664" spans="1:12" hidden="1" x14ac:dyDescent="0.2">
      <c r="A664" s="88"/>
      <c r="B664" s="20"/>
      <c r="C664" s="88"/>
      <c r="D664" s="88"/>
      <c r="E664" s="88"/>
      <c r="F664" s="88"/>
      <c r="G664" s="89"/>
      <c r="H664" s="89"/>
      <c r="I664" s="89"/>
      <c r="J664" s="1316"/>
      <c r="K664" s="89"/>
      <c r="L664" s="506"/>
    </row>
    <row r="665" spans="1:12" hidden="1" x14ac:dyDescent="0.2">
      <c r="A665" s="88"/>
      <c r="B665" s="20"/>
      <c r="C665" s="88"/>
      <c r="D665" s="88"/>
      <c r="E665" s="88"/>
      <c r="F665" s="88"/>
      <c r="G665" s="89"/>
      <c r="H665" s="89"/>
      <c r="I665" s="89"/>
      <c r="J665" s="1316"/>
      <c r="K665" s="89"/>
      <c r="L665" s="506"/>
    </row>
    <row r="666" spans="1:12" hidden="1" x14ac:dyDescent="0.2">
      <c r="A666" s="88"/>
      <c r="B666" s="20"/>
      <c r="C666" s="88"/>
      <c r="D666" s="88"/>
      <c r="E666" s="88"/>
      <c r="F666" s="88"/>
      <c r="G666" s="89"/>
      <c r="H666" s="89"/>
      <c r="I666" s="89"/>
      <c r="J666" s="1316"/>
      <c r="K666" s="89"/>
      <c r="L666" s="506"/>
    </row>
    <row r="667" spans="1:12" hidden="1" x14ac:dyDescent="0.2">
      <c r="A667" s="88"/>
      <c r="B667" s="20"/>
      <c r="C667" s="88"/>
      <c r="D667" s="88"/>
      <c r="E667" s="88"/>
      <c r="F667" s="88"/>
      <c r="G667" s="89"/>
      <c r="H667" s="89"/>
      <c r="I667" s="89"/>
      <c r="J667" s="1316"/>
      <c r="K667" s="89"/>
      <c r="L667" s="506"/>
    </row>
    <row r="668" spans="1:12" hidden="1" x14ac:dyDescent="0.2">
      <c r="A668" s="88"/>
      <c r="B668" s="20"/>
      <c r="C668" s="88"/>
      <c r="D668" s="88"/>
      <c r="E668" s="88"/>
      <c r="F668" s="88"/>
      <c r="G668" s="89"/>
      <c r="H668" s="89"/>
      <c r="I668" s="89"/>
      <c r="J668" s="1316"/>
      <c r="K668" s="89"/>
      <c r="L668" s="506"/>
    </row>
    <row r="669" spans="1:12" hidden="1" x14ac:dyDescent="0.2">
      <c r="A669" s="88"/>
      <c r="B669" s="20"/>
      <c r="C669" s="88"/>
      <c r="D669" s="88"/>
      <c r="E669" s="88"/>
      <c r="F669" s="88"/>
      <c r="G669" s="89"/>
      <c r="H669" s="89"/>
      <c r="I669" s="89"/>
      <c r="J669" s="1316"/>
      <c r="K669" s="89"/>
      <c r="L669" s="506"/>
    </row>
    <row r="670" spans="1:12" hidden="1" x14ac:dyDescent="0.2">
      <c r="A670" s="88"/>
      <c r="B670" s="20"/>
      <c r="C670" s="88"/>
      <c r="D670" s="88"/>
      <c r="E670" s="88"/>
      <c r="F670" s="88"/>
      <c r="G670" s="89"/>
      <c r="H670" s="89"/>
      <c r="I670" s="89"/>
      <c r="J670" s="1316"/>
      <c r="K670" s="89"/>
      <c r="L670" s="506"/>
    </row>
    <row r="671" spans="1:12" x14ac:dyDescent="0.2">
      <c r="A671" s="88"/>
      <c r="B671" s="20"/>
      <c r="C671" s="462" t="s">
        <v>432</v>
      </c>
      <c r="D671" s="462"/>
      <c r="E671" s="462"/>
      <c r="F671" s="462"/>
      <c r="G671" s="89"/>
      <c r="H671" s="89"/>
      <c r="I671" s="89"/>
      <c r="J671" s="1316"/>
      <c r="K671" s="89"/>
      <c r="L671" s="506"/>
    </row>
    <row r="672" spans="1:12" ht="13.5" hidden="1" thickBot="1" x14ac:dyDescent="0.25">
      <c r="A672" s="88"/>
      <c r="B672" s="20"/>
      <c r="C672" s="88"/>
      <c r="D672" s="88"/>
      <c r="E672" s="88"/>
      <c r="F672" s="88"/>
      <c r="G672" s="89"/>
      <c r="H672" s="89"/>
      <c r="I672" s="89"/>
      <c r="K672" s="89"/>
      <c r="L672" s="506"/>
    </row>
    <row r="673" spans="1:18" s="498" customFormat="1" x14ac:dyDescent="0.2">
      <c r="A673" s="1537" t="s">
        <v>432</v>
      </c>
      <c r="B673" s="1538"/>
      <c r="C673" s="1688"/>
      <c r="D673" s="1539">
        <v>2018</v>
      </c>
      <c r="E673" s="1540" t="s">
        <v>909</v>
      </c>
      <c r="F673" s="1540">
        <v>2021</v>
      </c>
      <c r="G673" s="1541">
        <v>2022</v>
      </c>
      <c r="H673" s="1818">
        <v>2023</v>
      </c>
      <c r="I673" s="1542" t="s">
        <v>981</v>
      </c>
      <c r="J673" s="1543">
        <v>2024</v>
      </c>
      <c r="K673" s="1541">
        <v>2025</v>
      </c>
      <c r="L673" s="1541">
        <v>2026</v>
      </c>
      <c r="M673" s="495"/>
      <c r="N673" s="496"/>
      <c r="O673" s="497"/>
      <c r="P673" s="465"/>
      <c r="Q673" s="466"/>
    </row>
    <row r="674" spans="1:18" s="92" customFormat="1" ht="11.25" x14ac:dyDescent="0.2">
      <c r="A674" s="1061" t="s">
        <v>446</v>
      </c>
      <c r="B674" s="1061"/>
      <c r="C674" s="1061"/>
      <c r="D674" s="1055">
        <f>SUM(D675)+D679</f>
        <v>1058</v>
      </c>
      <c r="E674" s="1055">
        <f>SUM(E675)+E679+E677</f>
        <v>4949</v>
      </c>
      <c r="F674" s="1280">
        <f>SUM(F675)+F677+F680</f>
        <v>1000</v>
      </c>
      <c r="G674" s="1055">
        <f>SUM(G675:G680)</f>
        <v>6756</v>
      </c>
      <c r="H674" s="1055">
        <f>SUM(H675:H680)</f>
        <v>0</v>
      </c>
      <c r="I674" s="1055">
        <f>SUM(I675)+I677+I680+I678</f>
        <v>0</v>
      </c>
      <c r="J674" s="1300">
        <f>SUM(J675:J680)</f>
        <v>0</v>
      </c>
      <c r="K674" s="1055">
        <f>SUM(K675:K680)</f>
        <v>0</v>
      </c>
      <c r="L674" s="1055">
        <f>SUM(L675:L680)</f>
        <v>0</v>
      </c>
      <c r="M674" s="59"/>
      <c r="N674" s="501"/>
      <c r="O674" s="501"/>
      <c r="P674" s="501"/>
      <c r="Q674" s="501"/>
    </row>
    <row r="675" spans="1:18" x14ac:dyDescent="0.2">
      <c r="A675" s="835">
        <v>711</v>
      </c>
      <c r="B675" s="835" t="s">
        <v>94</v>
      </c>
      <c r="C675" s="835" t="s">
        <v>689</v>
      </c>
      <c r="D675" s="1033">
        <v>558</v>
      </c>
      <c r="E675" s="1087">
        <v>0</v>
      </c>
      <c r="F675" s="1087">
        <v>0</v>
      </c>
      <c r="G675" s="1087">
        <v>0</v>
      </c>
      <c r="H675" s="1087">
        <v>0</v>
      </c>
      <c r="I675" s="1087">
        <v>0</v>
      </c>
      <c r="J675" s="1290">
        <v>0</v>
      </c>
      <c r="K675" s="1545"/>
      <c r="L675" s="1033">
        <v>0</v>
      </c>
      <c r="M675" s="58"/>
      <c r="O675" s="50"/>
      <c r="P675" s="50"/>
    </row>
    <row r="676" spans="1:18" hidden="1" x14ac:dyDescent="0.2">
      <c r="A676" s="835"/>
      <c r="B676" s="835"/>
      <c r="C676" s="835"/>
      <c r="D676" s="1027"/>
      <c r="E676" s="1028"/>
      <c r="F676" s="1028"/>
      <c r="G676" s="1028"/>
      <c r="H676" s="1028"/>
      <c r="I676" s="1028"/>
      <c r="J676" s="1290"/>
      <c r="K676" s="1545"/>
      <c r="L676" s="1027"/>
      <c r="M676" s="58"/>
      <c r="O676" s="50"/>
      <c r="P676" s="50"/>
    </row>
    <row r="677" spans="1:18" x14ac:dyDescent="0.2">
      <c r="A677" s="835">
        <v>711</v>
      </c>
      <c r="B677" s="835" t="s">
        <v>92</v>
      </c>
      <c r="C677" s="835" t="s">
        <v>821</v>
      </c>
      <c r="D677" s="1027"/>
      <c r="E677" s="1087">
        <v>4949</v>
      </c>
      <c r="F677" s="1087">
        <v>0</v>
      </c>
      <c r="G677" s="1087">
        <v>0</v>
      </c>
      <c r="H677" s="1087">
        <v>0</v>
      </c>
      <c r="I677" s="1087">
        <v>0</v>
      </c>
      <c r="J677" s="1290">
        <v>0</v>
      </c>
      <c r="K677" s="1545"/>
      <c r="L677" s="1027"/>
      <c r="M677" s="58"/>
      <c r="O677" s="50"/>
      <c r="P677" s="50"/>
    </row>
    <row r="678" spans="1:18" x14ac:dyDescent="0.2">
      <c r="A678" s="835">
        <v>713</v>
      </c>
      <c r="B678" s="835" t="s">
        <v>92</v>
      </c>
      <c r="C678" s="835" t="s">
        <v>963</v>
      </c>
      <c r="D678" s="1027"/>
      <c r="E678" s="1087"/>
      <c r="F678" s="1087"/>
      <c r="G678" s="1087">
        <v>3120</v>
      </c>
      <c r="H678" s="1087">
        <v>0</v>
      </c>
      <c r="I678" s="1087">
        <v>0</v>
      </c>
      <c r="J678" s="1290"/>
      <c r="K678" s="1545"/>
      <c r="L678" s="1027"/>
      <c r="M678" s="58"/>
      <c r="O678" s="50"/>
      <c r="P678" s="50"/>
    </row>
    <row r="679" spans="1:18" x14ac:dyDescent="0.2">
      <c r="A679" s="835">
        <v>716</v>
      </c>
      <c r="B679" s="835"/>
      <c r="C679" s="835" t="s">
        <v>615</v>
      </c>
      <c r="D679" s="1027">
        <v>500</v>
      </c>
      <c r="E679" s="1028"/>
      <c r="F679" s="1028"/>
      <c r="G679" s="1028"/>
      <c r="H679" s="1028"/>
      <c r="I679" s="1028"/>
      <c r="J679" s="1290"/>
      <c r="K679" s="1545"/>
      <c r="L679" s="1027"/>
      <c r="M679" s="58"/>
      <c r="O679" s="50"/>
      <c r="P679" s="50"/>
    </row>
    <row r="680" spans="1:18" x14ac:dyDescent="0.2">
      <c r="A680" s="835">
        <v>714</v>
      </c>
      <c r="B680" s="835"/>
      <c r="C680" s="835" t="s">
        <v>879</v>
      </c>
      <c r="D680" s="1027"/>
      <c r="E680" s="1028"/>
      <c r="F680" s="1028">
        <v>1000</v>
      </c>
      <c r="G680" s="1028">
        <v>3636</v>
      </c>
      <c r="H680" s="1028">
        <v>0</v>
      </c>
      <c r="I680" s="1028">
        <v>0</v>
      </c>
      <c r="J680" s="1290">
        <v>0</v>
      </c>
      <c r="K680" s="1545">
        <v>0</v>
      </c>
      <c r="L680" s="1027">
        <v>0</v>
      </c>
      <c r="M680" s="58"/>
      <c r="O680" s="50"/>
      <c r="P680" s="50"/>
    </row>
    <row r="681" spans="1:18" x14ac:dyDescent="0.2">
      <c r="A681" s="1689" t="s">
        <v>511</v>
      </c>
      <c r="B681" s="1061"/>
      <c r="C681" s="1061"/>
      <c r="D681" s="1055">
        <f>SUM(D682)</f>
        <v>12500</v>
      </c>
      <c r="E681" s="1055">
        <f t="shared" ref="E681:L681" si="98">E682</f>
        <v>0</v>
      </c>
      <c r="F681" s="1280">
        <f>SUM(F682:F686)-F684</f>
        <v>10304</v>
      </c>
      <c r="G681" s="1055">
        <f t="shared" si="98"/>
        <v>0</v>
      </c>
      <c r="H681" s="1055">
        <f t="shared" si="98"/>
        <v>0</v>
      </c>
      <c r="I681" s="1055">
        <f>I683+I685</f>
        <v>0</v>
      </c>
      <c r="J681" s="1300">
        <f>J683+J685</f>
        <v>0</v>
      </c>
      <c r="K681" s="1055">
        <f t="shared" si="98"/>
        <v>0</v>
      </c>
      <c r="L681" s="1055">
        <f t="shared" si="98"/>
        <v>0</v>
      </c>
      <c r="M681" s="59"/>
      <c r="N681" s="501"/>
      <c r="O681" s="501"/>
      <c r="P681" s="501"/>
      <c r="Q681" s="501"/>
    </row>
    <row r="682" spans="1:18" x14ac:dyDescent="0.2">
      <c r="A682" s="835">
        <v>713</v>
      </c>
      <c r="B682" s="835" t="s">
        <v>111</v>
      </c>
      <c r="C682" s="835" t="s">
        <v>611</v>
      </c>
      <c r="D682" s="1027">
        <v>12500</v>
      </c>
      <c r="E682" s="1027"/>
      <c r="F682" s="1319">
        <v>0</v>
      </c>
      <c r="G682" s="1027">
        <v>0</v>
      </c>
      <c r="H682" s="1028">
        <v>0</v>
      </c>
      <c r="I682" s="1319">
        <v>0</v>
      </c>
      <c r="J682" s="1290">
        <v>0</v>
      </c>
      <c r="K682" s="1545"/>
      <c r="L682" s="1027">
        <v>0</v>
      </c>
      <c r="M682" s="58"/>
      <c r="O682" s="50"/>
      <c r="P682" s="50"/>
    </row>
    <row r="683" spans="1:18" x14ac:dyDescent="0.2">
      <c r="A683" s="835">
        <v>713</v>
      </c>
      <c r="B683" s="835" t="s">
        <v>111</v>
      </c>
      <c r="C683" s="835" t="s">
        <v>876</v>
      </c>
      <c r="D683" s="1027"/>
      <c r="E683" s="1027"/>
      <c r="F683" s="1319">
        <v>2404</v>
      </c>
      <c r="G683" s="1027"/>
      <c r="H683" s="1028"/>
      <c r="I683" s="1319">
        <v>0</v>
      </c>
      <c r="J683" s="1290">
        <v>0</v>
      </c>
      <c r="K683" s="1545"/>
      <c r="L683" s="1027"/>
      <c r="M683" s="58"/>
      <c r="O683" s="50"/>
      <c r="P683" s="50"/>
    </row>
    <row r="684" spans="1:18" x14ac:dyDescent="0.2">
      <c r="A684" s="835"/>
      <c r="B684" s="835"/>
      <c r="C684" s="1308" t="s">
        <v>877</v>
      </c>
      <c r="D684" s="1027"/>
      <c r="E684" s="1027"/>
      <c r="F684" s="1518">
        <v>1800</v>
      </c>
      <c r="G684" s="1027"/>
      <c r="H684" s="1028"/>
      <c r="I684" s="1518">
        <v>0</v>
      </c>
      <c r="J684" s="1309">
        <v>0</v>
      </c>
      <c r="K684" s="1545"/>
      <c r="L684" s="1027"/>
      <c r="M684" s="58"/>
      <c r="O684" s="50"/>
      <c r="P684" s="50"/>
    </row>
    <row r="685" spans="1:18" x14ac:dyDescent="0.2">
      <c r="A685" s="835">
        <v>714</v>
      </c>
      <c r="B685" s="835" t="s">
        <v>94</v>
      </c>
      <c r="C685" s="835" t="s">
        <v>879</v>
      </c>
      <c r="D685" s="1027"/>
      <c r="E685" s="1027"/>
      <c r="F685" s="1319">
        <v>7900</v>
      </c>
      <c r="G685" s="1027"/>
      <c r="H685" s="1028"/>
      <c r="I685" s="1319">
        <v>0</v>
      </c>
      <c r="J685" s="1290">
        <v>0</v>
      </c>
      <c r="K685" s="1545"/>
      <c r="L685" s="1027"/>
      <c r="M685" s="58"/>
      <c r="O685" s="50"/>
      <c r="P685" s="50"/>
    </row>
    <row r="686" spans="1:18" x14ac:dyDescent="0.2">
      <c r="A686" s="1062">
        <v>713</v>
      </c>
      <c r="B686" s="1062" t="s">
        <v>111</v>
      </c>
      <c r="C686" s="1062" t="s">
        <v>612</v>
      </c>
      <c r="D686" s="1690">
        <v>10000</v>
      </c>
      <c r="E686" s="1690"/>
      <c r="F686" s="1319">
        <v>0</v>
      </c>
      <c r="G686" s="1690">
        <v>0</v>
      </c>
      <c r="H686" s="1263">
        <v>0</v>
      </c>
      <c r="I686" s="1319">
        <v>0</v>
      </c>
      <c r="J686" s="1290">
        <v>0</v>
      </c>
      <c r="K686" s="1545"/>
      <c r="L686" s="1690">
        <v>0</v>
      </c>
      <c r="M686" s="483"/>
      <c r="N686" s="477"/>
      <c r="O686" s="482"/>
      <c r="P686" s="482"/>
      <c r="Q686" s="477"/>
    </row>
    <row r="687" spans="1:18" s="33" customFormat="1" hidden="1" x14ac:dyDescent="0.2">
      <c r="A687" s="1031"/>
      <c r="B687" s="1031"/>
      <c r="C687" s="1031"/>
      <c r="D687" s="1054"/>
      <c r="E687" s="1054"/>
      <c r="F687" s="1251"/>
      <c r="G687" s="1054"/>
      <c r="H687" s="1054"/>
      <c r="I687" s="1054"/>
      <c r="J687" s="1290"/>
      <c r="K687" s="1054"/>
      <c r="L687" s="1054"/>
      <c r="M687" s="58"/>
      <c r="N687" s="20"/>
      <c r="O687" s="20"/>
      <c r="P687" s="50"/>
      <c r="Q687" s="20"/>
      <c r="R687" s="16"/>
    </row>
    <row r="688" spans="1:18" s="33" customFormat="1" x14ac:dyDescent="0.2">
      <c r="A688" s="1061" t="s">
        <v>275</v>
      </c>
      <c r="B688" s="1061" t="s">
        <v>274</v>
      </c>
      <c r="C688" s="1061"/>
      <c r="D688" s="1055">
        <f>D689</f>
        <v>2100</v>
      </c>
      <c r="E688" s="1055">
        <f>E689+E690+E692</f>
        <v>83004</v>
      </c>
      <c r="F688" s="1281">
        <f>F689+F690+F692</f>
        <v>15895</v>
      </c>
      <c r="G688" s="1055">
        <f>SUM(G689:G692)</f>
        <v>0</v>
      </c>
      <c r="H688" s="1691">
        <f>H689+H690+H692</f>
        <v>0</v>
      </c>
      <c r="I688" s="1691">
        <f>I689+I690+I692</f>
        <v>0</v>
      </c>
      <c r="J688" s="1301">
        <f>J689+J690+J692</f>
        <v>0</v>
      </c>
      <c r="K688" s="1055">
        <f>SUM(K689:K695)</f>
        <v>0</v>
      </c>
      <c r="L688" s="1055">
        <f>SUM(L689:L695)</f>
        <v>0</v>
      </c>
      <c r="M688" s="58"/>
      <c r="N688" s="20"/>
      <c r="O688" s="20"/>
      <c r="P688" s="50"/>
      <c r="Q688" s="20"/>
      <c r="R688" s="16"/>
    </row>
    <row r="689" spans="1:18" s="33" customFormat="1" x14ac:dyDescent="0.2">
      <c r="A689" s="1031">
        <v>717</v>
      </c>
      <c r="B689" s="1031" t="s">
        <v>97</v>
      </c>
      <c r="C689" s="1031" t="s">
        <v>865</v>
      </c>
      <c r="D689" s="1027">
        <v>2100</v>
      </c>
      <c r="E689" s="1028"/>
      <c r="F689" s="1028">
        <v>15895</v>
      </c>
      <c r="G689" s="1027">
        <v>0</v>
      </c>
      <c r="H689" s="1028">
        <v>0</v>
      </c>
      <c r="I689" s="1028">
        <v>0</v>
      </c>
      <c r="J689" s="1290">
        <v>0</v>
      </c>
      <c r="K689" s="1545"/>
      <c r="L689" s="1027"/>
      <c r="M689" s="58"/>
      <c r="N689" s="20"/>
      <c r="O689" s="20"/>
      <c r="P689" s="50"/>
      <c r="Q689" s="20"/>
      <c r="R689" s="16"/>
    </row>
    <row r="690" spans="1:18" s="33" customFormat="1" x14ac:dyDescent="0.2">
      <c r="A690" s="1031">
        <v>717</v>
      </c>
      <c r="B690" s="1031"/>
      <c r="C690" s="1031" t="s">
        <v>784</v>
      </c>
      <c r="D690" s="1054"/>
      <c r="E690" s="1274">
        <v>41779</v>
      </c>
      <c r="F690" s="1274">
        <v>0</v>
      </c>
      <c r="G690" s="1027">
        <v>0</v>
      </c>
      <c r="H690" s="1274">
        <v>0</v>
      </c>
      <c r="I690" s="1274">
        <v>0</v>
      </c>
      <c r="J690" s="1290">
        <v>0</v>
      </c>
      <c r="K690" s="1545"/>
      <c r="L690" s="1027"/>
      <c r="M690" s="58"/>
      <c r="N690" s="20"/>
      <c r="O690" s="20"/>
      <c r="P690" s="50"/>
      <c r="Q690" s="20"/>
      <c r="R690" s="16"/>
    </row>
    <row r="691" spans="1:18" s="33" customFormat="1" x14ac:dyDescent="0.2">
      <c r="A691" s="1031"/>
      <c r="B691" s="1031"/>
      <c r="C691" s="1307" t="s">
        <v>847</v>
      </c>
      <c r="D691" s="1054"/>
      <c r="E691" s="1274"/>
      <c r="F691" s="1274"/>
      <c r="G691" s="1027">
        <v>0</v>
      </c>
      <c r="H691" s="1274"/>
      <c r="I691" s="1274"/>
      <c r="J691" s="1290"/>
      <c r="K691" s="1545"/>
      <c r="L691" s="1027"/>
      <c r="M691" s="58"/>
      <c r="N691" s="20"/>
      <c r="O691" s="20"/>
      <c r="P691" s="50"/>
      <c r="Q691" s="20"/>
      <c r="R691" s="16"/>
    </row>
    <row r="692" spans="1:18" s="33" customFormat="1" x14ac:dyDescent="0.2">
      <c r="A692" s="1031"/>
      <c r="B692" s="1031"/>
      <c r="C692" s="1236" t="s">
        <v>828</v>
      </c>
      <c r="D692" s="1054"/>
      <c r="E692" s="1275">
        <v>41225</v>
      </c>
      <c r="F692" s="1275">
        <v>0</v>
      </c>
      <c r="G692" s="1692">
        <v>0</v>
      </c>
      <c r="H692" s="1275">
        <v>0</v>
      </c>
      <c r="I692" s="1275">
        <v>0</v>
      </c>
      <c r="J692" s="1290">
        <v>0</v>
      </c>
      <c r="K692" s="1579"/>
      <c r="L692" s="1054"/>
      <c r="M692" s="58"/>
      <c r="N692" s="20"/>
      <c r="O692" s="20"/>
      <c r="P692" s="50"/>
      <c r="Q692" s="20"/>
      <c r="R692" s="16"/>
    </row>
    <row r="693" spans="1:18" s="33" customFormat="1" x14ac:dyDescent="0.2">
      <c r="A693" s="1693" t="s">
        <v>690</v>
      </c>
      <c r="B693" s="1061" t="s">
        <v>691</v>
      </c>
      <c r="C693" s="1061"/>
      <c r="D693" s="1055">
        <f t="shared" ref="D693:J693" si="99">SUM(D694)</f>
        <v>1000</v>
      </c>
      <c r="E693" s="1055">
        <f t="shared" si="99"/>
        <v>0</v>
      </c>
      <c r="F693" s="1280">
        <f t="shared" si="99"/>
        <v>0</v>
      </c>
      <c r="G693" s="1055">
        <f t="shared" si="99"/>
        <v>0</v>
      </c>
      <c r="H693" s="1055">
        <f t="shared" si="99"/>
        <v>0</v>
      </c>
      <c r="I693" s="1055">
        <f t="shared" si="99"/>
        <v>0</v>
      </c>
      <c r="J693" s="1297">
        <f t="shared" si="99"/>
        <v>0</v>
      </c>
      <c r="K693" s="1055">
        <v>0</v>
      </c>
      <c r="L693" s="1055">
        <v>0</v>
      </c>
      <c r="M693" s="58"/>
      <c r="N693" s="20"/>
      <c r="O693" s="20"/>
      <c r="P693" s="50"/>
      <c r="Q693" s="20"/>
      <c r="R693" s="16"/>
    </row>
    <row r="694" spans="1:18" s="33" customFormat="1" x14ac:dyDescent="0.2">
      <c r="A694" s="835">
        <v>713</v>
      </c>
      <c r="B694" s="835" t="s">
        <v>111</v>
      </c>
      <c r="C694" s="835" t="s">
        <v>692</v>
      </c>
      <c r="D694" s="1033">
        <v>1000</v>
      </c>
      <c r="E694" s="1033"/>
      <c r="F694" s="1087">
        <v>0</v>
      </c>
      <c r="G694" s="1033">
        <v>0</v>
      </c>
      <c r="H694" s="1087">
        <v>0</v>
      </c>
      <c r="I694" s="1087">
        <v>0</v>
      </c>
      <c r="J694" s="1290">
        <v>0</v>
      </c>
      <c r="K694" s="1545"/>
      <c r="L694" s="1033">
        <v>0</v>
      </c>
      <c r="M694" s="58"/>
      <c r="N694" s="20"/>
      <c r="O694" s="20"/>
      <c r="P694" s="50"/>
      <c r="Q694" s="20"/>
      <c r="R694" s="16"/>
    </row>
    <row r="695" spans="1:18" s="92" customFormat="1" ht="11.25" x14ac:dyDescent="0.2">
      <c r="A695" s="2075" t="s">
        <v>613</v>
      </c>
      <c r="B695" s="2075"/>
      <c r="C695" s="2075"/>
      <c r="D695" s="1055">
        <f>SUM(D696:D698)</f>
        <v>0</v>
      </c>
      <c r="E695" s="1055">
        <f>E698+E696</f>
        <v>28641</v>
      </c>
      <c r="F695" s="1280">
        <f>F698</f>
        <v>0</v>
      </c>
      <c r="G695" s="1055">
        <f>G696+G698</f>
        <v>0</v>
      </c>
      <c r="H695" s="1055">
        <v>0</v>
      </c>
      <c r="I695" s="1055">
        <v>0</v>
      </c>
      <c r="J695" s="1297">
        <v>0</v>
      </c>
      <c r="K695" s="1055">
        <v>0</v>
      </c>
      <c r="L695" s="1055">
        <v>0</v>
      </c>
      <c r="M695" s="59"/>
      <c r="N695" s="501"/>
      <c r="O695" s="501"/>
      <c r="P695" s="501"/>
      <c r="Q695" s="501"/>
    </row>
    <row r="696" spans="1:18" s="33" customFormat="1" x14ac:dyDescent="0.2">
      <c r="A696" s="1031">
        <v>717</v>
      </c>
      <c r="B696" s="1031" t="s">
        <v>97</v>
      </c>
      <c r="C696" s="1031" t="s">
        <v>772</v>
      </c>
      <c r="D696" s="1027">
        <v>0</v>
      </c>
      <c r="E696" s="1028"/>
      <c r="F696" s="1028"/>
      <c r="G696" s="1028">
        <v>0</v>
      </c>
      <c r="H696" s="1028"/>
      <c r="I696" s="1028"/>
      <c r="J696" s="1290"/>
      <c r="K696" s="1545"/>
      <c r="L696" s="1027"/>
      <c r="M696" s="58"/>
      <c r="N696" s="20"/>
      <c r="O696" s="509"/>
      <c r="P696" s="50"/>
      <c r="Q696" s="20"/>
      <c r="R696" s="16"/>
    </row>
    <row r="697" spans="1:18" hidden="1" x14ac:dyDescent="0.2">
      <c r="A697" s="1031"/>
      <c r="B697" s="1031"/>
      <c r="C697" s="1031"/>
      <c r="D697" s="1054"/>
      <c r="E697" s="1054"/>
      <c r="F697" s="1251"/>
      <c r="G697" s="1054"/>
      <c r="H697" s="1251"/>
      <c r="I697" s="1251"/>
      <c r="J697" s="1290"/>
      <c r="K697" s="1545"/>
      <c r="L697" s="1054"/>
      <c r="M697" s="58"/>
      <c r="P697" s="50"/>
    </row>
    <row r="698" spans="1:18" x14ac:dyDescent="0.2">
      <c r="A698" s="1031">
        <v>716</v>
      </c>
      <c r="B698" s="1031"/>
      <c r="C698" s="1031" t="s">
        <v>848</v>
      </c>
      <c r="D698" s="1027"/>
      <c r="E698" s="1027">
        <v>28641</v>
      </c>
      <c r="F698" s="1028">
        <v>0</v>
      </c>
      <c r="G698" s="1027">
        <v>0</v>
      </c>
      <c r="H698" s="1028"/>
      <c r="I698" s="1028"/>
      <c r="J698" s="1290"/>
      <c r="K698" s="1545"/>
      <c r="L698" s="1027"/>
      <c r="M698" s="58"/>
      <c r="P698" s="50"/>
    </row>
    <row r="699" spans="1:18" s="92" customFormat="1" ht="11.25" x14ac:dyDescent="0.2">
      <c r="A699" s="1063" t="s">
        <v>614</v>
      </c>
      <c r="B699" s="1063"/>
      <c r="C699" s="1063"/>
      <c r="D699" s="1055">
        <f>D700</f>
        <v>0</v>
      </c>
      <c r="E699" s="1055">
        <f>SUM(E700)</f>
        <v>0</v>
      </c>
      <c r="F699" s="1280">
        <f>F700</f>
        <v>0</v>
      </c>
      <c r="G699" s="1055">
        <f>SUM(G700)</f>
        <v>0</v>
      </c>
      <c r="H699" s="1055">
        <f>H700</f>
        <v>0</v>
      </c>
      <c r="I699" s="1055">
        <f>I700</f>
        <v>0</v>
      </c>
      <c r="J699" s="1297">
        <f>J700</f>
        <v>0</v>
      </c>
      <c r="K699" s="1055">
        <v>0</v>
      </c>
      <c r="L699" s="1055">
        <v>0</v>
      </c>
      <c r="M699" s="59"/>
      <c r="N699" s="501"/>
      <c r="O699" s="501"/>
      <c r="P699" s="501"/>
      <c r="Q699" s="501"/>
    </row>
    <row r="700" spans="1:18" x14ac:dyDescent="0.2">
      <c r="A700" s="1031">
        <v>717</v>
      </c>
      <c r="B700" s="1031" t="s">
        <v>94</v>
      </c>
      <c r="C700" s="1031" t="s">
        <v>615</v>
      </c>
      <c r="D700" s="1027">
        <v>0</v>
      </c>
      <c r="E700" s="1027">
        <v>0</v>
      </c>
      <c r="F700" s="1028">
        <v>0</v>
      </c>
      <c r="G700" s="1027">
        <v>0</v>
      </c>
      <c r="H700" s="1028">
        <v>0</v>
      </c>
      <c r="I700" s="1028">
        <v>0</v>
      </c>
      <c r="J700" s="1290">
        <v>0</v>
      </c>
      <c r="K700" s="1054"/>
      <c r="L700" s="1054"/>
      <c r="M700" s="58"/>
      <c r="N700" s="48"/>
      <c r="P700" s="50"/>
    </row>
    <row r="701" spans="1:18" s="33" customFormat="1" hidden="1" x14ac:dyDescent="0.2">
      <c r="A701" s="1031"/>
      <c r="B701" s="1031"/>
      <c r="C701" s="1031"/>
      <c r="D701" s="1054"/>
      <c r="E701" s="1054"/>
      <c r="F701" s="1251"/>
      <c r="G701" s="1054"/>
      <c r="H701" s="1054"/>
      <c r="I701" s="1054"/>
      <c r="J701" s="1290"/>
      <c r="K701" s="1054"/>
      <c r="L701" s="1054"/>
      <c r="M701" s="58"/>
      <c r="N701" s="48"/>
      <c r="O701" s="20"/>
      <c r="P701" s="50"/>
      <c r="Q701" s="20"/>
      <c r="R701" s="16"/>
    </row>
    <row r="702" spans="1:18" s="552" customFormat="1" ht="11.25" x14ac:dyDescent="0.2">
      <c r="A702" s="1061" t="s">
        <v>307</v>
      </c>
      <c r="B702" s="1061" t="s">
        <v>308</v>
      </c>
      <c r="C702" s="1061"/>
      <c r="D702" s="1055">
        <f>SUM(D703:D708)</f>
        <v>0</v>
      </c>
      <c r="E702" s="1055">
        <f>E703+E704+E705+E707+E708</f>
        <v>0</v>
      </c>
      <c r="F702" s="1280">
        <f>SUM(F703:F708)</f>
        <v>0</v>
      </c>
      <c r="G702" s="1055">
        <f>G703+G704+G705+G707+G708</f>
        <v>88920</v>
      </c>
      <c r="H702" s="1055">
        <f>SUM(H703:H708)-H706</f>
        <v>0</v>
      </c>
      <c r="I702" s="1055">
        <f>SUM(I703:I708)-I706</f>
        <v>5040</v>
      </c>
      <c r="J702" s="1297">
        <f>J703+J704+J705+J707+J708</f>
        <v>0</v>
      </c>
      <c r="K702" s="1055">
        <f>SUM(K703:K708)</f>
        <v>0</v>
      </c>
      <c r="L702" s="1055">
        <f>SUM(L703:L708)</f>
        <v>0</v>
      </c>
      <c r="M702" s="59"/>
      <c r="N702" s="501"/>
      <c r="O702" s="59"/>
      <c r="P702" s="501"/>
      <c r="Q702" s="501"/>
      <c r="R702" s="92"/>
    </row>
    <row r="703" spans="1:18" s="33" customFormat="1" x14ac:dyDescent="0.2">
      <c r="A703" s="1064">
        <v>717</v>
      </c>
      <c r="B703" s="1064" t="s">
        <v>94</v>
      </c>
      <c r="C703" s="1064" t="s">
        <v>544</v>
      </c>
      <c r="D703" s="1059">
        <v>0</v>
      </c>
      <c r="E703" s="1059">
        <v>0</v>
      </c>
      <c r="F703" s="1268">
        <v>0</v>
      </c>
      <c r="G703" s="1319">
        <v>0</v>
      </c>
      <c r="H703" s="1268">
        <v>0</v>
      </c>
      <c r="I703" s="1268">
        <v>0</v>
      </c>
      <c r="J703" s="1290">
        <v>0</v>
      </c>
      <c r="K703" s="1027">
        <v>0</v>
      </c>
      <c r="L703" s="1027">
        <v>0</v>
      </c>
      <c r="M703" s="490"/>
      <c r="N703" s="20"/>
      <c r="O703" s="490"/>
      <c r="P703" s="509"/>
      <c r="Q703" s="20"/>
      <c r="R703" s="16"/>
    </row>
    <row r="704" spans="1:18" s="33" customFormat="1" x14ac:dyDescent="0.2">
      <c r="A704" s="1031">
        <v>717</v>
      </c>
      <c r="B704" s="1031" t="s">
        <v>94</v>
      </c>
      <c r="C704" s="1031" t="s">
        <v>544</v>
      </c>
      <c r="D704" s="1027">
        <v>0</v>
      </c>
      <c r="E704" s="1027">
        <v>0</v>
      </c>
      <c r="F704" s="1028">
        <v>0</v>
      </c>
      <c r="G704" s="1319">
        <v>0</v>
      </c>
      <c r="H704" s="1028">
        <v>0</v>
      </c>
      <c r="I704" s="1028">
        <v>0</v>
      </c>
      <c r="J704" s="1290">
        <v>0</v>
      </c>
      <c r="K704" s="1027">
        <v>0</v>
      </c>
      <c r="L704" s="1027">
        <v>0</v>
      </c>
      <c r="M704" s="490"/>
      <c r="N704" s="20"/>
      <c r="O704" s="490"/>
      <c r="P704" s="509"/>
      <c r="Q704" s="20"/>
      <c r="R704" s="16"/>
    </row>
    <row r="705" spans="1:18" s="33" customFormat="1" x14ac:dyDescent="0.2">
      <c r="A705" s="1031">
        <v>713</v>
      </c>
      <c r="B705" s="1031" t="s">
        <v>111</v>
      </c>
      <c r="C705" s="1031" t="s">
        <v>456</v>
      </c>
      <c r="D705" s="1027">
        <v>0</v>
      </c>
      <c r="E705" s="1027">
        <v>0</v>
      </c>
      <c r="F705" s="1028">
        <v>0</v>
      </c>
      <c r="G705" s="1319">
        <v>88920</v>
      </c>
      <c r="H705" s="1028">
        <v>0</v>
      </c>
      <c r="I705" s="1028">
        <v>0</v>
      </c>
      <c r="J705" s="1290">
        <v>0</v>
      </c>
      <c r="K705" s="1027">
        <v>0</v>
      </c>
      <c r="L705" s="1027">
        <v>0</v>
      </c>
      <c r="M705" s="490"/>
      <c r="N705" s="20"/>
      <c r="O705" s="490"/>
      <c r="P705" s="509"/>
      <c r="Q705" s="20"/>
      <c r="R705" s="16"/>
    </row>
    <row r="706" spans="1:18" s="1333" customFormat="1" x14ac:dyDescent="0.2">
      <c r="A706" s="1326"/>
      <c r="B706" s="1326"/>
      <c r="C706" s="1326" t="s">
        <v>905</v>
      </c>
      <c r="D706" s="1327"/>
      <c r="E706" s="1327"/>
      <c r="F706" s="1328"/>
      <c r="G706" s="1518">
        <v>79686</v>
      </c>
      <c r="H706" s="1324">
        <v>0</v>
      </c>
      <c r="I706" s="1324">
        <v>0</v>
      </c>
      <c r="J706" s="1309">
        <v>0</v>
      </c>
      <c r="K706" s="1327"/>
      <c r="L706" s="1327"/>
      <c r="M706" s="1329"/>
      <c r="N706" s="1330"/>
      <c r="O706" s="1329"/>
      <c r="P706" s="1331"/>
      <c r="Q706" s="1330"/>
      <c r="R706" s="1332"/>
    </row>
    <row r="707" spans="1:18" s="33" customFormat="1" x14ac:dyDescent="0.2">
      <c r="A707" s="1031">
        <v>717</v>
      </c>
      <c r="B707" s="1031" t="s">
        <v>94</v>
      </c>
      <c r="C707" s="1031" t="s">
        <v>665</v>
      </c>
      <c r="D707" s="1027">
        <v>0</v>
      </c>
      <c r="E707" s="1027">
        <v>0</v>
      </c>
      <c r="F707" s="1028">
        <v>0</v>
      </c>
      <c r="G707" s="1319">
        <v>0</v>
      </c>
      <c r="H707" s="1028">
        <v>0</v>
      </c>
      <c r="I707" s="1028">
        <v>5040</v>
      </c>
      <c r="J707" s="1290">
        <v>0</v>
      </c>
      <c r="K707" s="1027">
        <v>0</v>
      </c>
      <c r="L707" s="1027">
        <v>0</v>
      </c>
      <c r="M707" s="490"/>
      <c r="N707" s="20"/>
      <c r="O707" s="490"/>
      <c r="P707" s="509"/>
      <c r="Q707" s="20"/>
      <c r="R707" s="16"/>
    </row>
    <row r="708" spans="1:18" s="33" customFormat="1" x14ac:dyDescent="0.2">
      <c r="A708" s="1031">
        <v>717</v>
      </c>
      <c r="B708" s="1031" t="s">
        <v>94</v>
      </c>
      <c r="C708" s="1031" t="s">
        <v>665</v>
      </c>
      <c r="D708" s="1027">
        <v>0</v>
      </c>
      <c r="E708" s="1027">
        <v>0</v>
      </c>
      <c r="F708" s="1028">
        <v>0</v>
      </c>
      <c r="G708" s="1319">
        <v>0</v>
      </c>
      <c r="H708" s="1028">
        <v>0</v>
      </c>
      <c r="I708" s="1028">
        <v>0</v>
      </c>
      <c r="J708" s="1290">
        <v>0</v>
      </c>
      <c r="K708" s="1027">
        <v>0</v>
      </c>
      <c r="L708" s="1027">
        <v>0</v>
      </c>
      <c r="M708" s="490"/>
      <c r="N708" s="20"/>
      <c r="O708" s="490"/>
      <c r="P708" s="509"/>
      <c r="Q708" s="20"/>
      <c r="R708" s="16"/>
    </row>
    <row r="709" spans="1:18" s="33" customFormat="1" hidden="1" x14ac:dyDescent="0.2">
      <c r="A709" s="1031"/>
      <c r="B709" s="1031"/>
      <c r="C709" s="1031"/>
      <c r="D709" s="1056"/>
      <c r="E709" s="1056"/>
      <c r="F709" s="1276"/>
      <c r="G709" s="1056"/>
      <c r="H709" s="1056"/>
      <c r="I709" s="1056"/>
      <c r="J709" s="1290"/>
      <c r="K709" s="1056"/>
      <c r="L709" s="1056"/>
      <c r="M709" s="490"/>
      <c r="N709" s="20"/>
      <c r="O709" s="490"/>
      <c r="P709" s="509"/>
      <c r="Q709" s="20"/>
      <c r="R709" s="16"/>
    </row>
    <row r="710" spans="1:18" s="33" customFormat="1" x14ac:dyDescent="0.2">
      <c r="A710" s="1061" t="s">
        <v>313</v>
      </c>
      <c r="B710" s="1061" t="s">
        <v>312</v>
      </c>
      <c r="C710" s="1061"/>
      <c r="D710" s="1055">
        <f>D711+D712</f>
        <v>3452466</v>
      </c>
      <c r="E710" s="1055">
        <f>E711+E712+E714</f>
        <v>2755994</v>
      </c>
      <c r="F710" s="1280">
        <f>F711+F712+F714</f>
        <v>3242</v>
      </c>
      <c r="G710" s="1055">
        <f>G711+G712+G714</f>
        <v>0</v>
      </c>
      <c r="H710" s="1055">
        <f>H711+H712</f>
        <v>0</v>
      </c>
      <c r="I710" s="1055">
        <f>I711+I712</f>
        <v>4341</v>
      </c>
      <c r="J710" s="1300">
        <f>J711+J712</f>
        <v>0</v>
      </c>
      <c r="K710" s="1055">
        <f>K711+K712</f>
        <v>0</v>
      </c>
      <c r="L710" s="1055">
        <f>L711+L712</f>
        <v>0</v>
      </c>
      <c r="M710" s="490"/>
      <c r="N710" s="20"/>
      <c r="O710" s="490"/>
      <c r="P710" s="509"/>
      <c r="Q710" s="20"/>
      <c r="R710" s="16"/>
    </row>
    <row r="711" spans="1:18" s="33" customFormat="1" x14ac:dyDescent="0.2">
      <c r="A711" s="1031">
        <v>717</v>
      </c>
      <c r="B711" s="1031" t="s">
        <v>94</v>
      </c>
      <c r="C711" s="1031" t="s">
        <v>615</v>
      </c>
      <c r="D711" s="1027">
        <v>0</v>
      </c>
      <c r="E711" s="1028"/>
      <c r="F711" s="1028"/>
      <c r="G711" s="1027">
        <v>0</v>
      </c>
      <c r="H711" s="1028"/>
      <c r="I711" s="1319"/>
      <c r="J711" s="1290"/>
      <c r="K711" s="1545"/>
      <c r="L711" s="1027"/>
      <c r="M711" s="490"/>
      <c r="N711" s="20"/>
      <c r="O711" s="490"/>
      <c r="P711" s="509"/>
      <c r="Q711" s="20"/>
      <c r="R711" s="16"/>
    </row>
    <row r="712" spans="1:18" s="33" customFormat="1" x14ac:dyDescent="0.2">
      <c r="A712" s="1031">
        <v>717</v>
      </c>
      <c r="B712" s="1031" t="s">
        <v>94</v>
      </c>
      <c r="C712" s="1031" t="s">
        <v>693</v>
      </c>
      <c r="D712" s="1027">
        <v>3452466</v>
      </c>
      <c r="E712" s="1028">
        <v>2753708</v>
      </c>
      <c r="F712" s="1028">
        <v>3242</v>
      </c>
      <c r="G712" s="1027">
        <v>0</v>
      </c>
      <c r="H712" s="1028">
        <v>0</v>
      </c>
      <c r="I712" s="1319">
        <v>4341</v>
      </c>
      <c r="J712" s="1290">
        <v>0</v>
      </c>
      <c r="K712" s="1545"/>
      <c r="L712" s="1027"/>
      <c r="M712" s="490"/>
      <c r="N712" s="20"/>
      <c r="O712" s="490"/>
      <c r="P712" s="509"/>
      <c r="Q712" s="20"/>
      <c r="R712" s="16"/>
    </row>
    <row r="713" spans="1:18" s="33" customFormat="1" x14ac:dyDescent="0.2">
      <c r="A713" s="1031"/>
      <c r="B713" s="1031"/>
      <c r="C713" s="1187" t="s">
        <v>771</v>
      </c>
      <c r="D713" s="1621">
        <v>2393188.44</v>
      </c>
      <c r="E713" s="1271"/>
      <c r="F713" s="1271"/>
      <c r="G713" s="1621">
        <v>0</v>
      </c>
      <c r="H713" s="1271">
        <v>0</v>
      </c>
      <c r="I713" s="1319">
        <v>0</v>
      </c>
      <c r="J713" s="1290">
        <v>0</v>
      </c>
      <c r="K713" s="1579"/>
      <c r="L713" s="1621"/>
      <c r="M713" s="490"/>
      <c r="N713" s="20"/>
      <c r="O713" s="490"/>
      <c r="P713" s="509"/>
      <c r="Q713" s="20"/>
      <c r="R713" s="16"/>
    </row>
    <row r="714" spans="1:18" s="33" customFormat="1" x14ac:dyDescent="0.2">
      <c r="A714" s="1031">
        <v>713</v>
      </c>
      <c r="B714" s="1031" t="s">
        <v>111</v>
      </c>
      <c r="C714" s="1031" t="s">
        <v>822</v>
      </c>
      <c r="D714" s="1581"/>
      <c r="E714" s="1090">
        <v>2286</v>
      </c>
      <c r="F714" s="1090">
        <v>0</v>
      </c>
      <c r="G714" s="1033">
        <v>0</v>
      </c>
      <c r="H714" s="1090"/>
      <c r="I714" s="1319"/>
      <c r="J714" s="1290"/>
      <c r="K714" s="1545"/>
      <c r="L714" s="1027"/>
      <c r="M714" s="490"/>
      <c r="N714" s="20"/>
      <c r="O714" s="490"/>
      <c r="P714" s="509"/>
      <c r="Q714" s="20"/>
      <c r="R714" s="16"/>
    </row>
    <row r="715" spans="1:18" s="92" customFormat="1" ht="11.25" x14ac:dyDescent="0.2">
      <c r="A715" s="1061" t="s">
        <v>616</v>
      </c>
      <c r="B715" s="1061"/>
      <c r="C715" s="1061"/>
      <c r="D715" s="1055">
        <f t="shared" ref="D715:K715" si="100">SUM(D716,D717,D718,D719,D720,D722)+D721</f>
        <v>2200</v>
      </c>
      <c r="E715" s="1055">
        <f t="shared" si="100"/>
        <v>0</v>
      </c>
      <c r="F715" s="1280">
        <f t="shared" si="100"/>
        <v>0</v>
      </c>
      <c r="G715" s="1055">
        <f t="shared" si="100"/>
        <v>14388</v>
      </c>
      <c r="H715" s="1055">
        <f t="shared" si="100"/>
        <v>0</v>
      </c>
      <c r="I715" s="1055">
        <f>SUM(I716,I717,I718,I719,I720,I722)+I721</f>
        <v>21068</v>
      </c>
      <c r="J715" s="1300">
        <f>SUM(J716,J717,J718,J719,J720,J722)+J721</f>
        <v>0</v>
      </c>
      <c r="K715" s="1055">
        <f t="shared" si="100"/>
        <v>0</v>
      </c>
      <c r="L715" s="1055">
        <f>SUM(L716:L722)</f>
        <v>0</v>
      </c>
      <c r="M715" s="59"/>
      <c r="N715" s="501"/>
      <c r="O715" s="59"/>
      <c r="P715" s="59"/>
      <c r="Q715" s="59"/>
    </row>
    <row r="716" spans="1:18" s="33" customFormat="1" x14ac:dyDescent="0.2">
      <c r="A716" s="1031">
        <v>717</v>
      </c>
      <c r="B716" s="1031" t="s">
        <v>94</v>
      </c>
      <c r="C716" s="1031" t="s">
        <v>849</v>
      </c>
      <c r="D716" s="1027">
        <v>0</v>
      </c>
      <c r="E716" s="1027">
        <v>0</v>
      </c>
      <c r="F716" s="1028">
        <v>0</v>
      </c>
      <c r="G716" s="1319">
        <v>14388</v>
      </c>
      <c r="H716" s="1028">
        <v>0</v>
      </c>
      <c r="I716" s="1028">
        <v>14000</v>
      </c>
      <c r="J716" s="1290">
        <v>0</v>
      </c>
      <c r="K716" s="1590">
        <v>0</v>
      </c>
      <c r="L716" s="1027">
        <v>0</v>
      </c>
      <c r="M716" s="58"/>
      <c r="N716" s="20"/>
      <c r="O716" s="50"/>
      <c r="P716" s="50"/>
      <c r="Q716" s="50"/>
    </row>
    <row r="717" spans="1:18" x14ac:dyDescent="0.2">
      <c r="A717" s="1031">
        <v>716</v>
      </c>
      <c r="B717" s="1031"/>
      <c r="C717" s="1031" t="s">
        <v>328</v>
      </c>
      <c r="D717" s="1027">
        <v>2200</v>
      </c>
      <c r="E717" s="1027">
        <v>0</v>
      </c>
      <c r="F717" s="1028">
        <v>0</v>
      </c>
      <c r="G717" s="1319">
        <v>0</v>
      </c>
      <c r="H717" s="1028">
        <v>0</v>
      </c>
      <c r="I717" s="1028">
        <v>0</v>
      </c>
      <c r="J717" s="1290">
        <v>0</v>
      </c>
      <c r="K717" s="1590"/>
      <c r="L717" s="1027"/>
      <c r="M717" s="58"/>
      <c r="N717" s="48"/>
      <c r="O717" s="58"/>
      <c r="P717" s="50"/>
      <c r="Q717" s="50"/>
    </row>
    <row r="718" spans="1:18" x14ac:dyDescent="0.2">
      <c r="A718" s="1031">
        <v>717</v>
      </c>
      <c r="B718" s="1031" t="s">
        <v>94</v>
      </c>
      <c r="C718" s="1031" t="s">
        <v>83</v>
      </c>
      <c r="D718" s="1027">
        <v>0</v>
      </c>
      <c r="E718" s="1027">
        <v>0</v>
      </c>
      <c r="F718" s="1028">
        <v>0</v>
      </c>
      <c r="G718" s="1319">
        <v>0</v>
      </c>
      <c r="H718" s="1028">
        <v>0</v>
      </c>
      <c r="I718" s="1028">
        <v>0</v>
      </c>
      <c r="J718" s="1290">
        <v>0</v>
      </c>
      <c r="K718" s="1590">
        <v>0</v>
      </c>
      <c r="L718" s="1027">
        <v>0</v>
      </c>
      <c r="M718" s="58"/>
      <c r="N718" s="48"/>
      <c r="O718" s="50"/>
      <c r="P718" s="50"/>
      <c r="Q718" s="50"/>
    </row>
    <row r="719" spans="1:18" s="33" customFormat="1" x14ac:dyDescent="0.2">
      <c r="A719" s="1031">
        <v>717</v>
      </c>
      <c r="B719" s="1031" t="s">
        <v>94</v>
      </c>
      <c r="C719" s="1031" t="s">
        <v>617</v>
      </c>
      <c r="D719" s="1027">
        <v>0</v>
      </c>
      <c r="E719" s="1027">
        <v>0</v>
      </c>
      <c r="F719" s="1028">
        <v>0</v>
      </c>
      <c r="G719" s="1319">
        <v>0</v>
      </c>
      <c r="H719" s="1028">
        <v>0</v>
      </c>
      <c r="I719" s="1028">
        <v>0</v>
      </c>
      <c r="J719" s="1290">
        <v>0</v>
      </c>
      <c r="K719" s="1590">
        <v>0</v>
      </c>
      <c r="L719" s="1027">
        <v>0</v>
      </c>
      <c r="M719" s="58"/>
      <c r="N719" s="48"/>
      <c r="O719" s="50"/>
      <c r="P719" s="58"/>
      <c r="Q719" s="58"/>
      <c r="R719" s="16"/>
    </row>
    <row r="720" spans="1:18" s="33" customFormat="1" x14ac:dyDescent="0.2">
      <c r="A720" s="1031">
        <v>717</v>
      </c>
      <c r="B720" s="1031" t="s">
        <v>94</v>
      </c>
      <c r="C720" s="1031" t="s">
        <v>666</v>
      </c>
      <c r="D720" s="1027">
        <v>0</v>
      </c>
      <c r="E720" s="1027">
        <v>0</v>
      </c>
      <c r="F720" s="1028">
        <v>0</v>
      </c>
      <c r="G720" s="1319">
        <v>0</v>
      </c>
      <c r="H720" s="1028">
        <v>0</v>
      </c>
      <c r="I720" s="1028">
        <v>0</v>
      </c>
      <c r="J720" s="1290">
        <v>0</v>
      </c>
      <c r="K720" s="1590">
        <v>0</v>
      </c>
      <c r="L720" s="1027">
        <v>0</v>
      </c>
      <c r="M720" s="58"/>
      <c r="N720" s="50"/>
      <c r="O720" s="58"/>
      <c r="P720" s="50"/>
      <c r="Q720" s="50"/>
      <c r="R720" s="16"/>
    </row>
    <row r="721" spans="1:18" s="33" customFormat="1" x14ac:dyDescent="0.2">
      <c r="A721" s="1065">
        <v>717</v>
      </c>
      <c r="B721" s="1065" t="s">
        <v>94</v>
      </c>
      <c r="C721" s="1065" t="s">
        <v>1009</v>
      </c>
      <c r="D721" s="1694">
        <v>0</v>
      </c>
      <c r="E721" s="1694">
        <v>0</v>
      </c>
      <c r="F721" s="1277">
        <v>0</v>
      </c>
      <c r="G721" s="1319">
        <v>0</v>
      </c>
      <c r="H721" s="1277">
        <v>0</v>
      </c>
      <c r="I721" s="1277">
        <v>7068</v>
      </c>
      <c r="J721" s="1290">
        <v>0</v>
      </c>
      <c r="K721" s="1590">
        <v>0</v>
      </c>
      <c r="L721" s="1678">
        <v>0</v>
      </c>
      <c r="M721" s="553"/>
      <c r="N721" s="549"/>
      <c r="O721" s="553"/>
      <c r="P721" s="549"/>
      <c r="Q721" s="549"/>
      <c r="R721" s="16"/>
    </row>
    <row r="722" spans="1:18" s="33" customFormat="1" x14ac:dyDescent="0.2">
      <c r="A722" s="1031">
        <v>717</v>
      </c>
      <c r="B722" s="1031" t="s">
        <v>94</v>
      </c>
      <c r="C722" s="1031" t="s">
        <v>667</v>
      </c>
      <c r="D722" s="1027">
        <v>0</v>
      </c>
      <c r="E722" s="1027">
        <v>0</v>
      </c>
      <c r="F722" s="1028">
        <v>0</v>
      </c>
      <c r="G722" s="1319">
        <v>0</v>
      </c>
      <c r="H722" s="1028">
        <v>0</v>
      </c>
      <c r="I722" s="1028">
        <v>0</v>
      </c>
      <c r="J722" s="1290">
        <v>0</v>
      </c>
      <c r="K722" s="1590">
        <v>0</v>
      </c>
      <c r="L722" s="1027">
        <v>0</v>
      </c>
      <c r="M722" s="58"/>
      <c r="N722" s="50"/>
      <c r="O722" s="50"/>
      <c r="P722" s="50"/>
      <c r="Q722" s="50"/>
      <c r="R722" s="16"/>
    </row>
    <row r="723" spans="1:18" s="41" customFormat="1" hidden="1" x14ac:dyDescent="0.2">
      <c r="A723" s="1570"/>
      <c r="B723" s="1066"/>
      <c r="C723" s="1067"/>
      <c r="D723" s="1060"/>
      <c r="E723" s="1181"/>
      <c r="F723" s="1185"/>
      <c r="G723" s="1181"/>
      <c r="H723" s="1185"/>
      <c r="I723" s="1185"/>
      <c r="J723" s="1299"/>
      <c r="K723" s="1185"/>
      <c r="L723" s="1185"/>
      <c r="M723" s="58"/>
      <c r="N723" s="50"/>
      <c r="O723" s="20"/>
      <c r="P723" s="50"/>
      <c r="Q723" s="20"/>
      <c r="R723" s="16"/>
    </row>
    <row r="724" spans="1:18" s="41" customFormat="1" x14ac:dyDescent="0.2">
      <c r="A724" s="1689" t="s">
        <v>331</v>
      </c>
      <c r="B724" s="1061" t="s">
        <v>330</v>
      </c>
      <c r="C724" s="1061"/>
      <c r="D724" s="1055">
        <f>SUM(D725:D726)</f>
        <v>1450</v>
      </c>
      <c r="E724" s="1055">
        <f t="shared" ref="E724:L724" si="101">E725+E726</f>
        <v>0</v>
      </c>
      <c r="F724" s="1280">
        <f t="shared" si="101"/>
        <v>0</v>
      </c>
      <c r="G724" s="1055">
        <f t="shared" si="101"/>
        <v>0</v>
      </c>
      <c r="H724" s="1055">
        <f t="shared" si="101"/>
        <v>30000</v>
      </c>
      <c r="I724" s="1055">
        <f>I725+I726</f>
        <v>0</v>
      </c>
      <c r="J724" s="1297">
        <f>J725+J726</f>
        <v>0</v>
      </c>
      <c r="K724" s="1055">
        <f t="shared" si="101"/>
        <v>0</v>
      </c>
      <c r="L724" s="1055">
        <f t="shared" si="101"/>
        <v>0</v>
      </c>
      <c r="M724" s="58"/>
      <c r="N724" s="50"/>
      <c r="O724" s="20"/>
      <c r="P724" s="50"/>
      <c r="Q724" s="20"/>
      <c r="R724" s="16"/>
    </row>
    <row r="725" spans="1:18" s="41" customFormat="1" x14ac:dyDescent="0.2">
      <c r="A725" s="1071">
        <v>716</v>
      </c>
      <c r="B725" s="1193"/>
      <c r="C725" s="1093" t="s">
        <v>615</v>
      </c>
      <c r="D725" s="1278">
        <v>1450</v>
      </c>
      <c r="E725" s="1269"/>
      <c r="F725" s="1269"/>
      <c r="G725" s="1278">
        <v>0</v>
      </c>
      <c r="H725" s="1269"/>
      <c r="I725" s="1269"/>
      <c r="J725" s="1290"/>
      <c r="K725" s="1572"/>
      <c r="L725" s="1269"/>
      <c r="M725" s="58"/>
      <c r="N725" s="50"/>
      <c r="O725" s="20"/>
      <c r="P725" s="50"/>
      <c r="Q725" s="20"/>
      <c r="R725" s="16"/>
    </row>
    <row r="726" spans="1:18" s="41" customFormat="1" x14ac:dyDescent="0.2">
      <c r="A726" s="1071">
        <v>717</v>
      </c>
      <c r="B726" s="1193"/>
      <c r="C726" s="1093" t="s">
        <v>785</v>
      </c>
      <c r="D726" s="1269"/>
      <c r="E726" s="1269"/>
      <c r="F726" s="1269"/>
      <c r="G726" s="1278">
        <v>0</v>
      </c>
      <c r="H726" s="1269">
        <v>30000</v>
      </c>
      <c r="I726" s="1269">
        <v>0</v>
      </c>
      <c r="J726" s="1290">
        <v>0</v>
      </c>
      <c r="K726" s="1572"/>
      <c r="L726" s="1269"/>
      <c r="M726" s="58"/>
      <c r="N726" s="50"/>
      <c r="O726" s="20"/>
      <c r="P726" s="50"/>
      <c r="Q726" s="20"/>
      <c r="R726" s="16"/>
    </row>
    <row r="727" spans="1:18" s="41" customFormat="1" x14ac:dyDescent="0.2">
      <c r="A727" s="1061" t="s">
        <v>338</v>
      </c>
      <c r="B727" s="1061" t="s">
        <v>770</v>
      </c>
      <c r="C727" s="1061"/>
      <c r="D727" s="1055">
        <f>SUM(D728:D730)</f>
        <v>18250</v>
      </c>
      <c r="E727" s="1055">
        <f>E728+E729+E730</f>
        <v>0</v>
      </c>
      <c r="F727" s="1280">
        <f>SUM(F728:F734)</f>
        <v>871194</v>
      </c>
      <c r="G727" s="1055">
        <f>G728+G729+G730+G732</f>
        <v>0</v>
      </c>
      <c r="H727" s="1055">
        <f>SUM(H728:H742)</f>
        <v>30000</v>
      </c>
      <c r="I727" s="1055">
        <f>SUM(I728:I734)</f>
        <v>48009</v>
      </c>
      <c r="J727" s="1300">
        <f>SUM(J728:J742)</f>
        <v>0</v>
      </c>
      <c r="K727" s="1055">
        <f>SUM(K728:K742)</f>
        <v>0</v>
      </c>
      <c r="L727" s="1055">
        <f>SUM(L728:L742)</f>
        <v>0</v>
      </c>
      <c r="M727" s="58"/>
      <c r="N727" s="50"/>
      <c r="O727" s="20"/>
      <c r="P727" s="50"/>
      <c r="Q727" s="20"/>
      <c r="R727" s="16"/>
    </row>
    <row r="728" spans="1:18" s="41" customFormat="1" x14ac:dyDescent="0.2">
      <c r="A728" s="1071">
        <v>716</v>
      </c>
      <c r="B728" s="1193"/>
      <c r="C728" s="1093" t="s">
        <v>615</v>
      </c>
      <c r="D728" s="1278">
        <v>18250</v>
      </c>
      <c r="E728" s="1278">
        <v>0</v>
      </c>
      <c r="F728" s="1319"/>
      <c r="G728" s="1278">
        <v>0</v>
      </c>
      <c r="H728" s="1087"/>
      <c r="I728" s="1087"/>
      <c r="J728" s="1290"/>
      <c r="K728" s="1695"/>
      <c r="L728" s="1278"/>
      <c r="M728" s="58"/>
      <c r="N728" s="50"/>
      <c r="O728" s="20"/>
      <c r="P728" s="50"/>
      <c r="Q728" s="20"/>
      <c r="R728" s="16"/>
    </row>
    <row r="729" spans="1:18" s="41" customFormat="1" x14ac:dyDescent="0.2">
      <c r="A729" s="1071"/>
      <c r="B729" s="1193"/>
      <c r="C729" s="1093" t="s">
        <v>310</v>
      </c>
      <c r="D729" s="1269"/>
      <c r="E729" s="1269"/>
      <c r="F729" s="1319">
        <v>0</v>
      </c>
      <c r="G729" s="1278">
        <v>0</v>
      </c>
      <c r="H729" s="1278">
        <v>0</v>
      </c>
      <c r="I729" s="1278">
        <v>0</v>
      </c>
      <c r="J729" s="1290">
        <v>0</v>
      </c>
      <c r="K729" s="1695">
        <v>0</v>
      </c>
      <c r="L729" s="1278">
        <v>0</v>
      </c>
      <c r="M729" s="58"/>
      <c r="N729" s="50"/>
      <c r="O729" s="20"/>
      <c r="P729" s="50"/>
      <c r="Q729" s="20"/>
      <c r="R729" s="16"/>
    </row>
    <row r="730" spans="1:18" s="41" customFormat="1" x14ac:dyDescent="0.2">
      <c r="A730" s="1071"/>
      <c r="B730" s="1193"/>
      <c r="C730" s="1093" t="s">
        <v>966</v>
      </c>
      <c r="D730" s="1696"/>
      <c r="E730" s="1696"/>
      <c r="F730" s="1319">
        <v>0</v>
      </c>
      <c r="G730" s="1278">
        <v>0</v>
      </c>
      <c r="H730" s="1278">
        <v>30000</v>
      </c>
      <c r="I730" s="1278">
        <v>27000</v>
      </c>
      <c r="J730" s="1290">
        <v>0</v>
      </c>
      <c r="K730" s="1695">
        <v>0</v>
      </c>
      <c r="L730" s="1697">
        <v>0</v>
      </c>
      <c r="M730" s="58"/>
      <c r="N730" s="50"/>
      <c r="O730" s="20"/>
      <c r="P730" s="50"/>
      <c r="Q730" s="20"/>
      <c r="R730" s="16"/>
    </row>
    <row r="731" spans="1:18" s="41" customFormat="1" x14ac:dyDescent="0.2">
      <c r="A731" s="1071">
        <v>717</v>
      </c>
      <c r="B731" s="1193"/>
      <c r="C731" s="1093" t="s">
        <v>863</v>
      </c>
      <c r="D731" s="1696"/>
      <c r="E731" s="1696"/>
      <c r="F731" s="1319">
        <v>602194</v>
      </c>
      <c r="G731" s="1278"/>
      <c r="H731" s="1278">
        <v>0</v>
      </c>
      <c r="I731" s="1278">
        <v>18371</v>
      </c>
      <c r="J731" s="1290">
        <v>0</v>
      </c>
      <c r="K731" s="1695"/>
      <c r="L731" s="1697"/>
      <c r="M731" s="58"/>
      <c r="N731" s="50"/>
      <c r="O731" s="20"/>
      <c r="P731" s="50"/>
      <c r="Q731" s="20"/>
      <c r="R731" s="16"/>
    </row>
    <row r="732" spans="1:18" s="41" customFormat="1" x14ac:dyDescent="0.2">
      <c r="A732" s="1071"/>
      <c r="B732" s="1193"/>
      <c r="C732" s="1093" t="s">
        <v>864</v>
      </c>
      <c r="D732" s="1696"/>
      <c r="E732" s="1269"/>
      <c r="F732" s="1319">
        <v>32000</v>
      </c>
      <c r="G732" s="1278">
        <v>0</v>
      </c>
      <c r="H732" s="1278">
        <v>0</v>
      </c>
      <c r="I732" s="1278">
        <v>2638</v>
      </c>
      <c r="J732" s="1290">
        <v>0</v>
      </c>
      <c r="K732" s="1698">
        <v>0</v>
      </c>
      <c r="L732" s="1699">
        <v>0</v>
      </c>
      <c r="M732" s="58"/>
      <c r="N732" s="50"/>
      <c r="O732" s="20"/>
      <c r="P732" s="50"/>
      <c r="Q732" s="20"/>
      <c r="R732" s="16"/>
    </row>
    <row r="733" spans="1:18" s="41" customFormat="1" x14ac:dyDescent="0.2">
      <c r="A733" s="1071"/>
      <c r="B733" s="1193"/>
      <c r="C733" s="1093" t="s">
        <v>870</v>
      </c>
      <c r="D733" s="1696"/>
      <c r="E733" s="1269"/>
      <c r="F733" s="1319">
        <v>165000</v>
      </c>
      <c r="G733" s="1278"/>
      <c r="H733" s="1278">
        <v>0</v>
      </c>
      <c r="I733" s="1278">
        <v>0</v>
      </c>
      <c r="J733" s="1290">
        <v>0</v>
      </c>
      <c r="K733" s="1698"/>
      <c r="L733" s="1699"/>
      <c r="M733" s="58"/>
      <c r="N733" s="50"/>
      <c r="O733" s="20"/>
      <c r="P733" s="50"/>
      <c r="Q733" s="20"/>
      <c r="R733" s="16"/>
    </row>
    <row r="734" spans="1:18" s="41" customFormat="1" x14ac:dyDescent="0.2">
      <c r="A734" s="1071"/>
      <c r="B734" s="1193"/>
      <c r="C734" s="1093" t="s">
        <v>869</v>
      </c>
      <c r="D734" s="1696"/>
      <c r="E734" s="1696"/>
      <c r="F734" s="1319">
        <v>72000</v>
      </c>
      <c r="G734" s="1278"/>
      <c r="H734" s="1278">
        <v>0</v>
      </c>
      <c r="I734" s="1278">
        <v>0</v>
      </c>
      <c r="J734" s="1290">
        <v>0</v>
      </c>
      <c r="K734" s="1695"/>
      <c r="L734" s="1697"/>
      <c r="M734" s="58"/>
      <c r="N734" s="50"/>
      <c r="O734" s="20"/>
      <c r="P734" s="50"/>
      <c r="Q734" s="20"/>
      <c r="R734" s="16"/>
    </row>
    <row r="735" spans="1:18" s="41" customFormat="1" x14ac:dyDescent="0.2">
      <c r="A735" s="1061" t="s">
        <v>850</v>
      </c>
      <c r="B735" s="1061" t="s">
        <v>343</v>
      </c>
      <c r="C735" s="1061"/>
      <c r="D735" s="1055">
        <f>SUM(D736:D738)</f>
        <v>0</v>
      </c>
      <c r="E735" s="1055">
        <f>E736</f>
        <v>17229</v>
      </c>
      <c r="F735" s="1280">
        <f>F736+F738</f>
        <v>0</v>
      </c>
      <c r="G735" s="1055">
        <f>G736+G738</f>
        <v>0</v>
      </c>
      <c r="H735" s="1055">
        <f>SUM(H736:H741)</f>
        <v>0</v>
      </c>
      <c r="I735" s="1055">
        <f>SUM(I736:I741)</f>
        <v>4996</v>
      </c>
      <c r="J735" s="1297">
        <f>SUM(J736:J741)</f>
        <v>0</v>
      </c>
      <c r="K735" s="1055">
        <f>SUM(K736:K741)</f>
        <v>0</v>
      </c>
      <c r="L735" s="1055">
        <f>SUM(L736:L741)</f>
        <v>0</v>
      </c>
      <c r="M735" s="58"/>
      <c r="N735" s="50"/>
      <c r="O735" s="20"/>
      <c r="P735" s="50"/>
      <c r="Q735" s="20"/>
      <c r="R735" s="16"/>
    </row>
    <row r="736" spans="1:18" s="41" customFormat="1" x14ac:dyDescent="0.2">
      <c r="A736" s="1071">
        <v>717</v>
      </c>
      <c r="B736" s="1245" t="s">
        <v>94</v>
      </c>
      <c r="C736" s="1093" t="s">
        <v>898</v>
      </c>
      <c r="D736" s="1696"/>
      <c r="E736" s="1278">
        <v>17229</v>
      </c>
      <c r="F736" s="1278">
        <v>0</v>
      </c>
      <c r="G736" s="1278">
        <v>0</v>
      </c>
      <c r="H736" s="1278"/>
      <c r="I736" s="1278"/>
      <c r="J736" s="1290"/>
      <c r="K736" s="1698"/>
      <c r="L736" s="1699"/>
      <c r="M736" s="58"/>
      <c r="N736" s="50"/>
      <c r="O736" s="20"/>
      <c r="P736" s="50"/>
      <c r="Q736" s="20"/>
      <c r="R736" s="16"/>
    </row>
    <row r="737" spans="1:18" s="41" customFormat="1" x14ac:dyDescent="0.2">
      <c r="A737" s="1071"/>
      <c r="B737" s="1245"/>
      <c r="C737" s="1322" t="s">
        <v>897</v>
      </c>
      <c r="D737" s="1696"/>
      <c r="E737" s="1323">
        <v>12460</v>
      </c>
      <c r="F737" s="1323">
        <v>0</v>
      </c>
      <c r="G737" s="1278"/>
      <c r="H737" s="1278"/>
      <c r="I737" s="1278"/>
      <c r="J737" s="1290"/>
      <c r="K737" s="1698"/>
      <c r="L737" s="1699"/>
      <c r="M737" s="58"/>
      <c r="N737" s="50"/>
      <c r="O737" s="20"/>
      <c r="P737" s="50"/>
      <c r="Q737" s="20"/>
      <c r="R737" s="16"/>
    </row>
    <row r="738" spans="1:18" s="41" customFormat="1" x14ac:dyDescent="0.2">
      <c r="A738" s="1071"/>
      <c r="B738" s="1193"/>
      <c r="C738" s="1093" t="s">
        <v>1010</v>
      </c>
      <c r="D738" s="1696"/>
      <c r="E738" s="1278"/>
      <c r="F738" s="1278"/>
      <c r="G738" s="1269"/>
      <c r="H738" s="1278"/>
      <c r="I738" s="1278">
        <v>4996</v>
      </c>
      <c r="J738" s="1290"/>
      <c r="K738" s="1698"/>
      <c r="L738" s="1699"/>
      <c r="M738" s="58"/>
      <c r="N738" s="50"/>
      <c r="O738" s="20"/>
      <c r="P738" s="50"/>
      <c r="Q738" s="20"/>
      <c r="R738" s="16"/>
    </row>
    <row r="739" spans="1:18" s="92" customFormat="1" ht="11.25" x14ac:dyDescent="0.2">
      <c r="A739" s="1061" t="s">
        <v>566</v>
      </c>
      <c r="B739" s="1061"/>
      <c r="C739" s="1061"/>
      <c r="D739" s="1055">
        <f>D742</f>
        <v>350</v>
      </c>
      <c r="E739" s="1055">
        <f>SUM(E742)+E741</f>
        <v>0</v>
      </c>
      <c r="F739" s="1280">
        <v>0</v>
      </c>
      <c r="G739" s="1055">
        <f>SUM(G742)+G741</f>
        <v>0</v>
      </c>
      <c r="H739" s="1055">
        <v>0</v>
      </c>
      <c r="I739" s="1055">
        <v>0</v>
      </c>
      <c r="J739" s="1297">
        <v>0</v>
      </c>
      <c r="K739" s="1055">
        <v>0</v>
      </c>
      <c r="L739" s="1055">
        <v>0</v>
      </c>
      <c r="M739" s="59"/>
      <c r="N739" s="501"/>
      <c r="O739" s="501"/>
      <c r="P739" s="501"/>
      <c r="Q739" s="501"/>
    </row>
    <row r="740" spans="1:18" s="92" customFormat="1" ht="11.25" x14ac:dyDescent="0.2">
      <c r="A740" s="1071">
        <v>717</v>
      </c>
      <c r="B740" s="1071" t="s">
        <v>94</v>
      </c>
      <c r="C740" s="1071" t="s">
        <v>702</v>
      </c>
      <c r="D740" s="1058"/>
      <c r="E740" s="1058"/>
      <c r="F740" s="1058"/>
      <c r="G740" s="1058">
        <v>0</v>
      </c>
      <c r="H740" s="1058"/>
      <c r="I740" s="1058"/>
      <c r="J740" s="1290"/>
      <c r="K740" s="1516"/>
      <c r="L740" s="1058"/>
      <c r="M740" s="59"/>
      <c r="N740" s="501"/>
      <c r="O740" s="501"/>
      <c r="P740" s="501"/>
      <c r="Q740" s="501"/>
    </row>
    <row r="741" spans="1:18" s="92" customFormat="1" ht="11.25" x14ac:dyDescent="0.2">
      <c r="A741" s="1071">
        <v>717</v>
      </c>
      <c r="B741" s="1071" t="s">
        <v>94</v>
      </c>
      <c r="C741" s="1071" t="s">
        <v>823</v>
      </c>
      <c r="D741" s="1058"/>
      <c r="E741" s="1058">
        <v>0</v>
      </c>
      <c r="F741" s="1058"/>
      <c r="G741" s="1058">
        <v>0</v>
      </c>
      <c r="H741" s="1058"/>
      <c r="I741" s="1058"/>
      <c r="J741" s="1290"/>
      <c r="K741" s="1516"/>
      <c r="L741" s="1058"/>
      <c r="M741" s="59"/>
      <c r="N741" s="501"/>
      <c r="O741" s="501"/>
      <c r="P741" s="501"/>
      <c r="Q741" s="501"/>
    </row>
    <row r="742" spans="1:18" x14ac:dyDescent="0.2">
      <c r="A742" s="1031">
        <v>716</v>
      </c>
      <c r="B742" s="1031"/>
      <c r="C742" s="1031" t="s">
        <v>615</v>
      </c>
      <c r="D742" s="1027">
        <v>350</v>
      </c>
      <c r="E742" s="1027"/>
      <c r="F742" s="1028"/>
      <c r="G742" s="1027">
        <v>0</v>
      </c>
      <c r="H742" s="1028"/>
      <c r="I742" s="1028"/>
      <c r="J742" s="1290"/>
      <c r="K742" s="1545"/>
      <c r="L742" s="1027"/>
      <c r="M742" s="490"/>
      <c r="N742" s="48"/>
      <c r="O742" s="50"/>
      <c r="P742" s="50"/>
    </row>
    <row r="743" spans="1:18" hidden="1" x14ac:dyDescent="0.2">
      <c r="A743" s="1031"/>
      <c r="B743" s="1031"/>
      <c r="C743" s="1031"/>
      <c r="D743" s="1054"/>
      <c r="E743" s="1054"/>
      <c r="F743" s="1251"/>
      <c r="G743" s="1054"/>
      <c r="H743" s="1054"/>
      <c r="I743" s="1054"/>
      <c r="J743" s="1290"/>
      <c r="K743" s="1054"/>
      <c r="L743" s="1054"/>
      <c r="M743" s="490"/>
      <c r="N743" s="48"/>
      <c r="O743" s="50"/>
      <c r="P743" s="50"/>
    </row>
    <row r="744" spans="1:18" s="92" customFormat="1" ht="11.25" x14ac:dyDescent="0.2">
      <c r="A744" s="1061" t="s">
        <v>581</v>
      </c>
      <c r="B744" s="1061"/>
      <c r="C744" s="1061"/>
      <c r="D744" s="1055">
        <f>D745+D747+D748</f>
        <v>166000</v>
      </c>
      <c r="E744" s="1055">
        <f>E745+E747+E748+E752+E751</f>
        <v>351658</v>
      </c>
      <c r="F744" s="1280">
        <f>F745+F748+F751+F752</f>
        <v>0</v>
      </c>
      <c r="G744" s="1055">
        <f>G745+G747+G748+G751+G752</f>
        <v>3283</v>
      </c>
      <c r="H744" s="1055">
        <f>H745+H748+H751+H752</f>
        <v>0</v>
      </c>
      <c r="I744" s="1055">
        <f>I745+I748+I751+I752</f>
        <v>0</v>
      </c>
      <c r="J744" s="1297">
        <f>J745+J748+J751</f>
        <v>0</v>
      </c>
      <c r="K744" s="1055">
        <f>SUM(K745:K751)</f>
        <v>0</v>
      </c>
      <c r="L744" s="1055">
        <f>L745</f>
        <v>0</v>
      </c>
      <c r="M744" s="554"/>
      <c r="N744" s="554"/>
      <c r="O744" s="554"/>
      <c r="P744" s="554"/>
      <c r="Q744" s="555"/>
    </row>
    <row r="745" spans="1:18" x14ac:dyDescent="0.2">
      <c r="A745" s="1031">
        <v>717</v>
      </c>
      <c r="B745" s="1031" t="s">
        <v>97</v>
      </c>
      <c r="C745" s="1031" t="s">
        <v>328</v>
      </c>
      <c r="D745" s="1027">
        <v>0</v>
      </c>
      <c r="E745" s="1028">
        <v>0</v>
      </c>
      <c r="F745" s="1028">
        <v>0</v>
      </c>
      <c r="G745" s="1027">
        <v>0</v>
      </c>
      <c r="H745" s="1028">
        <v>0</v>
      </c>
      <c r="I745" s="1028">
        <v>0</v>
      </c>
      <c r="J745" s="1290">
        <v>0</v>
      </c>
      <c r="K745" s="1590">
        <v>0</v>
      </c>
      <c r="L745" s="1700">
        <v>0</v>
      </c>
      <c r="M745" s="490"/>
      <c r="N745" s="48"/>
      <c r="O745" s="50"/>
      <c r="P745" s="50"/>
      <c r="Q745" s="50"/>
    </row>
    <row r="746" spans="1:18" hidden="1" x14ac:dyDescent="0.2">
      <c r="A746" s="1031"/>
      <c r="B746" s="1031"/>
      <c r="C746" s="1031"/>
      <c r="D746" s="1054"/>
      <c r="E746" s="1251"/>
      <c r="F746" s="1251"/>
      <c r="G746" s="1054"/>
      <c r="H746" s="1251"/>
      <c r="I746" s="1251"/>
      <c r="J746" s="1290"/>
      <c r="K746" s="1590"/>
      <c r="L746" s="1674"/>
      <c r="M746" s="490"/>
      <c r="N746" s="48"/>
      <c r="P746" s="50"/>
    </row>
    <row r="747" spans="1:18" x14ac:dyDescent="0.2">
      <c r="A747" s="1031">
        <v>717</v>
      </c>
      <c r="B747" s="1031" t="s">
        <v>94</v>
      </c>
      <c r="C747" s="1031" t="s">
        <v>707</v>
      </c>
      <c r="D747" s="1027">
        <v>2000</v>
      </c>
      <c r="E747" s="1251"/>
      <c r="F747" s="1251"/>
      <c r="G747" s="1027">
        <v>0</v>
      </c>
      <c r="H747" s="1251"/>
      <c r="I747" s="1251"/>
      <c r="J747" s="1290"/>
      <c r="K747" s="1590"/>
      <c r="L747" s="1674"/>
      <c r="M747" s="490"/>
      <c r="N747" s="48"/>
      <c r="P747" s="50"/>
    </row>
    <row r="748" spans="1:18" x14ac:dyDescent="0.2">
      <c r="A748" s="1031">
        <v>717</v>
      </c>
      <c r="B748" s="1031" t="s">
        <v>94</v>
      </c>
      <c r="C748" s="1031" t="s">
        <v>619</v>
      </c>
      <c r="D748" s="1027">
        <v>164000</v>
      </c>
      <c r="E748" s="1028"/>
      <c r="F748" s="1028"/>
      <c r="G748" s="1027">
        <v>0</v>
      </c>
      <c r="H748" s="1028"/>
      <c r="I748" s="1028"/>
      <c r="J748" s="1290"/>
      <c r="K748" s="1590"/>
      <c r="L748" s="1700"/>
      <c r="M748" s="490"/>
      <c r="N748" s="48"/>
      <c r="P748" s="50"/>
    </row>
    <row r="749" spans="1:18" x14ac:dyDescent="0.2">
      <c r="A749" s="1031"/>
      <c r="B749" s="1031"/>
      <c r="C749" s="1031" t="s">
        <v>824</v>
      </c>
      <c r="D749" s="1027"/>
      <c r="E749" s="1324">
        <v>284526</v>
      </c>
      <c r="F749" s="1324">
        <v>0</v>
      </c>
      <c r="G749" s="1581">
        <v>0</v>
      </c>
      <c r="H749" s="1028"/>
      <c r="I749" s="1028"/>
      <c r="J749" s="1290"/>
      <c r="K749" s="1590"/>
      <c r="L749" s="1700"/>
      <c r="M749" s="490"/>
      <c r="N749" s="48"/>
      <c r="P749" s="50"/>
    </row>
    <row r="750" spans="1:18" x14ac:dyDescent="0.2">
      <c r="A750" s="1031"/>
      <c r="B750" s="1031"/>
      <c r="C750" s="1031" t="s">
        <v>851</v>
      </c>
      <c r="D750" s="1027"/>
      <c r="E750" s="1028"/>
      <c r="F750" s="1028"/>
      <c r="G750" s="1581">
        <v>0</v>
      </c>
      <c r="H750" s="1028"/>
      <c r="I750" s="1028"/>
      <c r="J750" s="1290"/>
      <c r="K750" s="1590"/>
      <c r="L750" s="1700"/>
      <c r="M750" s="490"/>
      <c r="N750" s="48"/>
      <c r="P750" s="50"/>
    </row>
    <row r="751" spans="1:18" x14ac:dyDescent="0.2">
      <c r="A751" s="1031">
        <v>717</v>
      </c>
      <c r="B751" s="1031" t="s">
        <v>94</v>
      </c>
      <c r="C751" s="1031" t="s">
        <v>787</v>
      </c>
      <c r="D751" s="1054"/>
      <c r="E751" s="1028">
        <v>349669</v>
      </c>
      <c r="F751" s="1028">
        <v>0</v>
      </c>
      <c r="G751" s="1027">
        <v>0</v>
      </c>
      <c r="H751" s="1028">
        <v>0</v>
      </c>
      <c r="I751" s="1028">
        <v>0</v>
      </c>
      <c r="J751" s="1290">
        <v>0</v>
      </c>
      <c r="K751" s="1590"/>
      <c r="L751" s="1674"/>
      <c r="M751" s="490"/>
      <c r="N751" s="48"/>
      <c r="P751" s="50"/>
    </row>
    <row r="752" spans="1:18" x14ac:dyDescent="0.2">
      <c r="A752" s="1031">
        <v>713</v>
      </c>
      <c r="B752" s="1031" t="s">
        <v>111</v>
      </c>
      <c r="C752" s="1031" t="s">
        <v>964</v>
      </c>
      <c r="D752" s="1054"/>
      <c r="E752" s="1028">
        <v>1989</v>
      </c>
      <c r="F752" s="1028">
        <v>0</v>
      </c>
      <c r="G752" s="1027">
        <v>3283</v>
      </c>
      <c r="H752" s="1028">
        <v>0</v>
      </c>
      <c r="I752" s="1028">
        <v>0</v>
      </c>
      <c r="J752" s="1290"/>
      <c r="K752" s="1590"/>
      <c r="L752" s="1674"/>
      <c r="M752" s="490"/>
      <c r="N752" s="48"/>
      <c r="P752" s="50"/>
    </row>
    <row r="753" spans="1:18" s="552" customFormat="1" ht="11.25" x14ac:dyDescent="0.2">
      <c r="A753" s="1061" t="s">
        <v>586</v>
      </c>
      <c r="B753" s="1061"/>
      <c r="C753" s="1061"/>
      <c r="D753" s="1055">
        <f t="shared" ref="D753:F753" si="102">D755+D757</f>
        <v>0</v>
      </c>
      <c r="E753" s="1055">
        <f t="shared" si="102"/>
        <v>11759</v>
      </c>
      <c r="F753" s="1280">
        <f t="shared" si="102"/>
        <v>0</v>
      </c>
      <c r="G753" s="1055">
        <f>G755+G757+G754</f>
        <v>20880</v>
      </c>
      <c r="H753" s="1055">
        <f>H755+H757+H754</f>
        <v>0</v>
      </c>
      <c r="I753" s="1055">
        <f>I755+I757+I754</f>
        <v>0</v>
      </c>
      <c r="J753" s="1297">
        <f>J755+J757+J754</f>
        <v>0</v>
      </c>
      <c r="K753" s="1055">
        <f>SUM(K754:K758)</f>
        <v>0</v>
      </c>
      <c r="L753" s="1055">
        <f>SUM(L754:L758)</f>
        <v>0</v>
      </c>
      <c r="M753" s="554"/>
      <c r="N753" s="554"/>
      <c r="O753" s="554"/>
      <c r="P753" s="554"/>
      <c r="Q753" s="554"/>
      <c r="R753" s="92"/>
    </row>
    <row r="754" spans="1:18" s="41" customFormat="1" x14ac:dyDescent="0.2">
      <c r="A754" s="1031">
        <v>716</v>
      </c>
      <c r="B754" s="1068"/>
      <c r="C754" s="1031" t="s">
        <v>618</v>
      </c>
      <c r="D754" s="1027">
        <v>0</v>
      </c>
      <c r="E754" s="1027"/>
      <c r="F754" s="1028"/>
      <c r="G754" s="1027">
        <v>20880</v>
      </c>
      <c r="H754" s="1028">
        <v>0</v>
      </c>
      <c r="I754" s="1028">
        <v>0</v>
      </c>
      <c r="J754" s="1290">
        <v>0</v>
      </c>
      <c r="K754" s="1545"/>
      <c r="L754" s="1027"/>
      <c r="M754" s="556"/>
      <c r="N754" s="20"/>
      <c r="O754" s="50"/>
      <c r="P754" s="50"/>
      <c r="Q754" s="50"/>
      <c r="R754" s="16"/>
    </row>
    <row r="755" spans="1:18" x14ac:dyDescent="0.2">
      <c r="A755" s="1031">
        <v>717</v>
      </c>
      <c r="B755" s="1031" t="s">
        <v>94</v>
      </c>
      <c r="C755" s="1031" t="s">
        <v>852</v>
      </c>
      <c r="D755" s="1027">
        <v>0</v>
      </c>
      <c r="E755" s="1027">
        <v>11759</v>
      </c>
      <c r="F755" s="1028">
        <v>0</v>
      </c>
      <c r="G755" s="1027">
        <v>0</v>
      </c>
      <c r="H755" s="1028">
        <v>0</v>
      </c>
      <c r="I755" s="1028">
        <v>0</v>
      </c>
      <c r="J755" s="1290">
        <v>0</v>
      </c>
      <c r="K755" s="1545"/>
      <c r="L755" s="1027"/>
      <c r="M755" s="557"/>
      <c r="N755" s="48"/>
      <c r="O755" s="50"/>
      <c r="P755" s="50"/>
      <c r="Q755" s="50"/>
    </row>
    <row r="756" spans="1:18" x14ac:dyDescent="0.2">
      <c r="A756" s="1031"/>
      <c r="B756" s="1031"/>
      <c r="C756" s="1236" t="s">
        <v>824</v>
      </c>
      <c r="D756" s="1701"/>
      <c r="E756" s="1702">
        <v>8000</v>
      </c>
      <c r="F756" s="1279">
        <v>0</v>
      </c>
      <c r="G756" s="1702">
        <v>0</v>
      </c>
      <c r="H756" s="1279">
        <v>0</v>
      </c>
      <c r="I756" s="1279">
        <v>0</v>
      </c>
      <c r="J756" s="1290">
        <v>0</v>
      </c>
      <c r="K756" s="1545"/>
      <c r="L756" s="1702"/>
      <c r="M756" s="557"/>
      <c r="N756" s="48"/>
      <c r="O756" s="50"/>
      <c r="P756" s="50"/>
      <c r="Q756" s="50"/>
    </row>
    <row r="757" spans="1:18" x14ac:dyDescent="0.2">
      <c r="A757" s="1031">
        <v>717</v>
      </c>
      <c r="B757" s="1031" t="s">
        <v>97</v>
      </c>
      <c r="C757" s="1031" t="s">
        <v>620</v>
      </c>
      <c r="D757" s="1027">
        <v>0</v>
      </c>
      <c r="E757" s="1027"/>
      <c r="F757" s="1028"/>
      <c r="G757" s="1027"/>
      <c r="H757" s="1028"/>
      <c r="I757" s="1028"/>
      <c r="J757" s="1290"/>
      <c r="K757" s="1545"/>
      <c r="L757" s="1027"/>
      <c r="M757" s="557"/>
      <c r="N757" s="48"/>
      <c r="O757" s="50"/>
      <c r="P757" s="50"/>
      <c r="Q757" s="50"/>
    </row>
    <row r="758" spans="1:18" hidden="1" x14ac:dyDescent="0.2">
      <c r="A758" s="1069"/>
      <c r="B758" s="1069"/>
      <c r="C758" s="1069"/>
      <c r="D758" s="1027"/>
      <c r="E758" s="1027"/>
      <c r="F758" s="1028"/>
      <c r="G758" s="1027"/>
      <c r="H758" s="1703"/>
      <c r="I758" s="1703"/>
      <c r="J758" s="1290"/>
      <c r="K758" s="1027"/>
      <c r="L758" s="1027"/>
      <c r="M758" s="557"/>
      <c r="N758" s="48"/>
      <c r="O758" s="50"/>
      <c r="P758" s="50"/>
      <c r="Q758" s="50"/>
    </row>
    <row r="759" spans="1:18" hidden="1" x14ac:dyDescent="0.2">
      <c r="A759" s="1031"/>
      <c r="B759" s="1031"/>
      <c r="C759" s="1031"/>
      <c r="D759" s="1027"/>
      <c r="E759" s="1027"/>
      <c r="F759" s="1028"/>
      <c r="G759" s="1027"/>
      <c r="H759" s="1027"/>
      <c r="I759" s="1027"/>
      <c r="J759" s="1290"/>
      <c r="K759" s="1027"/>
      <c r="L759" s="1027"/>
      <c r="M759" s="557"/>
      <c r="N759" s="48"/>
      <c r="O759" s="50"/>
      <c r="P759" s="50"/>
      <c r="Q759" s="50"/>
    </row>
    <row r="760" spans="1:18" x14ac:dyDescent="0.2">
      <c r="A760" s="1061" t="s">
        <v>825</v>
      </c>
      <c r="B760" s="1061"/>
      <c r="C760" s="1061"/>
      <c r="D760" s="1055">
        <f>D762+D764</f>
        <v>0</v>
      </c>
      <c r="E760" s="1055">
        <f>E761</f>
        <v>0</v>
      </c>
      <c r="F760" s="1280">
        <f>F761</f>
        <v>1934</v>
      </c>
      <c r="G760" s="1055">
        <f>G761</f>
        <v>0</v>
      </c>
      <c r="H760" s="1055">
        <f>H762+H764</f>
        <v>0</v>
      </c>
      <c r="I760" s="1055">
        <f>I761</f>
        <v>1958</v>
      </c>
      <c r="J760" s="1300">
        <f>J761</f>
        <v>0</v>
      </c>
      <c r="K760" s="1055">
        <f>SUM(K761:K765)</f>
        <v>0</v>
      </c>
      <c r="L760" s="1055">
        <f>SUM(L761:L765)</f>
        <v>0</v>
      </c>
      <c r="M760" s="557"/>
      <c r="N760" s="48"/>
      <c r="O760" s="50"/>
      <c r="P760" s="50"/>
      <c r="Q760" s="50"/>
    </row>
    <row r="761" spans="1:18" x14ac:dyDescent="0.2">
      <c r="A761" s="1031">
        <v>713</v>
      </c>
      <c r="B761" s="1031" t="s">
        <v>111</v>
      </c>
      <c r="C761" s="1031" t="s">
        <v>456</v>
      </c>
      <c r="D761" s="1027">
        <v>0</v>
      </c>
      <c r="E761" s="1027">
        <v>0</v>
      </c>
      <c r="F761" s="1028">
        <v>1934</v>
      </c>
      <c r="G761" s="1027">
        <v>0</v>
      </c>
      <c r="H761" s="1028">
        <v>0</v>
      </c>
      <c r="I761" s="1028">
        <v>1958</v>
      </c>
      <c r="J761" s="1290">
        <v>0</v>
      </c>
      <c r="K761" s="1590">
        <v>0</v>
      </c>
      <c r="L761" s="1027">
        <v>0</v>
      </c>
      <c r="M761" s="557"/>
      <c r="N761" s="48"/>
      <c r="O761" s="50"/>
      <c r="P761" s="50"/>
      <c r="Q761" s="50"/>
    </row>
    <row r="762" spans="1:18" s="502" customFormat="1" x14ac:dyDescent="0.2">
      <c r="A762" s="1070" t="s">
        <v>621</v>
      </c>
      <c r="B762" s="1070"/>
      <c r="C762" s="1070"/>
      <c r="D762" s="1057">
        <f>SUM(D763:D767)</f>
        <v>0</v>
      </c>
      <c r="E762" s="1057">
        <f>SUM(E763:E768)</f>
        <v>0</v>
      </c>
      <c r="F762" s="1057">
        <f>SUM(F763:F767)</f>
        <v>0</v>
      </c>
      <c r="G762" s="1057">
        <f>SUM(G763:G768)</f>
        <v>0</v>
      </c>
      <c r="H762" s="1057">
        <f>SUM(H763:H767)</f>
        <v>0</v>
      </c>
      <c r="I762" s="1057">
        <f>SUM(I763:I767)</f>
        <v>0</v>
      </c>
      <c r="J762" s="1298">
        <f>SUM(J763:J767)</f>
        <v>0</v>
      </c>
      <c r="K762" s="1057">
        <f>SUM(K763:K768)</f>
        <v>0</v>
      </c>
      <c r="L762" s="1057">
        <f>SUM(L763:L768)</f>
        <v>0</v>
      </c>
      <c r="M762" s="558"/>
      <c r="N762" s="559"/>
      <c r="O762" s="491"/>
      <c r="P762" s="491"/>
      <c r="Q762" s="491"/>
    </row>
    <row r="763" spans="1:18" s="502" customFormat="1" x14ac:dyDescent="0.2">
      <c r="A763" s="1071">
        <v>717</v>
      </c>
      <c r="B763" s="1071" t="s">
        <v>97</v>
      </c>
      <c r="C763" s="1071" t="s">
        <v>417</v>
      </c>
      <c r="D763" s="1058">
        <v>0</v>
      </c>
      <c r="E763" s="1058">
        <v>0</v>
      </c>
      <c r="F763" s="1058">
        <v>0</v>
      </c>
      <c r="G763" s="1058">
        <v>0</v>
      </c>
      <c r="H763" s="1058">
        <v>0</v>
      </c>
      <c r="I763" s="1058">
        <v>0</v>
      </c>
      <c r="J763" s="1290">
        <v>0</v>
      </c>
      <c r="K763" s="1666">
        <v>0</v>
      </c>
      <c r="L763" s="1058">
        <v>0</v>
      </c>
      <c r="M763" s="558"/>
      <c r="N763" s="559"/>
      <c r="O763" s="491"/>
      <c r="P763" s="491"/>
      <c r="Q763" s="491"/>
    </row>
    <row r="764" spans="1:18" s="502" customFormat="1" x14ac:dyDescent="0.2">
      <c r="A764" s="1071">
        <v>717</v>
      </c>
      <c r="B764" s="1071" t="s">
        <v>97</v>
      </c>
      <c r="C764" s="1071" t="s">
        <v>417</v>
      </c>
      <c r="D764" s="1058">
        <v>0</v>
      </c>
      <c r="E764" s="1058">
        <v>0</v>
      </c>
      <c r="F764" s="1058">
        <v>0</v>
      </c>
      <c r="G764" s="1058">
        <v>0</v>
      </c>
      <c r="H764" s="1058">
        <v>0</v>
      </c>
      <c r="I764" s="1058">
        <v>0</v>
      </c>
      <c r="J764" s="1290">
        <v>0</v>
      </c>
      <c r="K764" s="1666">
        <v>0</v>
      </c>
      <c r="L764" s="1058">
        <v>0</v>
      </c>
      <c r="M764" s="558"/>
      <c r="N764" s="559"/>
      <c r="O764" s="491"/>
      <c r="P764" s="491"/>
      <c r="Q764" s="491"/>
    </row>
    <row r="765" spans="1:18" s="502" customFormat="1" x14ac:dyDescent="0.2">
      <c r="A765" s="1071">
        <v>716</v>
      </c>
      <c r="B765" s="1071"/>
      <c r="C765" s="1071" t="s">
        <v>328</v>
      </c>
      <c r="D765" s="1058">
        <v>0</v>
      </c>
      <c r="E765" s="1058">
        <v>0</v>
      </c>
      <c r="F765" s="1058">
        <v>0</v>
      </c>
      <c r="G765" s="1058">
        <v>0</v>
      </c>
      <c r="H765" s="1058">
        <v>0</v>
      </c>
      <c r="I765" s="1058">
        <v>0</v>
      </c>
      <c r="J765" s="1290">
        <v>0</v>
      </c>
      <c r="K765" s="1666">
        <v>0</v>
      </c>
      <c r="L765" s="1058">
        <v>0</v>
      </c>
      <c r="M765" s="558"/>
      <c r="N765" s="559"/>
      <c r="O765" s="491"/>
      <c r="P765" s="491"/>
      <c r="Q765" s="491"/>
    </row>
    <row r="766" spans="1:18" s="502" customFormat="1" x14ac:dyDescent="0.2">
      <c r="A766" s="1071">
        <v>713</v>
      </c>
      <c r="B766" s="1071" t="s">
        <v>111</v>
      </c>
      <c r="C766" s="1071" t="s">
        <v>456</v>
      </c>
      <c r="D766" s="1058">
        <v>0</v>
      </c>
      <c r="E766" s="1058">
        <v>0</v>
      </c>
      <c r="F766" s="1058">
        <v>0</v>
      </c>
      <c r="G766" s="1058">
        <v>0</v>
      </c>
      <c r="H766" s="1058">
        <v>0</v>
      </c>
      <c r="I766" s="1058">
        <v>0</v>
      </c>
      <c r="J766" s="1290">
        <v>0</v>
      </c>
      <c r="K766" s="1666">
        <v>0</v>
      </c>
      <c r="L766" s="1058">
        <v>0</v>
      </c>
      <c r="M766" s="558"/>
      <c r="N766" s="559"/>
      <c r="O766" s="491"/>
      <c r="P766" s="491"/>
      <c r="Q766" s="491"/>
    </row>
    <row r="767" spans="1:18" x14ac:dyDescent="0.2">
      <c r="A767" s="1031">
        <v>719</v>
      </c>
      <c r="B767" s="1031" t="s">
        <v>111</v>
      </c>
      <c r="C767" s="1031" t="s">
        <v>668</v>
      </c>
      <c r="D767" s="1027">
        <v>0</v>
      </c>
      <c r="E767" s="1027">
        <v>0</v>
      </c>
      <c r="F767" s="1028">
        <v>0</v>
      </c>
      <c r="G767" s="1027">
        <v>0</v>
      </c>
      <c r="H767" s="1028">
        <v>0</v>
      </c>
      <c r="I767" s="1028">
        <v>0</v>
      </c>
      <c r="J767" s="1290">
        <v>0</v>
      </c>
      <c r="K767" s="1590">
        <v>0</v>
      </c>
      <c r="L767" s="1027">
        <v>0</v>
      </c>
      <c r="M767" s="557"/>
      <c r="N767" s="48"/>
      <c r="O767" s="50"/>
      <c r="P767" s="50"/>
      <c r="Q767" s="50"/>
    </row>
    <row r="768" spans="1:18" hidden="1" x14ac:dyDescent="0.2">
      <c r="A768" s="1031"/>
      <c r="B768" s="1031"/>
      <c r="C768" s="1031"/>
      <c r="D768" s="1027"/>
      <c r="E768" s="1027"/>
      <c r="F768" s="1027"/>
      <c r="G768" s="1027"/>
      <c r="H768" s="1703"/>
      <c r="I768" s="1703"/>
      <c r="J768" s="1290"/>
      <c r="K768" s="1027"/>
      <c r="L768" s="1027"/>
      <c r="M768" s="557"/>
      <c r="N768" s="48"/>
      <c r="O768" s="50"/>
      <c r="P768" s="50"/>
      <c r="Q768" s="50"/>
    </row>
    <row r="769" spans="1:18" s="33" customFormat="1" x14ac:dyDescent="0.2">
      <c r="A769" s="1683" t="s">
        <v>622</v>
      </c>
      <c r="B769" s="1684"/>
      <c r="C769" s="1683"/>
      <c r="D769" s="1704">
        <f>D674+D681+D693+D699+D702+D715+D739+D744+D753+D762+D760+D727+D724+D710+D688</f>
        <v>3657374</v>
      </c>
      <c r="E769" s="1686">
        <f>E674+E681+E695+E699+E702+E715+E739+E744+E753+E762+E710+E760+E727+E724+E693+E688+E735</f>
        <v>3253234</v>
      </c>
      <c r="F769" s="1686">
        <f>F681+F702+F715+F762+F710+F744+F753+F760+F739+F727+F724+F688+F674+F735+F695</f>
        <v>903569</v>
      </c>
      <c r="G769" s="1685">
        <f>G674+G681+G695+G699+G702+G715+G739+G744+G753+G762+G693+G710+G724+G727+G688+G760+G735</f>
        <v>134227</v>
      </c>
      <c r="H769" s="1685">
        <f>H674+H681+H695+H699+H702+H715+H739+H744+H753+H762+H710+H727+H724+H688</f>
        <v>60000</v>
      </c>
      <c r="I769" s="1685">
        <f>I674+I681+I695+I699+I702+I715+I739+I744+I753+I762+I710+I727+I724+I688+I760+I735</f>
        <v>85412</v>
      </c>
      <c r="J769" s="1687">
        <f>J674+J681+J695+J699+J702+J715+J739+J744+J753+J762+J710+J727+J724+J688+J760</f>
        <v>0</v>
      </c>
      <c r="K769" s="1685">
        <f>K674+K681+K695+K699+K702+K715+K739+K744+K753+K762+K710+K727+K724+K688</f>
        <v>0</v>
      </c>
      <c r="L769" s="1685">
        <f>L674+L681+L695+L699+L702+L715+L739+L744+L753+L762+L710+L727+L724+L688</f>
        <v>0</v>
      </c>
      <c r="M769" s="560"/>
      <c r="N769" s="20"/>
      <c r="O769" s="469"/>
      <c r="P769" s="469"/>
      <c r="Q769" s="469"/>
      <c r="R769" s="94"/>
    </row>
    <row r="770" spans="1:18" s="33" customFormat="1" hidden="1" x14ac:dyDescent="0.2">
      <c r="A770" s="88"/>
      <c r="B770" s="20"/>
      <c r="C770" s="88"/>
      <c r="D770" s="59"/>
      <c r="E770" s="1192"/>
      <c r="F770" s="1192"/>
      <c r="G770" s="65"/>
      <c r="H770" s="65"/>
      <c r="I770" s="65"/>
      <c r="J770" s="1238"/>
      <c r="K770" s="65"/>
      <c r="L770" s="65"/>
      <c r="M770" s="560"/>
      <c r="N770" s="20"/>
      <c r="O770" s="469"/>
      <c r="P770" s="469"/>
      <c r="Q770" s="469"/>
      <c r="R770" s="94"/>
    </row>
    <row r="771" spans="1:18" s="33" customFormat="1" hidden="1" x14ac:dyDescent="0.2">
      <c r="A771" s="88"/>
      <c r="B771" s="20"/>
      <c r="C771" s="88"/>
      <c r="D771" s="59"/>
      <c r="E771" s="1192"/>
      <c r="F771" s="1192"/>
      <c r="G771" s="65"/>
      <c r="H771" s="65"/>
      <c r="I771" s="65"/>
      <c r="J771" s="1238"/>
      <c r="K771" s="65"/>
      <c r="L771" s="65"/>
      <c r="M771" s="560"/>
      <c r="N771" s="20"/>
      <c r="O771" s="469"/>
      <c r="P771" s="469"/>
      <c r="Q771" s="469"/>
      <c r="R771" s="94"/>
    </row>
    <row r="772" spans="1:18" s="33" customFormat="1" x14ac:dyDescent="0.2">
      <c r="A772" s="16"/>
      <c r="B772" s="16"/>
      <c r="C772" s="16"/>
      <c r="D772" s="16"/>
      <c r="E772" s="16"/>
      <c r="F772" s="16"/>
      <c r="G772" s="459"/>
      <c r="H772" s="459"/>
      <c r="I772" s="459"/>
      <c r="J772" s="1316"/>
      <c r="K772" s="459"/>
      <c r="L772" s="460"/>
      <c r="M772" s="50"/>
      <c r="N772" s="50"/>
      <c r="O772" s="20"/>
      <c r="P772" s="20"/>
      <c r="Q772" s="20"/>
      <c r="R772" s="16"/>
    </row>
    <row r="773" spans="1:18" s="33" customFormat="1" hidden="1" x14ac:dyDescent="0.2">
      <c r="A773" s="16"/>
      <c r="B773" s="16"/>
      <c r="C773" s="16"/>
      <c r="D773" s="16"/>
      <c r="E773" s="16"/>
      <c r="F773" s="16"/>
      <c r="G773" s="459"/>
      <c r="H773" s="459"/>
      <c r="I773" s="459"/>
      <c r="J773" s="1316"/>
      <c r="K773" s="459"/>
      <c r="L773" s="460"/>
      <c r="M773" s="50"/>
      <c r="N773" s="50"/>
      <c r="O773" s="20"/>
      <c r="P773" s="20"/>
      <c r="Q773" s="20"/>
      <c r="R773" s="16"/>
    </row>
    <row r="774" spans="1:18" s="33" customFormat="1" hidden="1" x14ac:dyDescent="0.2">
      <c r="A774" s="16"/>
      <c r="B774" s="16"/>
      <c r="C774" s="16"/>
      <c r="D774" s="16"/>
      <c r="E774" s="16"/>
      <c r="F774" s="16"/>
      <c r="G774" s="459"/>
      <c r="H774" s="459"/>
      <c r="I774" s="459"/>
      <c r="J774" s="1316"/>
      <c r="K774" s="459"/>
      <c r="L774" s="460"/>
      <c r="M774" s="50"/>
      <c r="N774" s="50"/>
      <c r="O774" s="20"/>
      <c r="P774" s="20"/>
      <c r="Q774" s="20"/>
      <c r="R774" s="16"/>
    </row>
    <row r="775" spans="1:18" s="33" customFormat="1" hidden="1" x14ac:dyDescent="0.2">
      <c r="A775" s="16"/>
      <c r="B775" s="16"/>
      <c r="C775" s="16"/>
      <c r="D775" s="16"/>
      <c r="E775" s="16"/>
      <c r="F775" s="16"/>
      <c r="G775" s="459"/>
      <c r="H775" s="459"/>
      <c r="I775" s="459"/>
      <c r="J775" s="1316"/>
      <c r="K775" s="459"/>
      <c r="L775" s="460"/>
      <c r="M775" s="50"/>
      <c r="N775" s="50"/>
      <c r="O775" s="20"/>
      <c r="P775" s="20"/>
      <c r="Q775" s="20"/>
      <c r="R775" s="16"/>
    </row>
    <row r="776" spans="1:18" s="33" customFormat="1" hidden="1" x14ac:dyDescent="0.2">
      <c r="A776" s="16"/>
      <c r="B776" s="16"/>
      <c r="C776" s="16"/>
      <c r="D776" s="16"/>
      <c r="E776" s="16"/>
      <c r="F776" s="16"/>
      <c r="G776" s="459"/>
      <c r="H776" s="459"/>
      <c r="I776" s="459"/>
      <c r="J776" s="1316"/>
      <c r="K776" s="459"/>
      <c r="L776" s="460"/>
      <c r="M776" s="50"/>
      <c r="N776" s="50"/>
      <c r="O776" s="20"/>
      <c r="P776" s="20"/>
      <c r="Q776" s="20"/>
      <c r="R776" s="16"/>
    </row>
    <row r="777" spans="1:18" s="33" customFormat="1" hidden="1" x14ac:dyDescent="0.2">
      <c r="A777" s="16"/>
      <c r="B777" s="16"/>
      <c r="C777" s="16"/>
      <c r="D777" s="16"/>
      <c r="E777" s="16"/>
      <c r="F777" s="16"/>
      <c r="G777" s="459"/>
      <c r="H777" s="459"/>
      <c r="I777" s="459"/>
      <c r="J777" s="1316"/>
      <c r="K777" s="459"/>
      <c r="L777" s="460"/>
      <c r="M777" s="50"/>
      <c r="N777" s="50"/>
      <c r="O777" s="20"/>
      <c r="P777" s="20"/>
      <c r="Q777" s="20"/>
      <c r="R777" s="16"/>
    </row>
    <row r="778" spans="1:18" s="33" customFormat="1" hidden="1" x14ac:dyDescent="0.2">
      <c r="A778" s="16"/>
      <c r="B778" s="16"/>
      <c r="C778" s="16"/>
      <c r="D778" s="16"/>
      <c r="E778" s="16"/>
      <c r="F778" s="16"/>
      <c r="G778" s="459"/>
      <c r="H778" s="459"/>
      <c r="I778" s="459"/>
      <c r="J778" s="1316"/>
      <c r="K778" s="459"/>
      <c r="L778" s="460"/>
      <c r="M778" s="50"/>
      <c r="N778" s="50"/>
      <c r="O778" s="20"/>
      <c r="P778" s="20"/>
      <c r="Q778" s="20"/>
      <c r="R778" s="16"/>
    </row>
    <row r="779" spans="1:18" s="33" customFormat="1" hidden="1" x14ac:dyDescent="0.2">
      <c r="A779" s="16"/>
      <c r="B779" s="16"/>
      <c r="C779" s="16"/>
      <c r="D779" s="16"/>
      <c r="E779" s="16"/>
      <c r="F779" s="16"/>
      <c r="G779" s="459"/>
      <c r="H779" s="459"/>
      <c r="I779" s="459"/>
      <c r="J779" s="1316"/>
      <c r="K779" s="459"/>
      <c r="L779" s="460"/>
      <c r="M779" s="50"/>
      <c r="N779" s="50"/>
      <c r="O779" s="20"/>
      <c r="P779" s="20"/>
      <c r="Q779" s="20"/>
      <c r="R779" s="16"/>
    </row>
    <row r="780" spans="1:18" s="33" customFormat="1" hidden="1" x14ac:dyDescent="0.2">
      <c r="A780" s="16"/>
      <c r="B780" s="16"/>
      <c r="C780" s="16"/>
      <c r="D780" s="16"/>
      <c r="E780" s="16"/>
      <c r="F780" s="16"/>
      <c r="G780" s="459"/>
      <c r="H780" s="459"/>
      <c r="I780" s="459"/>
      <c r="J780" s="1316"/>
      <c r="K780" s="459"/>
      <c r="L780" s="460"/>
      <c r="M780" s="50"/>
      <c r="N780" s="50"/>
      <c r="O780" s="20"/>
      <c r="P780" s="20"/>
      <c r="Q780" s="20"/>
      <c r="R780" s="16"/>
    </row>
    <row r="781" spans="1:18" s="33" customFormat="1" x14ac:dyDescent="0.2">
      <c r="A781" s="16"/>
      <c r="B781" s="16"/>
      <c r="C781" s="462" t="s">
        <v>623</v>
      </c>
      <c r="D781" s="462"/>
      <c r="E781" s="462"/>
      <c r="F781" s="462"/>
      <c r="G781" s="459"/>
      <c r="H781" s="459"/>
      <c r="I781" s="459"/>
      <c r="J781" s="1316"/>
      <c r="K781" s="459"/>
      <c r="L781" s="460"/>
      <c r="M781" s="50"/>
      <c r="N781" s="50"/>
      <c r="O781" s="20"/>
      <c r="P781" s="20"/>
      <c r="Q781" s="20"/>
      <c r="R781" s="16"/>
    </row>
    <row r="782" spans="1:18" s="33" customFormat="1" ht="13.5" hidden="1" thickBot="1" x14ac:dyDescent="0.25">
      <c r="A782" s="16"/>
      <c r="B782" s="16"/>
      <c r="C782" s="16"/>
      <c r="D782" s="16"/>
      <c r="E782" s="16"/>
      <c r="F782" s="16"/>
      <c r="G782" s="459"/>
      <c r="H782" s="459"/>
      <c r="I782" s="459"/>
      <c r="J782" s="1283"/>
      <c r="K782" s="459"/>
      <c r="L782" s="460"/>
      <c r="M782" s="50"/>
      <c r="N782" s="50"/>
      <c r="O782" s="20"/>
      <c r="P782" s="20"/>
      <c r="Q782" s="20"/>
      <c r="R782" s="16"/>
    </row>
    <row r="783" spans="1:18" s="498" customFormat="1" x14ac:dyDescent="0.2">
      <c r="A783" s="1537" t="s">
        <v>438</v>
      </c>
      <c r="B783" s="1538"/>
      <c r="C783" s="1539"/>
      <c r="D783" s="1540">
        <v>2018</v>
      </c>
      <c r="E783" s="1540" t="s">
        <v>909</v>
      </c>
      <c r="F783" s="1540">
        <v>2021</v>
      </c>
      <c r="G783" s="1541">
        <v>2022</v>
      </c>
      <c r="H783" s="1818">
        <v>2023</v>
      </c>
      <c r="I783" s="1542" t="s">
        <v>981</v>
      </c>
      <c r="J783" s="1543">
        <v>2024</v>
      </c>
      <c r="K783" s="1541">
        <v>2025</v>
      </c>
      <c r="L783" s="1541">
        <v>2026</v>
      </c>
      <c r="M783" s="495"/>
      <c r="N783" s="496"/>
      <c r="O783" s="497"/>
      <c r="P783" s="465"/>
      <c r="Q783" s="466"/>
    </row>
    <row r="784" spans="1:18" s="1345" customFormat="1" ht="11.25" x14ac:dyDescent="0.2">
      <c r="A784" s="1335">
        <v>811</v>
      </c>
      <c r="B784" s="1336"/>
      <c r="C784" s="1346" t="s">
        <v>907</v>
      </c>
      <c r="D784" s="1337"/>
      <c r="E784" s="1338">
        <v>16327</v>
      </c>
      <c r="F784" s="1519"/>
      <c r="G784" s="1334">
        <v>5999</v>
      </c>
      <c r="H784" s="1526"/>
      <c r="I784" s="1334">
        <v>0</v>
      </c>
      <c r="J784" s="1339"/>
      <c r="K784" s="1338"/>
      <c r="L784" s="1338"/>
      <c r="M784" s="1340"/>
      <c r="N784" s="1341"/>
      <c r="O784" s="1342"/>
      <c r="P784" s="1343"/>
      <c r="Q784" s="1344"/>
    </row>
    <row r="785" spans="1:18" s="41" customFormat="1" x14ac:dyDescent="0.2">
      <c r="A785" s="1031">
        <v>819</v>
      </c>
      <c r="B785" s="1031"/>
      <c r="C785" s="1031" t="s">
        <v>826</v>
      </c>
      <c r="D785" s="1027">
        <v>9200</v>
      </c>
      <c r="E785" s="1248">
        <v>51200</v>
      </c>
      <c r="F785" s="1319">
        <v>400</v>
      </c>
      <c r="G785" s="1028">
        <v>0</v>
      </c>
      <c r="H785" s="1319">
        <v>0</v>
      </c>
      <c r="I785" s="1028">
        <v>0</v>
      </c>
      <c r="J785" s="1290">
        <v>0</v>
      </c>
      <c r="K785" s="1545"/>
      <c r="L785" s="1027"/>
      <c r="M785" s="58"/>
      <c r="N785" s="20"/>
      <c r="O785" s="58"/>
      <c r="P785" s="50"/>
      <c r="Q785" s="50"/>
      <c r="R785" s="16"/>
    </row>
    <row r="786" spans="1:18" s="41" customFormat="1" x14ac:dyDescent="0.2">
      <c r="A786" s="1031">
        <v>819</v>
      </c>
      <c r="B786" s="1031" t="s">
        <v>120</v>
      </c>
      <c r="C786" s="1031" t="s">
        <v>806</v>
      </c>
      <c r="D786" s="1031"/>
      <c r="E786" s="1056">
        <v>20</v>
      </c>
      <c r="F786" s="1319">
        <v>10</v>
      </c>
      <c r="G786" s="1028">
        <v>10</v>
      </c>
      <c r="H786" s="1319">
        <v>0</v>
      </c>
      <c r="I786" s="1028">
        <v>0</v>
      </c>
      <c r="J786" s="1290">
        <v>0</v>
      </c>
      <c r="K786" s="1705">
        <v>0</v>
      </c>
      <c r="L786" s="1027">
        <v>0</v>
      </c>
      <c r="M786" s="58"/>
      <c r="N786" s="20"/>
      <c r="O786" s="58"/>
      <c r="P786" s="50"/>
      <c r="Q786" s="50"/>
      <c r="R786" s="16"/>
    </row>
    <row r="787" spans="1:18" s="41" customFormat="1" x14ac:dyDescent="0.2">
      <c r="A787" s="1031">
        <v>814</v>
      </c>
      <c r="B787" s="1031" t="s">
        <v>94</v>
      </c>
      <c r="C787" s="1031" t="s">
        <v>795</v>
      </c>
      <c r="D787" s="1027">
        <v>5000</v>
      </c>
      <c r="E787" s="1248"/>
      <c r="F787" s="1319">
        <v>38700</v>
      </c>
      <c r="G787" s="1028">
        <v>46900</v>
      </c>
      <c r="H787" s="1319">
        <v>40000</v>
      </c>
      <c r="I787" s="1028">
        <v>55200</v>
      </c>
      <c r="J787" s="1290">
        <v>55200</v>
      </c>
      <c r="K787" s="1545">
        <v>30000</v>
      </c>
      <c r="L787" s="1027">
        <v>20000</v>
      </c>
      <c r="M787" s="58"/>
      <c r="N787" s="20"/>
      <c r="O787" s="58"/>
      <c r="P787" s="50"/>
      <c r="Q787" s="50"/>
      <c r="R787" s="16"/>
    </row>
    <row r="788" spans="1:18" s="41" customFormat="1" x14ac:dyDescent="0.2">
      <c r="A788" s="1031">
        <v>812</v>
      </c>
      <c r="B788" s="1031"/>
      <c r="C788" s="1031" t="s">
        <v>965</v>
      </c>
      <c r="D788" s="1027">
        <v>0</v>
      </c>
      <c r="E788" s="1248"/>
      <c r="F788" s="1319"/>
      <c r="G788" s="1028">
        <v>3000</v>
      </c>
      <c r="H788" s="1319">
        <v>3300</v>
      </c>
      <c r="I788" s="1028">
        <v>3300</v>
      </c>
      <c r="J788" s="1290">
        <v>3300</v>
      </c>
      <c r="K788" s="1545">
        <v>3300</v>
      </c>
      <c r="L788" s="1027">
        <v>3300</v>
      </c>
      <c r="M788" s="58"/>
      <c r="N788" s="20"/>
      <c r="O788" s="58"/>
      <c r="P788" s="50"/>
      <c r="Q788" s="50"/>
      <c r="R788" s="16"/>
    </row>
    <row r="789" spans="1:18" s="41" customFormat="1" x14ac:dyDescent="0.2">
      <c r="A789" s="1031">
        <v>821</v>
      </c>
      <c r="B789" s="1031"/>
      <c r="C789" s="1031" t="s">
        <v>854</v>
      </c>
      <c r="D789" s="1027">
        <v>2391000</v>
      </c>
      <c r="E789" s="1248">
        <v>2651080</v>
      </c>
      <c r="F789" s="1817">
        <v>1033074</v>
      </c>
      <c r="G789" s="1031"/>
      <c r="H789" s="835"/>
      <c r="I789" s="1031"/>
      <c r="J789" s="1746"/>
      <c r="K789" s="1031"/>
      <c r="L789" s="1031"/>
      <c r="M789" s="58"/>
      <c r="N789" s="20"/>
      <c r="O789" s="58"/>
      <c r="P789" s="50"/>
      <c r="Q789" s="50"/>
      <c r="R789" s="16"/>
    </row>
    <row r="790" spans="1:18" s="41" customFormat="1" x14ac:dyDescent="0.2">
      <c r="A790" s="1031">
        <v>821</v>
      </c>
      <c r="B790" s="1031">
        <v>10</v>
      </c>
      <c r="C790" s="1031" t="s">
        <v>1011</v>
      </c>
      <c r="D790" s="1027"/>
      <c r="E790" s="1248"/>
      <c r="F790" s="1817"/>
      <c r="G790" s="1031"/>
      <c r="H790" s="835"/>
      <c r="I790" s="1031">
        <v>56582</v>
      </c>
      <c r="J790" s="1746"/>
      <c r="K790" s="1031"/>
      <c r="L790" s="1031"/>
      <c r="M790" s="58"/>
      <c r="N790" s="20"/>
      <c r="O790" s="58"/>
      <c r="P790" s="50"/>
      <c r="Q790" s="50"/>
      <c r="R790" s="16"/>
    </row>
    <row r="791" spans="1:18" s="41" customFormat="1" x14ac:dyDescent="0.2">
      <c r="A791" s="1031">
        <v>821</v>
      </c>
      <c r="B791" s="1031"/>
      <c r="C791" s="1031" t="s">
        <v>853</v>
      </c>
      <c r="D791" s="1027">
        <v>0</v>
      </c>
      <c r="E791" s="1624">
        <v>26060</v>
      </c>
      <c r="F791" s="1319">
        <v>78180</v>
      </c>
      <c r="G791" s="1028">
        <v>86592</v>
      </c>
      <c r="H791" s="1319">
        <v>95004</v>
      </c>
      <c r="I791" s="1028">
        <v>95004</v>
      </c>
      <c r="J791" s="1290">
        <v>95004</v>
      </c>
      <c r="K791" s="1516">
        <v>107807</v>
      </c>
      <c r="L791" s="1028">
        <v>107807</v>
      </c>
      <c r="M791" s="58"/>
      <c r="N791" s="20"/>
      <c r="O791" s="58"/>
      <c r="P791" s="58"/>
      <c r="Q791" s="58"/>
      <c r="R791" s="16"/>
    </row>
    <row r="792" spans="1:18" x14ac:dyDescent="0.2">
      <c r="A792" s="1683" t="s">
        <v>624</v>
      </c>
      <c r="B792" s="1683"/>
      <c r="C792" s="1683"/>
      <c r="D792" s="1704">
        <f>SUM(D785:D791)</f>
        <v>2405200</v>
      </c>
      <c r="E792" s="1686">
        <f>SUM(E784:E791)</f>
        <v>2744687</v>
      </c>
      <c r="F792" s="1686">
        <f>SUM(F784:F791)</f>
        <v>1150364</v>
      </c>
      <c r="G792" s="1704">
        <f>SUM(G785:G791)+G784</f>
        <v>142501</v>
      </c>
      <c r="H792" s="1704">
        <f>H785+H791+H787+H788+H784+H789+H786</f>
        <v>138304</v>
      </c>
      <c r="I792" s="1704">
        <f>I785+I791+I787+I788+I784+I789+I786+I790</f>
        <v>210086</v>
      </c>
      <c r="J792" s="1706">
        <f>J785+J791+J787+J788+J784+J789</f>
        <v>153504</v>
      </c>
      <c r="K792" s="1704">
        <f>K785+K791+K787+K788+K784+K789</f>
        <v>141107</v>
      </c>
      <c r="L792" s="1704">
        <f>L785+L791+L787+L788+L784+L789</f>
        <v>131107</v>
      </c>
      <c r="M792" s="59"/>
      <c r="N792" s="491"/>
      <c r="O792" s="469"/>
      <c r="P792" s="469"/>
      <c r="Q792" s="469"/>
    </row>
    <row r="793" spans="1:18" x14ac:dyDescent="0.2">
      <c r="A793" s="88"/>
      <c r="B793" s="20"/>
      <c r="C793" s="88"/>
      <c r="D793" s="83"/>
      <c r="E793" s="1032"/>
      <c r="F793" s="1032"/>
      <c r="G793" s="83"/>
      <c r="H793" s="83"/>
      <c r="I793" s="83"/>
      <c r="J793" s="1291"/>
      <c r="K793" s="83"/>
      <c r="L793" s="83"/>
      <c r="M793" s="59"/>
      <c r="N793" s="491"/>
      <c r="O793" s="469"/>
      <c r="P793" s="469"/>
      <c r="Q793" s="469"/>
    </row>
    <row r="794" spans="1:18" hidden="1" x14ac:dyDescent="0.2">
      <c r="A794" s="88"/>
      <c r="B794" s="20"/>
      <c r="C794" s="88"/>
      <c r="D794" s="83"/>
      <c r="E794" s="1032"/>
      <c r="F794" s="1032"/>
      <c r="G794" s="83"/>
      <c r="H794" s="83"/>
      <c r="I794" s="83"/>
      <c r="J794" s="1291"/>
      <c r="K794" s="83"/>
      <c r="L794" s="83"/>
      <c r="M794" s="59"/>
      <c r="N794" s="491"/>
      <c r="O794" s="469"/>
      <c r="P794" s="469"/>
      <c r="Q794" s="469"/>
    </row>
    <row r="795" spans="1:18" hidden="1" x14ac:dyDescent="0.2">
      <c r="A795" s="88"/>
      <c r="B795" s="20"/>
      <c r="C795" s="88"/>
      <c r="D795" s="83"/>
      <c r="E795" s="1032"/>
      <c r="F795" s="1032"/>
      <c r="G795" s="83"/>
      <c r="H795" s="83"/>
      <c r="I795" s="83"/>
      <c r="J795" s="1291"/>
      <c r="K795" s="83"/>
      <c r="L795" s="83"/>
      <c r="M795" s="59"/>
      <c r="N795" s="491"/>
      <c r="O795" s="469"/>
      <c r="P795" s="469"/>
      <c r="Q795" s="469"/>
    </row>
    <row r="796" spans="1:18" hidden="1" x14ac:dyDescent="0.2">
      <c r="A796" s="88"/>
      <c r="B796" s="20"/>
      <c r="C796" s="88"/>
      <c r="D796" s="83"/>
      <c r="E796" s="1032"/>
      <c r="F796" s="1032"/>
      <c r="G796" s="83"/>
      <c r="H796" s="83"/>
      <c r="I796" s="83"/>
      <c r="J796" s="1291"/>
      <c r="K796" s="83"/>
      <c r="L796" s="83"/>
      <c r="M796" s="59"/>
      <c r="N796" s="491"/>
      <c r="O796" s="469"/>
      <c r="P796" s="469"/>
      <c r="Q796" s="469"/>
    </row>
    <row r="797" spans="1:18" hidden="1" x14ac:dyDescent="0.2">
      <c r="A797" s="88"/>
      <c r="B797" s="20"/>
      <c r="C797" s="88"/>
      <c r="D797" s="83"/>
      <c r="E797" s="1032"/>
      <c r="F797" s="1032"/>
      <c r="G797" s="83"/>
      <c r="H797" s="83"/>
      <c r="I797" s="83"/>
      <c r="J797" s="1291"/>
      <c r="K797" s="83"/>
      <c r="L797" s="83"/>
      <c r="M797" s="59"/>
      <c r="N797" s="491"/>
      <c r="O797" s="469"/>
      <c r="P797" s="469"/>
      <c r="Q797" s="469"/>
    </row>
    <row r="798" spans="1:18" hidden="1" x14ac:dyDescent="0.2">
      <c r="A798" s="88"/>
      <c r="B798" s="20"/>
      <c r="C798" s="88"/>
      <c r="D798" s="83"/>
      <c r="E798" s="1032"/>
      <c r="F798" s="1032"/>
      <c r="G798" s="83"/>
      <c r="H798" s="83"/>
      <c r="I798" s="83"/>
      <c r="J798" s="1291"/>
      <c r="K798" s="83"/>
      <c r="L798" s="83"/>
      <c r="M798" s="59"/>
      <c r="N798" s="491"/>
      <c r="O798" s="469"/>
      <c r="P798" s="469"/>
      <c r="Q798" s="469"/>
    </row>
    <row r="799" spans="1:18" hidden="1" x14ac:dyDescent="0.2">
      <c r="A799" s="88"/>
      <c r="B799" s="20"/>
      <c r="C799" s="88"/>
      <c r="D799" s="83"/>
      <c r="E799" s="1032"/>
      <c r="F799" s="1032"/>
      <c r="G799" s="83"/>
      <c r="H799" s="83"/>
      <c r="I799" s="83"/>
      <c r="J799" s="1291"/>
      <c r="K799" s="83"/>
      <c r="L799" s="83"/>
      <c r="M799" s="59"/>
      <c r="N799" s="491"/>
      <c r="O799" s="469"/>
      <c r="P799" s="469"/>
      <c r="Q799" s="469"/>
    </row>
    <row r="800" spans="1:18" hidden="1" x14ac:dyDescent="0.2">
      <c r="A800" s="88"/>
      <c r="B800" s="20"/>
      <c r="C800" s="88"/>
      <c r="D800" s="83"/>
      <c r="E800" s="1032"/>
      <c r="F800" s="1032"/>
      <c r="G800" s="83"/>
      <c r="H800" s="83"/>
      <c r="I800" s="83"/>
      <c r="J800" s="1291"/>
      <c r="K800" s="83"/>
      <c r="L800" s="83"/>
      <c r="M800" s="59"/>
      <c r="N800" s="491"/>
      <c r="O800" s="469"/>
      <c r="P800" s="469"/>
      <c r="Q800" s="469"/>
    </row>
    <row r="801" spans="1:18" hidden="1" x14ac:dyDescent="0.2">
      <c r="A801" s="88"/>
      <c r="B801" s="20"/>
      <c r="C801" s="88"/>
      <c r="D801" s="83"/>
      <c r="E801" s="1032"/>
      <c r="F801" s="1032"/>
      <c r="G801" s="83"/>
      <c r="H801" s="83"/>
      <c r="I801" s="83"/>
      <c r="J801" s="1291"/>
      <c r="K801" s="83"/>
      <c r="L801" s="83"/>
      <c r="M801" s="59"/>
      <c r="N801" s="491"/>
      <c r="O801" s="469"/>
      <c r="P801" s="469"/>
      <c r="Q801" s="469"/>
    </row>
    <row r="802" spans="1:18" hidden="1" x14ac:dyDescent="0.2">
      <c r="A802" s="88"/>
      <c r="B802" s="20"/>
      <c r="C802" s="88"/>
      <c r="D802" s="83"/>
      <c r="E802" s="1032"/>
      <c r="F802" s="1032"/>
      <c r="G802" s="83"/>
      <c r="H802" s="83"/>
      <c r="I802" s="83"/>
      <c r="J802" s="1291"/>
      <c r="K802" s="83"/>
      <c r="L802" s="83"/>
      <c r="M802" s="59"/>
      <c r="N802" s="491"/>
      <c r="O802" s="469"/>
      <c r="P802" s="469"/>
      <c r="Q802" s="469"/>
    </row>
    <row r="803" spans="1:18" hidden="1" x14ac:dyDescent="0.2">
      <c r="A803" s="88"/>
      <c r="B803" s="20"/>
      <c r="C803" s="88"/>
      <c r="D803" s="83"/>
      <c r="E803" s="1032"/>
      <c r="F803" s="1032"/>
      <c r="G803" s="83"/>
      <c r="H803" s="83"/>
      <c r="I803" s="83"/>
      <c r="J803" s="1291"/>
      <c r="K803" s="83"/>
      <c r="L803" s="83"/>
      <c r="M803" s="59"/>
      <c r="N803" s="491"/>
      <c r="O803" s="469"/>
      <c r="P803" s="469"/>
      <c r="Q803" s="469"/>
    </row>
    <row r="804" spans="1:18" hidden="1" x14ac:dyDescent="0.2">
      <c r="A804" s="88"/>
      <c r="B804" s="20"/>
      <c r="C804" s="88"/>
      <c r="D804" s="83"/>
      <c r="E804" s="1032"/>
      <c r="F804" s="1032"/>
      <c r="G804" s="83"/>
      <c r="H804" s="83"/>
      <c r="I804" s="83"/>
      <c r="J804" s="1291"/>
      <c r="K804" s="83"/>
      <c r="L804" s="83"/>
      <c r="M804" s="59"/>
      <c r="N804" s="491"/>
      <c r="O804" s="469"/>
      <c r="P804" s="469"/>
      <c r="Q804" s="469"/>
    </row>
    <row r="805" spans="1:18" hidden="1" x14ac:dyDescent="0.2">
      <c r="A805" s="88"/>
      <c r="B805" s="20"/>
      <c r="C805" s="88"/>
      <c r="D805" s="83"/>
      <c r="E805" s="1032"/>
      <c r="F805" s="1032"/>
      <c r="G805" s="83"/>
      <c r="H805" s="83"/>
      <c r="I805" s="83"/>
      <c r="J805" s="1291"/>
      <c r="K805" s="83"/>
      <c r="L805" s="83"/>
      <c r="M805" s="59"/>
      <c r="N805" s="491"/>
      <c r="O805" s="469"/>
      <c r="P805" s="469"/>
      <c r="Q805" s="469"/>
    </row>
    <row r="806" spans="1:18" hidden="1" x14ac:dyDescent="0.2">
      <c r="A806" s="88"/>
      <c r="B806" s="20"/>
      <c r="C806" s="88"/>
      <c r="D806" s="83"/>
      <c r="E806" s="1032"/>
      <c r="F806" s="1032"/>
      <c r="G806" s="83"/>
      <c r="H806" s="83"/>
      <c r="I806" s="83"/>
      <c r="J806" s="1291"/>
      <c r="K806" s="83"/>
      <c r="L806" s="83"/>
      <c r="M806" s="59"/>
      <c r="N806" s="491"/>
      <c r="O806" s="469"/>
      <c r="P806" s="469"/>
      <c r="Q806" s="469"/>
    </row>
    <row r="807" spans="1:18" x14ac:dyDescent="0.2">
      <c r="A807" s="41"/>
      <c r="B807" s="41"/>
      <c r="C807" s="41"/>
      <c r="D807" s="41"/>
      <c r="E807" s="41"/>
      <c r="F807" s="41"/>
      <c r="G807" s="537"/>
      <c r="H807" s="537"/>
      <c r="I807" s="537"/>
      <c r="J807" s="1291"/>
      <c r="K807" s="537"/>
      <c r="L807" s="45"/>
    </row>
    <row r="808" spans="1:18" ht="13.5" hidden="1" thickBot="1" x14ac:dyDescent="0.25">
      <c r="A808" s="41"/>
      <c r="B808" s="41"/>
      <c r="C808" s="41"/>
      <c r="D808" s="41"/>
      <c r="E808" s="41"/>
      <c r="F808" s="41"/>
      <c r="G808" s="537"/>
      <c r="H808" s="537"/>
      <c r="I808" s="537"/>
      <c r="K808" s="537"/>
      <c r="L808" s="45"/>
    </row>
    <row r="809" spans="1:18" ht="13.5" hidden="1" thickBot="1" x14ac:dyDescent="0.25">
      <c r="A809" s="41"/>
      <c r="B809" s="41"/>
      <c r="C809" s="41"/>
      <c r="D809" s="41"/>
      <c r="E809" s="41"/>
      <c r="F809" s="41"/>
      <c r="G809" s="537"/>
      <c r="H809" s="537"/>
      <c r="I809" s="537"/>
      <c r="K809" s="537"/>
      <c r="L809" s="45"/>
    </row>
    <row r="810" spans="1:18" s="498" customFormat="1" x14ac:dyDescent="0.2">
      <c r="A810" s="1707" t="s">
        <v>444</v>
      </c>
      <c r="B810" s="1708"/>
      <c r="C810" s="1708"/>
      <c r="D810" s="1709">
        <v>2018</v>
      </c>
      <c r="E810" s="1709" t="s">
        <v>960</v>
      </c>
      <c r="F810" s="1709">
        <v>2021</v>
      </c>
      <c r="G810" s="1710">
        <v>2022</v>
      </c>
      <c r="H810" s="1711">
        <v>2023</v>
      </c>
      <c r="I810" s="1712" t="s">
        <v>981</v>
      </c>
      <c r="J810" s="1713">
        <v>2024</v>
      </c>
      <c r="K810" s="1710">
        <v>2025</v>
      </c>
      <c r="L810" s="1710">
        <v>2026</v>
      </c>
      <c r="M810" s="496"/>
      <c r="N810" s="496"/>
      <c r="O810" s="561"/>
      <c r="P810" s="562"/>
      <c r="Q810" s="466"/>
    </row>
    <row r="811" spans="1:18" x14ac:dyDescent="0.2">
      <c r="A811" s="1714" t="s">
        <v>625</v>
      </c>
      <c r="B811" s="1714"/>
      <c r="C811" s="1714"/>
      <c r="D811" s="1027">
        <f>D627-D386-D441</f>
        <v>1044165</v>
      </c>
      <c r="E811" s="1027">
        <f>SUM(E627)-E386-E441</f>
        <v>1078362.0000000002</v>
      </c>
      <c r="F811" s="1027">
        <f>F627-F386-F441</f>
        <v>1184894.1499999999</v>
      </c>
      <c r="G811" s="1027">
        <f>SUM(G627)-G386-G441</f>
        <v>1252812</v>
      </c>
      <c r="H811" s="1087">
        <f>H627-H386-H441</f>
        <v>1117253</v>
      </c>
      <c r="I811" s="1087">
        <f>I627-I386-I441</f>
        <v>1287494</v>
      </c>
      <c r="J811" s="1290">
        <f>J627-J386-J441</f>
        <v>1209290</v>
      </c>
      <c r="K811" s="1087">
        <f>SUM(K105,K122,K169,K231,K275,K294,K312,K379,K582,K626)</f>
        <v>2758814</v>
      </c>
      <c r="L811" s="1087">
        <f>SUM(L627)</f>
        <v>2776340</v>
      </c>
      <c r="M811" s="58"/>
      <c r="N811" s="563"/>
      <c r="O811" s="58"/>
      <c r="P811" s="58"/>
      <c r="Q811" s="58"/>
      <c r="R811" s="564"/>
    </row>
    <row r="812" spans="1:18" x14ac:dyDescent="0.2">
      <c r="A812" s="1714" t="s">
        <v>626</v>
      </c>
      <c r="B812" s="1714"/>
      <c r="C812" s="1714"/>
      <c r="D812" s="1027">
        <f>D769</f>
        <v>3657374</v>
      </c>
      <c r="E812" s="1027">
        <f>SUM(E769)</f>
        <v>3253234</v>
      </c>
      <c r="F812" s="1027">
        <f>F769</f>
        <v>903569</v>
      </c>
      <c r="G812" s="1027">
        <f>SUM(G769)</f>
        <v>134227</v>
      </c>
      <c r="H812" s="1087">
        <f>H769</f>
        <v>60000</v>
      </c>
      <c r="I812" s="1087">
        <f>I769</f>
        <v>85412</v>
      </c>
      <c r="J812" s="1290">
        <f>J769</f>
        <v>0</v>
      </c>
      <c r="K812" s="1033">
        <f>K769</f>
        <v>0</v>
      </c>
      <c r="L812" s="1033">
        <f>SUM(L769)</f>
        <v>0</v>
      </c>
      <c r="M812" s="58"/>
      <c r="N812" s="563"/>
      <c r="O812" s="50"/>
      <c r="P812" s="50"/>
      <c r="Q812" s="50"/>
      <c r="R812" s="94"/>
    </row>
    <row r="813" spans="1:18" x14ac:dyDescent="0.2">
      <c r="A813" s="1714" t="s">
        <v>438</v>
      </c>
      <c r="B813" s="1714"/>
      <c r="C813" s="1714"/>
      <c r="D813" s="1027">
        <f t="shared" ref="D813:K813" si="103">D792</f>
        <v>2405200</v>
      </c>
      <c r="E813" s="1027">
        <f t="shared" si="103"/>
        <v>2744687</v>
      </c>
      <c r="F813" s="1027">
        <f t="shared" si="103"/>
        <v>1150364</v>
      </c>
      <c r="G813" s="1027">
        <f t="shared" si="103"/>
        <v>142501</v>
      </c>
      <c r="H813" s="1087">
        <f t="shared" si="103"/>
        <v>138304</v>
      </c>
      <c r="I813" s="1087">
        <f>I792</f>
        <v>210086</v>
      </c>
      <c r="J813" s="1290">
        <f>J792</f>
        <v>153504</v>
      </c>
      <c r="K813" s="1033">
        <f t="shared" si="103"/>
        <v>141107</v>
      </c>
      <c r="L813" s="1033">
        <f>SUM(L792)</f>
        <v>131107</v>
      </c>
      <c r="M813" s="58"/>
      <c r="N813" s="563"/>
      <c r="O813" s="58"/>
      <c r="P813" s="58"/>
      <c r="Q813" s="58"/>
      <c r="R813" s="565"/>
    </row>
    <row r="814" spans="1:18" x14ac:dyDescent="0.2">
      <c r="A814" s="1714" t="s">
        <v>827</v>
      </c>
      <c r="B814" s="1714"/>
      <c r="C814" s="1714"/>
      <c r="D814" s="1027">
        <f t="shared" ref="D814:J814" si="104">D386+D441</f>
        <v>941483</v>
      </c>
      <c r="E814" s="1027">
        <f t="shared" si="104"/>
        <v>1227882.24</v>
      </c>
      <c r="F814" s="1027">
        <f t="shared" si="104"/>
        <v>1247371</v>
      </c>
      <c r="G814" s="1027">
        <f t="shared" si="104"/>
        <v>1275473</v>
      </c>
      <c r="H814" s="1087">
        <f t="shared" si="104"/>
        <v>1469579</v>
      </c>
      <c r="I814" s="1087">
        <f t="shared" si="104"/>
        <v>1464004</v>
      </c>
      <c r="J814" s="1287">
        <f t="shared" si="104"/>
        <v>1513168</v>
      </c>
      <c r="K814" s="1033"/>
      <c r="L814" s="1033"/>
      <c r="M814" s="58"/>
      <c r="N814" s="563"/>
      <c r="O814" s="58"/>
      <c r="P814" s="58"/>
      <c r="Q814" s="58"/>
      <c r="R814" s="565"/>
    </row>
    <row r="815" spans="1:18" x14ac:dyDescent="0.2">
      <c r="A815" s="1548" t="s">
        <v>627</v>
      </c>
      <c r="B815" s="1715"/>
      <c r="C815" s="1715"/>
      <c r="D815" s="1716">
        <f>SUM(D811:D813)+D814</f>
        <v>8048222</v>
      </c>
      <c r="E815" s="1716">
        <f>SUM(E811,E812,E813)+E814</f>
        <v>8304165.2400000002</v>
      </c>
      <c r="F815" s="1716">
        <f>SUM(F811:F813)+F814</f>
        <v>4486198.1500000004</v>
      </c>
      <c r="G815" s="1716">
        <f>SUM(G811,G812,G813)+G814</f>
        <v>2805013</v>
      </c>
      <c r="H815" s="1717">
        <f>H811+H812+H813+H814</f>
        <v>2785136</v>
      </c>
      <c r="I815" s="1717">
        <f>I811+I812+I813+I814</f>
        <v>3046996</v>
      </c>
      <c r="J815" s="1301">
        <f>J811+J812+J813+J814</f>
        <v>2875962</v>
      </c>
      <c r="K815" s="1718">
        <f>K811+K812+K813</f>
        <v>2899921</v>
      </c>
      <c r="L815" s="1718">
        <f>SUM(L811,L812,L813)</f>
        <v>2907447</v>
      </c>
      <c r="M815" s="58"/>
      <c r="N815" s="563"/>
      <c r="O815" s="58"/>
      <c r="P815" s="58"/>
      <c r="Q815" s="58"/>
    </row>
    <row r="816" spans="1:18" ht="14.25" x14ac:dyDescent="0.2">
      <c r="A816" s="566"/>
      <c r="B816" s="567"/>
      <c r="C816" s="567"/>
      <c r="D816" s="537"/>
      <c r="E816" s="459"/>
      <c r="F816" s="459"/>
      <c r="H816" s="82"/>
      <c r="I816" s="82"/>
      <c r="J816" s="1284"/>
      <c r="K816" s="82"/>
      <c r="L816" s="45"/>
      <c r="N816" s="568"/>
    </row>
    <row r="817" spans="1:18" x14ac:dyDescent="0.2">
      <c r="A817" s="1714" t="s">
        <v>1</v>
      </c>
      <c r="B817" s="1714"/>
      <c r="C817" s="1714"/>
      <c r="D817" s="1027">
        <f>príjmy!J287</f>
        <v>1379071.67</v>
      </c>
      <c r="E817" s="1027">
        <f>SUM(príjmy!K287)</f>
        <v>1575644</v>
      </c>
      <c r="F817" s="1027">
        <f>príjmy!L287</f>
        <v>1587130</v>
      </c>
      <c r="G817" s="1027">
        <f>príjmy!M287</f>
        <v>1610436</v>
      </c>
      <c r="H817" s="1087">
        <f>príjmy!N287</f>
        <v>1621629</v>
      </c>
      <c r="I817" s="1087">
        <f>príjmy!O287</f>
        <v>1823324</v>
      </c>
      <c r="J817" s="1290">
        <f>príjmy!P287</f>
        <v>1765829</v>
      </c>
      <c r="K817" s="1033">
        <f>príjmy!Q287</f>
        <v>1835434</v>
      </c>
      <c r="L817" s="1033">
        <f>SUM(príjmy!R121)</f>
        <v>1955631</v>
      </c>
      <c r="M817" s="64"/>
      <c r="N817" s="53"/>
      <c r="O817" s="58"/>
      <c r="P817" s="58"/>
      <c r="Q817" s="58"/>
      <c r="R817" s="93"/>
    </row>
    <row r="818" spans="1:18" x14ac:dyDescent="0.2">
      <c r="A818" s="1714" t="s">
        <v>79</v>
      </c>
      <c r="B818" s="1714"/>
      <c r="C818" s="1714"/>
      <c r="D818" s="1027">
        <f>príjmy!J288</f>
        <v>2604287.5699999998</v>
      </c>
      <c r="E818" s="1027">
        <f>SUM(príjmy!K288)</f>
        <v>2970920</v>
      </c>
      <c r="F818" s="1027">
        <f>príjmy!L288</f>
        <v>1696143</v>
      </c>
      <c r="G818" s="1027">
        <f>príjmy!M288</f>
        <v>23000</v>
      </c>
      <c r="H818" s="1087">
        <f>príjmy!N288</f>
        <v>77000</v>
      </c>
      <c r="I818" s="1087">
        <f>príjmy!O288</f>
        <v>25705</v>
      </c>
      <c r="J818" s="1290">
        <f>príjmy!P288</f>
        <v>55000</v>
      </c>
      <c r="K818" s="1033">
        <f>príjmy!Q288</f>
        <v>30000</v>
      </c>
      <c r="L818" s="1033">
        <f>SUM(príjmy!R158)</f>
        <v>20000</v>
      </c>
      <c r="M818" s="64"/>
      <c r="N818" s="53"/>
      <c r="O818" s="58"/>
      <c r="P818" s="58"/>
      <c r="Q818" s="58"/>
      <c r="R818" s="459"/>
    </row>
    <row r="819" spans="1:18" x14ac:dyDescent="0.2">
      <c r="A819" s="1714" t="s">
        <v>85</v>
      </c>
      <c r="B819" s="1714"/>
      <c r="C819" s="1714"/>
      <c r="D819" s="1027">
        <f>príjmy!J289</f>
        <v>3473630.42</v>
      </c>
      <c r="E819" s="1027">
        <f>SUM(príjmy!K289)</f>
        <v>2880952</v>
      </c>
      <c r="F819" s="1027">
        <f>príjmy!L289</f>
        <v>247358</v>
      </c>
      <c r="G819" s="1027">
        <f>príjmy!M289</f>
        <v>192106</v>
      </c>
      <c r="H819" s="1087">
        <f>príjmy!N289</f>
        <v>0</v>
      </c>
      <c r="I819" s="1087">
        <f>príjmy!O289</f>
        <v>128391</v>
      </c>
      <c r="J819" s="1290">
        <f>príjmy!P289</f>
        <v>10000</v>
      </c>
      <c r="K819" s="1033">
        <f>príjmy!Q289</f>
        <v>0</v>
      </c>
      <c r="L819" s="1033">
        <f>SUM(príjmy!R206)</f>
        <v>0</v>
      </c>
      <c r="M819" s="64"/>
      <c r="N819" s="53"/>
      <c r="O819" s="58"/>
      <c r="P819" s="58"/>
      <c r="Q819" s="58"/>
      <c r="R819" s="94"/>
    </row>
    <row r="820" spans="1:18" x14ac:dyDescent="0.2">
      <c r="A820" s="1714" t="s">
        <v>160</v>
      </c>
      <c r="B820" s="1714"/>
      <c r="C820" s="1714"/>
      <c r="D820" s="1027">
        <f>príjmy!J290</f>
        <v>696009</v>
      </c>
      <c r="E820" s="1027">
        <f>príjmy!K274</f>
        <v>930051.71</v>
      </c>
      <c r="F820" s="1027">
        <f>príjmy!L290</f>
        <v>965013</v>
      </c>
      <c r="G820" s="1027">
        <f>príjmy!M290</f>
        <v>979772</v>
      </c>
      <c r="H820" s="1087">
        <f>príjmy!N290</f>
        <v>1089014</v>
      </c>
      <c r="I820" s="1087">
        <f>príjmy!O290</f>
        <v>1084195</v>
      </c>
      <c r="J820" s="1290">
        <f>príjmy!P290</f>
        <v>1048851</v>
      </c>
      <c r="K820" s="1033">
        <f>príjmy!Q274</f>
        <v>1051233</v>
      </c>
      <c r="L820" s="1033">
        <f>SUM(príjmy!R274)</f>
        <v>1051433</v>
      </c>
      <c r="M820" s="64"/>
      <c r="N820" s="53"/>
      <c r="O820" s="58"/>
      <c r="P820" s="58"/>
      <c r="Q820" s="58"/>
      <c r="R820" s="19"/>
    </row>
    <row r="821" spans="1:18" x14ac:dyDescent="0.2">
      <c r="A821" s="1548" t="s">
        <v>165</v>
      </c>
      <c r="B821" s="1715"/>
      <c r="C821" s="1715"/>
      <c r="D821" s="1716">
        <f>SUM(D817:D820)</f>
        <v>8152998.6600000001</v>
      </c>
      <c r="E821" s="1716">
        <f>SUM(E817,E818,E819,E820)</f>
        <v>8357567.71</v>
      </c>
      <c r="F821" s="1716">
        <f>SUM(F817:F820)</f>
        <v>4495644</v>
      </c>
      <c r="G821" s="1716">
        <f>SUM(G817,G818,G819,G820)</f>
        <v>2805314</v>
      </c>
      <c r="H821" s="1717">
        <f>H817+H818+H819+H820</f>
        <v>2787643</v>
      </c>
      <c r="I821" s="1717">
        <f>I817+I818+I819+I820</f>
        <v>3061615</v>
      </c>
      <c r="J821" s="1301">
        <f>J817+J818+J819+J820</f>
        <v>2879680</v>
      </c>
      <c r="K821" s="1718">
        <f>K817+K818+K819+K820</f>
        <v>2916667</v>
      </c>
      <c r="L821" s="1718">
        <f>SUM(L817,L818,L819,L820)</f>
        <v>3027064</v>
      </c>
      <c r="M821" s="64"/>
      <c r="N821" s="1155"/>
      <c r="O821" s="58"/>
      <c r="P821" s="58"/>
      <c r="Q821" s="58"/>
    </row>
    <row r="822" spans="1:18" x14ac:dyDescent="0.2">
      <c r="J822" s="1291"/>
      <c r="N822" s="72"/>
    </row>
    <row r="823" spans="1:18" x14ac:dyDescent="0.2">
      <c r="A823" s="1110"/>
      <c r="B823" s="1110"/>
      <c r="C823" s="1110"/>
      <c r="D823" s="1111">
        <f t="shared" ref="D823:L823" si="105">D821-D815</f>
        <v>104776.66000000015</v>
      </c>
      <c r="E823" s="1112">
        <f t="shared" si="105"/>
        <v>53402.469999999739</v>
      </c>
      <c r="F823" s="1112">
        <f t="shared" si="105"/>
        <v>9445.8499999996275</v>
      </c>
      <c r="G823" s="1112">
        <f>G821-G815</f>
        <v>301</v>
      </c>
      <c r="H823" s="1112">
        <f t="shared" si="105"/>
        <v>2507</v>
      </c>
      <c r="I823" s="1112">
        <f>I821-I815</f>
        <v>14619</v>
      </c>
      <c r="J823" s="1296">
        <f>J821-J815</f>
        <v>3718</v>
      </c>
      <c r="K823" s="1112">
        <f t="shared" si="105"/>
        <v>16746</v>
      </c>
      <c r="L823" s="1112">
        <f t="shared" si="105"/>
        <v>119617</v>
      </c>
      <c r="N823" s="1154"/>
      <c r="Q823" s="72"/>
    </row>
    <row r="824" spans="1:18" x14ac:dyDescent="0.2">
      <c r="A824" s="1113"/>
      <c r="B824" s="1113"/>
      <c r="C824" s="1113"/>
      <c r="D824" s="1114"/>
      <c r="E824" s="1115"/>
      <c r="F824" s="1115"/>
      <c r="G824" s="1115"/>
      <c r="H824" s="1115"/>
      <c r="I824" s="1115"/>
      <c r="J824" s="1293"/>
      <c r="K824" s="1115"/>
      <c r="L824" s="1115"/>
    </row>
    <row r="825" spans="1:18" x14ac:dyDescent="0.2">
      <c r="A825" s="2063"/>
      <c r="B825" s="2063"/>
      <c r="C825" s="1116"/>
      <c r="D825" s="1117"/>
      <c r="E825" s="1118"/>
      <c r="F825" s="1118"/>
      <c r="G825" s="1118"/>
      <c r="H825" s="1119"/>
      <c r="I825" s="1119"/>
      <c r="J825" s="1292"/>
      <c r="K825" s="1120"/>
      <c r="L825" s="1120"/>
      <c r="N825" s="72"/>
    </row>
    <row r="826" spans="1:18" x14ac:dyDescent="0.2">
      <c r="A826" s="2062"/>
      <c r="B826" s="1121"/>
      <c r="C826" s="1122"/>
      <c r="D826" s="1123"/>
      <c r="E826" s="1123"/>
      <c r="F826" s="1123"/>
      <c r="G826" s="1123"/>
      <c r="H826" s="1124"/>
      <c r="I826" s="1124"/>
      <c r="J826" s="1294"/>
      <c r="K826" s="1125"/>
      <c r="L826" s="1029"/>
      <c r="N826" s="72"/>
    </row>
    <row r="827" spans="1:18" x14ac:dyDescent="0.2">
      <c r="A827" s="2062"/>
      <c r="B827" s="1121"/>
      <c r="C827" s="1126"/>
      <c r="D827" s="1127"/>
      <c r="E827" s="1127"/>
      <c r="F827" s="1128"/>
      <c r="G827" s="1127"/>
      <c r="H827" s="1124"/>
      <c r="I827" s="1124"/>
      <c r="J827" s="1294"/>
      <c r="K827" s="1125"/>
      <c r="L827" s="1029"/>
      <c r="N827" s="72"/>
    </row>
    <row r="828" spans="1:18" x14ac:dyDescent="0.2">
      <c r="A828" s="2062"/>
      <c r="B828" s="1121"/>
      <c r="C828" s="1122"/>
      <c r="D828" s="1127"/>
      <c r="E828" s="1127"/>
      <c r="F828" s="1128"/>
      <c r="G828" s="1127"/>
      <c r="H828" s="1124"/>
      <c r="I828" s="1124"/>
      <c r="J828" s="1294"/>
      <c r="K828" s="1125"/>
      <c r="L828" s="1029"/>
    </row>
    <row r="829" spans="1:18" x14ac:dyDescent="0.2">
      <c r="A829" s="2062"/>
      <c r="B829" s="1121"/>
      <c r="C829" s="1126"/>
      <c r="D829" s="1127"/>
      <c r="E829" s="1127"/>
      <c r="F829" s="1128"/>
      <c r="G829" s="1127"/>
      <c r="H829" s="1124"/>
      <c r="I829" s="1124"/>
      <c r="J829" s="1294"/>
      <c r="K829" s="1125"/>
      <c r="L829" s="1029"/>
      <c r="N829" s="72"/>
    </row>
    <row r="830" spans="1:18" x14ac:dyDescent="0.2">
      <c r="A830" s="2062"/>
      <c r="B830" s="1121"/>
      <c r="C830" s="1122"/>
      <c r="D830" s="1123"/>
      <c r="E830" s="1123"/>
      <c r="F830" s="1128"/>
      <c r="G830" s="1123"/>
      <c r="H830" s="1124"/>
      <c r="I830" s="1124"/>
      <c r="J830" s="1294"/>
      <c r="K830" s="1125"/>
      <c r="L830" s="1029"/>
      <c r="N830" s="72"/>
    </row>
    <row r="831" spans="1:18" x14ac:dyDescent="0.2">
      <c r="A831" s="2062"/>
      <c r="B831" s="1121"/>
      <c r="C831" s="1126"/>
      <c r="D831" s="1127"/>
      <c r="E831" s="1127"/>
      <c r="F831" s="1128"/>
      <c r="G831" s="1127"/>
      <c r="H831" s="1124"/>
      <c r="I831" s="1124"/>
      <c r="J831" s="1294"/>
      <c r="K831" s="1125"/>
      <c r="L831" s="1029"/>
      <c r="N831" s="72"/>
    </row>
    <row r="832" spans="1:18" x14ac:dyDescent="0.2">
      <c r="A832" s="2062"/>
      <c r="B832" s="1121"/>
      <c r="C832" s="1122"/>
      <c r="D832" s="1127"/>
      <c r="E832" s="1127"/>
      <c r="F832" s="1128"/>
      <c r="G832" s="1127"/>
      <c r="H832" s="1124"/>
      <c r="I832" s="1124"/>
      <c r="J832" s="1294"/>
      <c r="K832" s="1125"/>
      <c r="L832" s="1029"/>
    </row>
    <row r="833" spans="1:14" x14ac:dyDescent="0.2">
      <c r="A833" s="2062"/>
      <c r="B833" s="1121"/>
      <c r="C833" s="1126"/>
      <c r="D833" s="1127"/>
      <c r="E833" s="1127"/>
      <c r="F833" s="1128"/>
      <c r="G833" s="1127"/>
      <c r="H833" s="1124"/>
      <c r="I833" s="1124"/>
      <c r="J833" s="1294"/>
      <c r="K833" s="1125"/>
      <c r="L833" s="1029"/>
    </row>
    <row r="834" spans="1:14" x14ac:dyDescent="0.2">
      <c r="A834" s="1129"/>
      <c r="B834" s="1129"/>
      <c r="C834" s="1130"/>
      <c r="D834" s="1120"/>
      <c r="E834" s="1120"/>
      <c r="F834" s="1120"/>
      <c r="G834" s="1120"/>
      <c r="H834" s="1131"/>
      <c r="I834" s="1131"/>
      <c r="J834" s="1293"/>
      <c r="K834" s="1120"/>
      <c r="L834" s="1105"/>
    </row>
    <row r="835" spans="1:14" x14ac:dyDescent="0.2">
      <c r="A835" s="2065"/>
      <c r="B835" s="2065"/>
      <c r="C835" s="1132"/>
      <c r="D835" s="1127"/>
      <c r="E835" s="1127"/>
      <c r="F835" s="1128"/>
      <c r="G835" s="1127"/>
      <c r="H835" s="1131"/>
      <c r="I835" s="1131"/>
      <c r="J835" s="1293"/>
      <c r="K835" s="1120"/>
      <c r="L835" s="1105"/>
      <c r="N835" s="72"/>
    </row>
    <row r="836" spans="1:14" x14ac:dyDescent="0.2">
      <c r="A836" s="2061"/>
      <c r="B836" s="2061"/>
      <c r="C836" s="1133"/>
      <c r="D836" s="1127"/>
      <c r="E836" s="1127"/>
      <c r="F836" s="1128"/>
      <c r="G836" s="1127"/>
      <c r="H836" s="1131"/>
      <c r="I836" s="1131"/>
      <c r="J836" s="1293"/>
      <c r="K836" s="1120"/>
      <c r="L836" s="1105"/>
      <c r="N836" s="72"/>
    </row>
    <row r="837" spans="1:14" x14ac:dyDescent="0.2">
      <c r="A837" s="1134"/>
      <c r="B837" s="1134"/>
      <c r="C837" s="1134"/>
      <c r="D837" s="1127"/>
      <c r="E837" s="1127"/>
      <c r="F837" s="1128"/>
      <c r="G837" s="1127"/>
      <c r="H837" s="1124"/>
      <c r="I837" s="1124"/>
      <c r="J837" s="1294"/>
      <c r="K837" s="1125"/>
      <c r="L837" s="1029"/>
      <c r="N837" s="72"/>
    </row>
    <row r="838" spans="1:14" x14ac:dyDescent="0.2">
      <c r="A838" s="1134"/>
      <c r="B838" s="1135"/>
      <c r="C838" s="1134"/>
      <c r="D838" s="1127"/>
      <c r="E838" s="1127"/>
      <c r="F838" s="1128"/>
      <c r="G838" s="1127"/>
      <c r="H838" s="1124"/>
      <c r="I838" s="1124"/>
      <c r="J838" s="1294"/>
      <c r="K838" s="1125"/>
      <c r="L838" s="1029"/>
    </row>
    <row r="839" spans="1:14" x14ac:dyDescent="0.2">
      <c r="A839" s="1134"/>
      <c r="B839" s="1135"/>
      <c r="C839" s="1134"/>
      <c r="D839" s="1127"/>
      <c r="E839" s="1127"/>
      <c r="F839" s="1128"/>
      <c r="G839" s="1127"/>
      <c r="H839" s="1124"/>
      <c r="I839" s="1124"/>
      <c r="J839" s="1294"/>
      <c r="K839" s="1125"/>
      <c r="L839" s="1029"/>
    </row>
    <row r="840" spans="1:14" x14ac:dyDescent="0.2">
      <c r="A840" s="1134"/>
      <c r="B840" s="1134"/>
      <c r="C840" s="1134"/>
      <c r="D840" s="1127"/>
      <c r="E840" s="1127"/>
      <c r="F840" s="1128"/>
      <c r="G840" s="1127"/>
      <c r="H840" s="1124"/>
      <c r="I840" s="1124"/>
      <c r="J840" s="1294"/>
      <c r="K840" s="1125"/>
      <c r="L840" s="1029"/>
    </row>
    <row r="841" spans="1:14" x14ac:dyDescent="0.2">
      <c r="A841" s="1136"/>
      <c r="B841" s="1121"/>
      <c r="C841" s="1126"/>
      <c r="D841" s="1127"/>
      <c r="E841" s="1127"/>
      <c r="F841" s="1128"/>
      <c r="G841" s="1127"/>
      <c r="H841" s="1124"/>
      <c r="I841" s="1124"/>
      <c r="J841" s="1294"/>
      <c r="K841" s="1125"/>
      <c r="L841" s="1029"/>
    </row>
    <row r="842" spans="1:14" x14ac:dyDescent="0.2">
      <c r="A842" s="1134"/>
      <c r="B842" s="1134"/>
      <c r="C842" s="1134"/>
      <c r="D842" s="1127"/>
      <c r="E842" s="1127"/>
      <c r="F842" s="1128"/>
      <c r="G842" s="1127"/>
      <c r="H842" s="1124"/>
      <c r="I842" s="1124"/>
      <c r="J842" s="1294"/>
      <c r="K842" s="1125"/>
      <c r="L842" s="1029"/>
    </row>
    <row r="843" spans="1:14" x14ac:dyDescent="0.2">
      <c r="A843" s="1134"/>
      <c r="B843" s="1134"/>
      <c r="C843" s="1134"/>
      <c r="D843" s="1127"/>
      <c r="E843" s="1127"/>
      <c r="F843" s="1128"/>
      <c r="G843" s="1127"/>
      <c r="H843" s="1124"/>
      <c r="I843" s="1124"/>
      <c r="J843" s="1294"/>
      <c r="K843" s="1125"/>
      <c r="L843" s="1029"/>
    </row>
    <row r="844" spans="1:14" x14ac:dyDescent="0.2">
      <c r="A844" s="1134"/>
      <c r="B844" s="1134"/>
      <c r="C844" s="1134"/>
      <c r="D844" s="1127"/>
      <c r="E844" s="1127"/>
      <c r="F844" s="1128"/>
      <c r="G844" s="1127"/>
      <c r="H844" s="1124"/>
      <c r="I844" s="1124"/>
      <c r="J844" s="1294"/>
      <c r="K844" s="1125"/>
      <c r="L844" s="1029"/>
    </row>
    <row r="845" spans="1:14" x14ac:dyDescent="0.2">
      <c r="A845" s="1134"/>
      <c r="B845" s="1134"/>
      <c r="C845" s="1134"/>
      <c r="D845" s="1127"/>
      <c r="E845" s="1127"/>
      <c r="F845" s="1128"/>
      <c r="G845" s="1127"/>
      <c r="H845" s="1124"/>
      <c r="I845" s="1124"/>
      <c r="J845" s="1294"/>
      <c r="K845" s="1125"/>
      <c r="L845" s="1029"/>
    </row>
    <row r="846" spans="1:14" x14ac:dyDescent="0.2">
      <c r="A846" s="2061"/>
      <c r="B846" s="2061"/>
      <c r="C846" s="1133"/>
      <c r="D846" s="1127"/>
      <c r="E846" s="1127"/>
      <c r="F846" s="1128"/>
      <c r="G846" s="1127"/>
      <c r="H846" s="1137"/>
      <c r="I846" s="1137"/>
      <c r="J846" s="1295"/>
      <c r="K846" s="1138"/>
      <c r="L846" s="1106"/>
    </row>
    <row r="847" spans="1:14" x14ac:dyDescent="0.2">
      <c r="A847" s="1134"/>
      <c r="B847" s="1134"/>
      <c r="C847" s="1134"/>
      <c r="D847" s="1127"/>
      <c r="E847" s="1127"/>
      <c r="F847" s="1128"/>
      <c r="G847" s="1127"/>
      <c r="H847" s="1124"/>
      <c r="I847" s="1124"/>
      <c r="J847" s="1294"/>
      <c r="K847" s="1125"/>
      <c r="L847" s="1029"/>
    </row>
    <row r="848" spans="1:14" x14ac:dyDescent="0.2">
      <c r="A848" s="2061"/>
      <c r="B848" s="2061"/>
      <c r="C848" s="1133"/>
      <c r="D848" s="1127"/>
      <c r="E848" s="1127"/>
      <c r="F848" s="1128"/>
      <c r="G848" s="1127"/>
      <c r="H848" s="1131"/>
      <c r="I848" s="1131"/>
      <c r="J848" s="1293"/>
      <c r="K848" s="1120"/>
      <c r="L848" s="1105"/>
    </row>
    <row r="849" spans="1:12" x14ac:dyDescent="0.2">
      <c r="A849" s="1134"/>
      <c r="B849" s="1134"/>
      <c r="C849" s="1134"/>
      <c r="D849" s="1127"/>
      <c r="E849" s="1127"/>
      <c r="F849" s="1128"/>
      <c r="G849" s="1127"/>
      <c r="H849" s="1124"/>
      <c r="I849" s="1124"/>
      <c r="J849" s="1294"/>
      <c r="K849" s="1125"/>
      <c r="L849" s="1029"/>
    </row>
    <row r="850" spans="1:12" x14ac:dyDescent="0.2">
      <c r="A850" s="1134"/>
      <c r="B850" s="1134"/>
      <c r="C850" s="1134"/>
      <c r="D850" s="1127"/>
      <c r="E850" s="1127"/>
      <c r="F850" s="1128"/>
      <c r="G850" s="1127"/>
      <c r="H850" s="1124"/>
      <c r="I850" s="1124"/>
      <c r="J850" s="1294"/>
      <c r="K850" s="1125"/>
      <c r="L850" s="1029"/>
    </row>
    <row r="851" spans="1:12" x14ac:dyDescent="0.2">
      <c r="A851" s="1134"/>
      <c r="B851" s="1134"/>
      <c r="C851" s="1134"/>
      <c r="D851" s="1127"/>
      <c r="E851" s="1127"/>
      <c r="F851" s="1128"/>
      <c r="G851" s="1127"/>
      <c r="H851" s="1124"/>
      <c r="I851" s="1124"/>
      <c r="J851" s="1294"/>
      <c r="K851" s="1125"/>
      <c r="L851" s="1029"/>
    </row>
    <row r="852" spans="1:12" x14ac:dyDescent="0.2">
      <c r="A852" s="2061"/>
      <c r="B852" s="2061"/>
      <c r="C852" s="1133"/>
      <c r="D852" s="1127"/>
      <c r="E852" s="1127"/>
      <c r="F852" s="1128"/>
      <c r="G852" s="1127"/>
      <c r="H852" s="1131"/>
      <c r="I852" s="1131"/>
      <c r="J852" s="1293"/>
      <c r="K852" s="1120"/>
      <c r="L852" s="1105"/>
    </row>
    <row r="853" spans="1:12" x14ac:dyDescent="0.2">
      <c r="A853" s="1134"/>
      <c r="B853" s="1134"/>
      <c r="C853" s="1134"/>
      <c r="D853" s="1127"/>
      <c r="E853" s="1127"/>
      <c r="F853" s="1128"/>
      <c r="G853" s="1127"/>
      <c r="H853" s="1124"/>
      <c r="I853" s="1124"/>
      <c r="J853" s="1294"/>
      <c r="K853" s="1125"/>
      <c r="L853" s="1029"/>
    </row>
    <row r="854" spans="1:12" x14ac:dyDescent="0.2">
      <c r="A854" s="1134"/>
      <c r="B854" s="1134"/>
      <c r="C854" s="1134"/>
      <c r="D854" s="1127"/>
      <c r="E854" s="1127"/>
      <c r="F854" s="1128"/>
      <c r="G854" s="1127"/>
      <c r="H854" s="1124"/>
      <c r="I854" s="1124"/>
      <c r="J854" s="1294"/>
      <c r="K854" s="1125"/>
      <c r="L854" s="1029"/>
    </row>
    <row r="855" spans="1:12" x14ac:dyDescent="0.2">
      <c r="A855" s="1134"/>
      <c r="B855" s="1134"/>
      <c r="C855" s="1134"/>
      <c r="D855" s="1127"/>
      <c r="E855" s="1127"/>
      <c r="F855" s="1128"/>
      <c r="G855" s="1127"/>
      <c r="H855" s="1124"/>
      <c r="I855" s="1124"/>
      <c r="J855" s="1294"/>
      <c r="K855" s="1125"/>
      <c r="L855" s="1029"/>
    </row>
    <row r="856" spans="1:12" x14ac:dyDescent="0.2">
      <c r="A856" s="1134"/>
      <c r="B856" s="1134"/>
      <c r="C856" s="1134"/>
      <c r="D856" s="1127"/>
      <c r="E856" s="1127"/>
      <c r="F856" s="1128"/>
      <c r="G856" s="1127"/>
      <c r="H856" s="1124"/>
      <c r="I856" s="1124"/>
      <c r="J856" s="1294"/>
      <c r="K856" s="1125"/>
      <c r="L856" s="1029"/>
    </row>
    <row r="857" spans="1:12" x14ac:dyDescent="0.2">
      <c r="A857" s="1134"/>
      <c r="B857" s="1134"/>
      <c r="C857" s="1134"/>
      <c r="D857" s="1127"/>
      <c r="E857" s="1127"/>
      <c r="F857" s="1128"/>
      <c r="G857" s="1127"/>
      <c r="H857" s="1124"/>
      <c r="I857" s="1124"/>
      <c r="J857" s="1294"/>
      <c r="K857" s="1125"/>
      <c r="L857" s="1029"/>
    </row>
    <row r="858" spans="1:12" x14ac:dyDescent="0.2">
      <c r="A858" s="1134"/>
      <c r="B858" s="1134"/>
      <c r="C858" s="1134"/>
      <c r="D858" s="1127"/>
      <c r="E858" s="1127"/>
      <c r="F858" s="1128"/>
      <c r="G858" s="1127"/>
      <c r="H858" s="1124"/>
      <c r="I858" s="1124"/>
      <c r="J858" s="1294"/>
      <c r="K858" s="1125"/>
      <c r="L858" s="1029"/>
    </row>
    <row r="859" spans="1:12" x14ac:dyDescent="0.2">
      <c r="A859" s="1134"/>
      <c r="B859" s="1134"/>
      <c r="C859" s="1134"/>
      <c r="D859" s="1127"/>
      <c r="E859" s="1127"/>
      <c r="F859" s="1128"/>
      <c r="G859" s="1127"/>
      <c r="H859" s="1124"/>
      <c r="I859" s="1124"/>
      <c r="J859" s="1294"/>
      <c r="K859" s="1125"/>
      <c r="L859" s="1029"/>
    </row>
    <row r="860" spans="1:12" x14ac:dyDescent="0.2">
      <c r="A860" s="1134"/>
      <c r="B860" s="1134"/>
      <c r="C860" s="1134"/>
      <c r="D860" s="1127"/>
      <c r="E860" s="1127"/>
      <c r="F860" s="1128"/>
      <c r="G860" s="1127"/>
      <c r="H860" s="1124"/>
      <c r="I860" s="1124"/>
      <c r="J860" s="1294"/>
      <c r="K860" s="1125"/>
      <c r="L860" s="1029"/>
    </row>
    <row r="861" spans="1:12" x14ac:dyDescent="0.2">
      <c r="A861" s="2061"/>
      <c r="B861" s="2061"/>
      <c r="C861" s="1133"/>
      <c r="D861" s="1127"/>
      <c r="E861" s="1127"/>
      <c r="F861" s="1128"/>
      <c r="G861" s="1127"/>
      <c r="H861" s="1137"/>
      <c r="I861" s="1137"/>
      <c r="J861" s="1295"/>
      <c r="K861" s="1138"/>
      <c r="L861" s="1106"/>
    </row>
    <row r="862" spans="1:12" x14ac:dyDescent="0.2">
      <c r="A862" s="1139"/>
      <c r="B862" s="1133"/>
      <c r="C862" s="1126"/>
      <c r="D862" s="1127"/>
      <c r="E862" s="1127"/>
      <c r="F862" s="1140"/>
      <c r="G862" s="1127"/>
      <c r="H862" s="1141"/>
      <c r="I862" s="1141"/>
      <c r="J862" s="1295"/>
      <c r="K862" s="1142"/>
      <c r="L862" s="1096"/>
    </row>
    <row r="863" spans="1:12" x14ac:dyDescent="0.2">
      <c r="A863" s="1139"/>
      <c r="B863" s="1133"/>
      <c r="C863" s="1126"/>
      <c r="D863" s="1127"/>
      <c r="E863" s="1127"/>
      <c r="F863" s="1140"/>
      <c r="G863" s="1127"/>
      <c r="H863" s="1141"/>
      <c r="I863" s="1141"/>
      <c r="J863" s="1295"/>
      <c r="K863" s="1142"/>
      <c r="L863" s="1096"/>
    </row>
    <row r="864" spans="1:12" x14ac:dyDescent="0.2">
      <c r="A864" s="1139"/>
      <c r="B864" s="1133"/>
      <c r="C864" s="1126"/>
      <c r="D864" s="1127"/>
      <c r="E864" s="1127"/>
      <c r="F864" s="1140"/>
      <c r="G864" s="1127"/>
      <c r="H864" s="1141"/>
      <c r="I864" s="1141"/>
      <c r="J864" s="1295"/>
      <c r="K864" s="1142"/>
      <c r="L864" s="1096"/>
    </row>
    <row r="865" spans="1:12" x14ac:dyDescent="0.2">
      <c r="A865" s="1139"/>
      <c r="B865" s="1133"/>
      <c r="C865" s="1126"/>
      <c r="D865" s="1127"/>
      <c r="E865" s="1127"/>
      <c r="F865" s="1140"/>
      <c r="G865" s="1127"/>
      <c r="H865" s="1143"/>
      <c r="I865" s="1143"/>
      <c r="J865" s="1294"/>
      <c r="K865" s="1144"/>
      <c r="L865" s="1107"/>
    </row>
    <row r="866" spans="1:12" x14ac:dyDescent="0.2">
      <c r="A866" s="1139"/>
      <c r="B866" s="1133"/>
      <c r="C866" s="1126"/>
      <c r="D866" s="1127"/>
      <c r="E866" s="1127"/>
      <c r="F866" s="1140"/>
      <c r="G866" s="1127"/>
      <c r="H866" s="1143"/>
      <c r="I866" s="1143"/>
      <c r="J866" s="1294"/>
      <c r="K866" s="1144"/>
      <c r="L866" s="1107"/>
    </row>
    <row r="867" spans="1:12" x14ac:dyDescent="0.2">
      <c r="A867" s="1139"/>
      <c r="B867" s="1133"/>
      <c r="C867" s="1126"/>
      <c r="D867" s="1127"/>
      <c r="E867" s="1127"/>
      <c r="F867" s="1140"/>
      <c r="G867" s="1127"/>
      <c r="H867" s="1143"/>
      <c r="I867" s="1143"/>
      <c r="J867" s="1294"/>
      <c r="K867" s="1144"/>
      <c r="L867" s="1107"/>
    </row>
    <row r="868" spans="1:12" x14ac:dyDescent="0.2">
      <c r="A868" s="1139"/>
      <c r="B868" s="1133"/>
      <c r="C868" s="1126"/>
      <c r="D868" s="1127"/>
      <c r="E868" s="1127"/>
      <c r="F868" s="1140"/>
      <c r="G868" s="1127"/>
      <c r="H868" s="1141"/>
      <c r="I868" s="1141"/>
      <c r="J868" s="1295"/>
      <c r="K868" s="1142"/>
      <c r="L868" s="1096"/>
    </row>
    <row r="869" spans="1:12" x14ac:dyDescent="0.2">
      <c r="A869" s="1139"/>
      <c r="B869" s="1133"/>
      <c r="C869" s="1126"/>
      <c r="D869" s="1127"/>
      <c r="E869" s="1127"/>
      <c r="F869" s="1140"/>
      <c r="G869" s="1127"/>
      <c r="H869" s="1143"/>
      <c r="I869" s="1143"/>
      <c r="J869" s="1294"/>
      <c r="K869" s="1144"/>
      <c r="L869" s="1107"/>
    </row>
    <row r="870" spans="1:12" x14ac:dyDescent="0.2">
      <c r="A870" s="1139"/>
      <c r="B870" s="1133"/>
      <c r="C870" s="1126"/>
      <c r="D870" s="1127"/>
      <c r="E870" s="1127"/>
      <c r="F870" s="1140"/>
      <c r="G870" s="1127"/>
      <c r="H870" s="1143"/>
      <c r="I870" s="1143"/>
      <c r="J870" s="1294"/>
      <c r="K870" s="1144"/>
      <c r="L870" s="1107"/>
    </row>
    <row r="871" spans="1:12" x14ac:dyDescent="0.2">
      <c r="A871" s="1139"/>
      <c r="B871" s="1133"/>
      <c r="C871" s="1126"/>
      <c r="D871" s="1127"/>
      <c r="E871" s="1127"/>
      <c r="F871" s="1140"/>
      <c r="G871" s="1127"/>
      <c r="H871" s="1143"/>
      <c r="I871" s="1143"/>
      <c r="J871" s="1294"/>
      <c r="K871" s="1144"/>
      <c r="L871" s="1107"/>
    </row>
    <row r="872" spans="1:12" x14ac:dyDescent="0.2">
      <c r="A872" s="1139"/>
      <c r="B872" s="1133"/>
      <c r="C872" s="1126"/>
      <c r="D872" s="1127"/>
      <c r="E872" s="1127"/>
      <c r="F872" s="1140"/>
      <c r="G872" s="1127"/>
      <c r="H872" s="1143"/>
      <c r="I872" s="1143"/>
      <c r="J872" s="1294"/>
      <c r="K872" s="1144"/>
      <c r="L872" s="1107"/>
    </row>
    <row r="873" spans="1:12" x14ac:dyDescent="0.2">
      <c r="A873" s="1139"/>
      <c r="B873" s="1133"/>
      <c r="C873" s="1126"/>
      <c r="D873" s="1127"/>
      <c r="E873" s="1127"/>
      <c r="F873" s="1140"/>
      <c r="G873" s="1127"/>
      <c r="H873" s="1141"/>
      <c r="I873" s="1141"/>
      <c r="J873" s="1295"/>
      <c r="K873" s="1142"/>
      <c r="L873" s="1096"/>
    </row>
    <row r="874" spans="1:12" x14ac:dyDescent="0.2">
      <c r="A874" s="1139"/>
      <c r="B874" s="1133"/>
      <c r="C874" s="1126"/>
      <c r="D874" s="1127"/>
      <c r="E874" s="1127"/>
      <c r="F874" s="1140"/>
      <c r="G874" s="1127"/>
      <c r="H874" s="1141"/>
      <c r="I874" s="1141"/>
      <c r="J874" s="1295"/>
      <c r="K874" s="1142"/>
      <c r="L874" s="1096"/>
    </row>
    <row r="875" spans="1:12" x14ac:dyDescent="0.2">
      <c r="A875" s="1139"/>
      <c r="B875" s="1133"/>
      <c r="C875" s="1126"/>
      <c r="D875" s="1127"/>
      <c r="E875" s="1127"/>
      <c r="F875" s="1140"/>
      <c r="G875" s="1127"/>
      <c r="H875" s="1143"/>
      <c r="I875" s="1143"/>
      <c r="J875" s="1294"/>
      <c r="K875" s="1144"/>
      <c r="L875" s="1107"/>
    </row>
    <row r="876" spans="1:12" x14ac:dyDescent="0.2">
      <c r="A876" s="1139"/>
      <c r="B876" s="1133"/>
      <c r="C876" s="1126"/>
      <c r="D876" s="1127"/>
      <c r="E876" s="1127"/>
      <c r="F876" s="1128"/>
      <c r="G876" s="1127"/>
      <c r="H876" s="1143"/>
      <c r="I876" s="1143"/>
      <c r="J876" s="1294"/>
      <c r="K876" s="1144"/>
      <c r="L876" s="1107"/>
    </row>
    <row r="877" spans="1:12" x14ac:dyDescent="0.2">
      <c r="A877" s="1139"/>
      <c r="B877" s="1133"/>
      <c r="C877" s="1126"/>
      <c r="D877" s="1127"/>
      <c r="E877" s="1127"/>
      <c r="F877" s="1128"/>
      <c r="G877" s="1127"/>
      <c r="H877" s="1143"/>
      <c r="I877" s="1143"/>
      <c r="J877" s="1294"/>
      <c r="K877" s="1144"/>
      <c r="L877" s="1107"/>
    </row>
    <row r="878" spans="1:12" x14ac:dyDescent="0.2">
      <c r="A878" s="1113"/>
      <c r="B878" s="1113"/>
      <c r="C878" s="1113"/>
      <c r="D878" s="1115"/>
      <c r="E878" s="1115"/>
      <c r="F878" s="1115"/>
      <c r="G878" s="1115"/>
      <c r="H878" s="1115"/>
      <c r="I878" s="1115"/>
      <c r="J878" s="1293"/>
      <c r="K878" s="1115"/>
      <c r="L878" s="1104"/>
    </row>
    <row r="879" spans="1:12" x14ac:dyDescent="0.2">
      <c r="A879" s="2063"/>
      <c r="B879" s="2063"/>
      <c r="C879" s="1130"/>
      <c r="D879" s="1145"/>
      <c r="E879" s="1145"/>
      <c r="F879" s="1145"/>
      <c r="G879" s="1145"/>
      <c r="H879" s="1137"/>
      <c r="I879" s="1137"/>
      <c r="J879" s="1295"/>
      <c r="K879" s="1138"/>
      <c r="L879" s="1106"/>
    </row>
    <row r="880" spans="1:12" x14ac:dyDescent="0.2">
      <c r="A880" s="2062"/>
      <c r="B880" s="1121"/>
      <c r="C880" s="1122"/>
      <c r="D880" s="1145"/>
      <c r="E880" s="1145"/>
      <c r="F880" s="1145"/>
      <c r="G880" s="1145"/>
      <c r="H880" s="1124"/>
      <c r="I880" s="1124"/>
      <c r="J880" s="1294"/>
      <c r="K880" s="1125"/>
      <c r="L880" s="1029"/>
    </row>
    <row r="881" spans="1:12" x14ac:dyDescent="0.2">
      <c r="A881" s="2062"/>
      <c r="B881" s="1121"/>
      <c r="C881" s="1126"/>
      <c r="D881" s="1123"/>
      <c r="E881" s="1123"/>
      <c r="F881" s="1123"/>
      <c r="G881" s="1123"/>
      <c r="H881" s="1124"/>
      <c r="I881" s="1124"/>
      <c r="J881" s="1294"/>
      <c r="K881" s="1125"/>
      <c r="L881" s="1029"/>
    </row>
    <row r="882" spans="1:12" x14ac:dyDescent="0.2">
      <c r="A882" s="2062"/>
      <c r="B882" s="1121"/>
      <c r="C882" s="1122"/>
      <c r="D882" s="1127"/>
      <c r="E882" s="1127"/>
      <c r="F882" s="1127"/>
      <c r="G882" s="1127"/>
      <c r="H882" s="1124"/>
      <c r="I882" s="1124"/>
      <c r="J882" s="1294"/>
      <c r="K882" s="1125"/>
      <c r="L882" s="1029"/>
    </row>
    <row r="883" spans="1:12" x14ac:dyDescent="0.2">
      <c r="A883" s="2062"/>
      <c r="B883" s="1121"/>
      <c r="C883" s="1126"/>
      <c r="D883" s="1127"/>
      <c r="E883" s="1127"/>
      <c r="F883" s="1127"/>
      <c r="G883" s="1127"/>
      <c r="H883" s="1124"/>
      <c r="I883" s="1124"/>
      <c r="J883" s="1294"/>
      <c r="K883" s="1125"/>
      <c r="L883" s="1029"/>
    </row>
    <row r="884" spans="1:12" x14ac:dyDescent="0.2">
      <c r="A884" s="2062"/>
      <c r="B884" s="1121"/>
      <c r="C884" s="1122"/>
      <c r="D884" s="1101"/>
      <c r="E884" s="1101"/>
      <c r="F884" s="1101"/>
      <c r="G884" s="1101"/>
      <c r="H884" s="1124"/>
      <c r="I884" s="1124"/>
      <c r="J884" s="1294"/>
      <c r="K884" s="1125"/>
      <c r="L884" s="490"/>
    </row>
    <row r="885" spans="1:12" x14ac:dyDescent="0.2">
      <c r="A885" s="2062"/>
      <c r="B885" s="1121"/>
      <c r="C885" s="1126"/>
      <c r="D885" s="1101"/>
      <c r="E885" s="1101"/>
      <c r="F885" s="1101"/>
      <c r="G885" s="1101"/>
      <c r="H885" s="1124"/>
      <c r="I885" s="1124"/>
      <c r="J885" s="1294"/>
      <c r="K885" s="1125"/>
      <c r="L885" s="490"/>
    </row>
    <row r="886" spans="1:12" x14ac:dyDescent="0.2">
      <c r="A886" s="2062"/>
      <c r="B886" s="1121"/>
      <c r="C886" s="1122"/>
      <c r="D886" s="1101"/>
      <c r="E886" s="1101"/>
      <c r="F886" s="1101"/>
      <c r="G886" s="1101"/>
      <c r="H886" s="1124"/>
      <c r="I886" s="1124"/>
      <c r="J886" s="1294"/>
      <c r="K886" s="1125"/>
      <c r="L886" s="490"/>
    </row>
    <row r="887" spans="1:12" x14ac:dyDescent="0.2">
      <c r="A887" s="2062"/>
      <c r="B887" s="1121"/>
      <c r="C887" s="1126"/>
      <c r="D887" s="1101"/>
      <c r="E887" s="1101"/>
      <c r="F887" s="1146"/>
      <c r="G887" s="1146"/>
      <c r="H887" s="1147"/>
      <c r="I887" s="1147"/>
      <c r="J887" s="1294"/>
      <c r="K887" s="1148"/>
      <c r="L887" s="1108"/>
    </row>
    <row r="888" spans="1:12" x14ac:dyDescent="0.2">
      <c r="A888" s="1129"/>
      <c r="B888" s="1129"/>
      <c r="C888" s="1130"/>
      <c r="D888" s="1101"/>
      <c r="E888" s="1101"/>
      <c r="F888" s="1101"/>
      <c r="G888" s="1101"/>
      <c r="H888" s="1137"/>
      <c r="I888" s="1137"/>
      <c r="J888" s="1295"/>
      <c r="K888" s="1138"/>
      <c r="L888" s="1109"/>
    </row>
    <row r="889" spans="1:12" x14ac:dyDescent="0.2">
      <c r="A889" s="2063"/>
      <c r="B889" s="2063"/>
      <c r="C889" s="1130"/>
      <c r="D889" s="1101"/>
      <c r="E889" s="1101"/>
      <c r="F889" s="1101"/>
      <c r="G889" s="1101"/>
      <c r="H889" s="1137"/>
      <c r="I889" s="1137"/>
      <c r="J889" s="1295"/>
      <c r="K889" s="1138"/>
      <c r="L889" s="1109"/>
    </row>
    <row r="890" spans="1:12" x14ac:dyDescent="0.2">
      <c r="A890" s="2064"/>
      <c r="B890" s="2064"/>
      <c r="C890" s="1116"/>
      <c r="D890" s="1101"/>
      <c r="E890" s="1101"/>
      <c r="F890" s="1101"/>
      <c r="G890" s="1101"/>
      <c r="H890" s="1137"/>
      <c r="I890" s="1137"/>
      <c r="J890" s="1295"/>
      <c r="K890" s="1138"/>
      <c r="L890" s="1109"/>
    </row>
    <row r="891" spans="1:12" x14ac:dyDescent="0.2">
      <c r="A891" s="1134"/>
      <c r="B891" s="1134"/>
      <c r="C891" s="1134"/>
      <c r="D891" s="1101"/>
      <c r="E891" s="1101"/>
      <c r="F891" s="1101"/>
      <c r="G891" s="1101"/>
      <c r="H891" s="1149"/>
      <c r="I891" s="1149"/>
      <c r="J891" s="1294"/>
      <c r="K891" s="1101"/>
      <c r="L891" s="1098"/>
    </row>
    <row r="892" spans="1:12" x14ac:dyDescent="0.2">
      <c r="A892" s="1134"/>
      <c r="B892" s="1135"/>
      <c r="C892" s="1134"/>
      <c r="D892" s="1101"/>
      <c r="E892" s="1101"/>
      <c r="F892" s="1101"/>
      <c r="G892" s="1101"/>
      <c r="H892" s="1149"/>
      <c r="I892" s="1149"/>
      <c r="J892" s="1294"/>
      <c r="K892" s="1101"/>
      <c r="L892" s="1098"/>
    </row>
    <row r="893" spans="1:12" x14ac:dyDescent="0.2">
      <c r="A893" s="1134"/>
      <c r="B893" s="1135"/>
      <c r="C893" s="1134"/>
      <c r="D893" s="1101"/>
      <c r="E893" s="1101"/>
      <c r="F893" s="1101"/>
      <c r="G893" s="1101"/>
      <c r="H893" s="1149"/>
      <c r="I893" s="1149"/>
      <c r="J893" s="1294"/>
      <c r="K893" s="1101"/>
      <c r="L893" s="1098"/>
    </row>
    <row r="894" spans="1:12" x14ac:dyDescent="0.2">
      <c r="A894" s="1134"/>
      <c r="B894" s="1134"/>
      <c r="C894" s="1134"/>
      <c r="D894" s="1101"/>
      <c r="E894" s="1101"/>
      <c r="F894" s="1101"/>
      <c r="G894" s="1101"/>
      <c r="H894" s="1147"/>
      <c r="I894" s="1147"/>
      <c r="J894" s="1294"/>
      <c r="K894" s="1148"/>
      <c r="L894" s="1108"/>
    </row>
    <row r="895" spans="1:12" x14ac:dyDescent="0.2">
      <c r="A895" s="1134"/>
      <c r="B895" s="1134"/>
      <c r="C895" s="1134"/>
      <c r="D895" s="1101"/>
      <c r="E895" s="1101"/>
      <c r="F895" s="1101"/>
      <c r="G895" s="1101"/>
      <c r="H895" s="1147"/>
      <c r="I895" s="1147"/>
      <c r="J895" s="1294"/>
      <c r="K895" s="1148"/>
      <c r="L895" s="1108"/>
    </row>
    <row r="896" spans="1:12" x14ac:dyDescent="0.2">
      <c r="A896" s="1134"/>
      <c r="B896" s="1134"/>
      <c r="C896" s="1134"/>
      <c r="D896" s="1101"/>
      <c r="E896" s="1101"/>
      <c r="F896" s="1101"/>
      <c r="G896" s="1101"/>
      <c r="H896" s="1147"/>
      <c r="I896" s="1147"/>
      <c r="J896" s="1294"/>
      <c r="K896" s="1148"/>
      <c r="L896" s="1108"/>
    </row>
    <row r="897" spans="1:12" x14ac:dyDescent="0.2">
      <c r="A897" s="1134"/>
      <c r="B897" s="1134"/>
      <c r="C897" s="1134"/>
      <c r="D897" s="1101"/>
      <c r="E897" s="1101"/>
      <c r="F897" s="1101"/>
      <c r="G897" s="1101"/>
      <c r="H897" s="1147"/>
      <c r="I897" s="1147"/>
      <c r="J897" s="1294"/>
      <c r="K897" s="1148"/>
      <c r="L897" s="1108"/>
    </row>
    <row r="898" spans="1:12" x14ac:dyDescent="0.2">
      <c r="A898" s="1134"/>
      <c r="B898" s="1134"/>
      <c r="C898" s="1134"/>
      <c r="D898" s="1101"/>
      <c r="E898" s="1101"/>
      <c r="F898" s="1101"/>
      <c r="G898" s="1101"/>
      <c r="H898" s="1147"/>
      <c r="I898" s="1147"/>
      <c r="J898" s="1294"/>
      <c r="K898" s="1148"/>
      <c r="L898" s="1108"/>
    </row>
    <row r="899" spans="1:12" x14ac:dyDescent="0.2">
      <c r="A899" s="1134"/>
      <c r="B899" s="1134"/>
      <c r="C899" s="1134"/>
      <c r="D899" s="1101"/>
      <c r="E899" s="1101"/>
      <c r="F899" s="1101"/>
      <c r="G899" s="1101"/>
      <c r="H899" s="1147"/>
      <c r="I899" s="1147"/>
      <c r="J899" s="1294"/>
      <c r="K899" s="1148"/>
      <c r="L899" s="1108"/>
    </row>
    <row r="900" spans="1:12" x14ac:dyDescent="0.2">
      <c r="A900" s="2061"/>
      <c r="B900" s="2061"/>
      <c r="C900" s="1133"/>
      <c r="D900" s="1101"/>
      <c r="E900" s="1101"/>
      <c r="F900" s="1101"/>
      <c r="G900" s="1101"/>
      <c r="H900" s="1137"/>
      <c r="I900" s="1137"/>
      <c r="J900" s="1295"/>
      <c r="K900" s="1138"/>
      <c r="L900" s="1109"/>
    </row>
    <row r="901" spans="1:12" x14ac:dyDescent="0.2">
      <c r="A901" s="1134"/>
      <c r="B901" s="1134"/>
      <c r="C901" s="1134"/>
      <c r="D901" s="1101"/>
      <c r="E901" s="1101"/>
      <c r="F901" s="1101"/>
      <c r="G901" s="1101"/>
      <c r="H901" s="1147"/>
      <c r="I901" s="1147"/>
      <c r="J901" s="1294"/>
      <c r="K901" s="1148"/>
      <c r="L901" s="1108"/>
    </row>
    <row r="902" spans="1:12" x14ac:dyDescent="0.2">
      <c r="A902" s="2061"/>
      <c r="B902" s="2061"/>
      <c r="C902" s="1133"/>
      <c r="D902" s="1101"/>
      <c r="E902" s="1101"/>
      <c r="F902" s="1101"/>
      <c r="G902" s="1101"/>
      <c r="H902" s="1137"/>
      <c r="I902" s="1137"/>
      <c r="J902" s="1295"/>
      <c r="K902" s="1138"/>
      <c r="L902" s="1109"/>
    </row>
    <row r="903" spans="1:12" x14ac:dyDescent="0.2">
      <c r="A903" s="1134"/>
      <c r="B903" s="1134"/>
      <c r="C903" s="1134"/>
      <c r="D903" s="1101"/>
      <c r="E903" s="1101"/>
      <c r="F903" s="1101"/>
      <c r="G903" s="1101"/>
      <c r="H903" s="1147"/>
      <c r="I903" s="1147"/>
      <c r="J903" s="1294"/>
      <c r="K903" s="1148"/>
      <c r="L903" s="1108"/>
    </row>
    <row r="904" spans="1:12" x14ac:dyDescent="0.2">
      <c r="A904" s="1134"/>
      <c r="B904" s="1134"/>
      <c r="C904" s="1134"/>
      <c r="D904" s="1101"/>
      <c r="E904" s="1101"/>
      <c r="F904" s="1101"/>
      <c r="G904" s="1101"/>
      <c r="H904" s="1147"/>
      <c r="I904" s="1147"/>
      <c r="J904" s="1294"/>
      <c r="K904" s="1148"/>
      <c r="L904" s="1108"/>
    </row>
    <row r="905" spans="1:12" x14ac:dyDescent="0.2">
      <c r="A905" s="1134"/>
      <c r="B905" s="1134"/>
      <c r="C905" s="1134"/>
      <c r="D905" s="1101"/>
      <c r="E905" s="1101"/>
      <c r="F905" s="1101"/>
      <c r="G905" s="1101"/>
      <c r="H905" s="1147"/>
      <c r="I905" s="1147"/>
      <c r="J905" s="1294"/>
      <c r="K905" s="1148"/>
      <c r="L905" s="1108"/>
    </row>
    <row r="906" spans="1:12" x14ac:dyDescent="0.2">
      <c r="A906" s="2061"/>
      <c r="B906" s="2061"/>
      <c r="C906" s="1133"/>
      <c r="D906" s="1101"/>
      <c r="E906" s="1101"/>
      <c r="F906" s="1101"/>
      <c r="G906" s="1101"/>
      <c r="H906" s="1137"/>
      <c r="I906" s="1137"/>
      <c r="J906" s="1295"/>
      <c r="K906" s="1138"/>
      <c r="L906" s="1109"/>
    </row>
    <row r="907" spans="1:12" x14ac:dyDescent="0.2">
      <c r="A907" s="1134"/>
      <c r="B907" s="1134"/>
      <c r="C907" s="1134"/>
      <c r="D907" s="1101"/>
      <c r="E907" s="1101"/>
      <c r="F907" s="1101"/>
      <c r="G907" s="1101"/>
      <c r="H907" s="1147"/>
      <c r="I907" s="1147"/>
      <c r="J907" s="1294"/>
      <c r="K907" s="1148"/>
      <c r="L907" s="1108"/>
    </row>
    <row r="908" spans="1:12" x14ac:dyDescent="0.2">
      <c r="A908" s="1134"/>
      <c r="B908" s="1134"/>
      <c r="C908" s="1134"/>
      <c r="D908" s="1101"/>
      <c r="E908" s="1101"/>
      <c r="F908" s="1101"/>
      <c r="G908" s="1101"/>
      <c r="H908" s="1147"/>
      <c r="I908" s="1147"/>
      <c r="J908" s="1294"/>
      <c r="K908" s="1148"/>
      <c r="L908" s="1108"/>
    </row>
    <row r="909" spans="1:12" x14ac:dyDescent="0.2">
      <c r="A909" s="1134"/>
      <c r="B909" s="1134"/>
      <c r="C909" s="1134"/>
      <c r="D909" s="1101"/>
      <c r="E909" s="1101"/>
      <c r="F909" s="1101"/>
      <c r="G909" s="1101"/>
      <c r="H909" s="1147"/>
      <c r="I909" s="1147"/>
      <c r="J909" s="1294"/>
      <c r="K909" s="1148"/>
      <c r="L909" s="1108"/>
    </row>
    <row r="910" spans="1:12" x14ac:dyDescent="0.2">
      <c r="A910" s="1134"/>
      <c r="B910" s="1134"/>
      <c r="C910" s="1134"/>
      <c r="D910" s="1101"/>
      <c r="E910" s="1101"/>
      <c r="F910" s="1101"/>
      <c r="G910" s="1101"/>
      <c r="H910" s="1149"/>
      <c r="I910" s="1149"/>
      <c r="J910" s="1294"/>
      <c r="K910" s="1101"/>
      <c r="L910" s="1098"/>
    </row>
    <row r="911" spans="1:12" x14ac:dyDescent="0.2">
      <c r="A911" s="1134"/>
      <c r="B911" s="1134"/>
      <c r="C911" s="1134"/>
      <c r="D911" s="1101"/>
      <c r="E911" s="1101"/>
      <c r="F911" s="1101"/>
      <c r="G911" s="1101"/>
      <c r="H911" s="1147"/>
      <c r="I911" s="1147"/>
      <c r="J911" s="1294"/>
      <c r="K911" s="1148"/>
      <c r="L911" s="1108"/>
    </row>
    <row r="912" spans="1:12" x14ac:dyDescent="0.2">
      <c r="A912" s="1134"/>
      <c r="B912" s="1134"/>
      <c r="C912" s="1134"/>
      <c r="D912" s="1101"/>
      <c r="E912" s="1101"/>
      <c r="F912" s="1101"/>
      <c r="G912" s="1101"/>
      <c r="H912" s="1147"/>
      <c r="I912" s="1147"/>
      <c r="J912" s="1294"/>
      <c r="K912" s="1148"/>
      <c r="L912" s="1108"/>
    </row>
    <row r="913" spans="1:12" x14ac:dyDescent="0.2">
      <c r="A913" s="1134"/>
      <c r="B913" s="1134"/>
      <c r="C913" s="1134"/>
      <c r="D913" s="1101"/>
      <c r="E913" s="1101"/>
      <c r="F913" s="1101"/>
      <c r="G913" s="1101"/>
      <c r="H913" s="1149"/>
      <c r="I913" s="1149"/>
      <c r="J913" s="1294"/>
      <c r="K913" s="1101"/>
      <c r="L913" s="1098"/>
    </row>
    <row r="914" spans="1:12" x14ac:dyDescent="0.2">
      <c r="A914" s="1134"/>
      <c r="B914" s="1134"/>
      <c r="C914" s="1134"/>
      <c r="D914" s="1101"/>
      <c r="E914" s="1101"/>
      <c r="F914" s="1101"/>
      <c r="G914" s="1101"/>
      <c r="H914" s="1149"/>
      <c r="I914" s="1149"/>
      <c r="J914" s="1294"/>
      <c r="K914" s="1101"/>
      <c r="L914" s="1098"/>
    </row>
    <row r="915" spans="1:12" x14ac:dyDescent="0.2">
      <c r="A915" s="2061"/>
      <c r="B915" s="2061"/>
      <c r="C915" s="1133"/>
      <c r="D915" s="1101"/>
      <c r="E915" s="1101"/>
      <c r="F915" s="1101"/>
      <c r="G915" s="1101"/>
      <c r="H915" s="1137"/>
      <c r="I915" s="1137"/>
      <c r="J915" s="1295"/>
      <c r="K915" s="1138"/>
      <c r="L915" s="1109"/>
    </row>
    <row r="916" spans="1:12" x14ac:dyDescent="0.2">
      <c r="A916" s="1139"/>
      <c r="B916" s="1133"/>
      <c r="C916" s="1126"/>
      <c r="D916" s="1101"/>
      <c r="E916" s="1101"/>
      <c r="F916" s="1101"/>
      <c r="G916" s="1101"/>
      <c r="H916" s="1102"/>
      <c r="I916" s="1102"/>
      <c r="J916" s="1295"/>
      <c r="K916" s="1150"/>
      <c r="L916" s="1099"/>
    </row>
    <row r="917" spans="1:12" x14ac:dyDescent="0.2">
      <c r="A917" s="1139"/>
      <c r="B917" s="1133"/>
      <c r="C917" s="1126"/>
      <c r="D917" s="1101"/>
      <c r="E917" s="1101"/>
      <c r="F917" s="1101"/>
      <c r="G917" s="1101"/>
      <c r="H917" s="1102"/>
      <c r="I917" s="1102"/>
      <c r="J917" s="1295"/>
      <c r="K917" s="1150"/>
      <c r="L917" s="1099"/>
    </row>
    <row r="918" spans="1:12" x14ac:dyDescent="0.2">
      <c r="A918" s="1139"/>
      <c r="B918" s="1133"/>
      <c r="C918" s="1126"/>
      <c r="D918" s="1101"/>
      <c r="E918" s="1101"/>
      <c r="F918" s="1101"/>
      <c r="G918" s="1101"/>
      <c r="H918" s="1102"/>
      <c r="I918" s="1102"/>
      <c r="J918" s="1295"/>
      <c r="K918" s="1150"/>
      <c r="L918" s="1099"/>
    </row>
    <row r="919" spans="1:12" x14ac:dyDescent="0.2">
      <c r="A919" s="1139"/>
      <c r="B919" s="1133"/>
      <c r="C919" s="1126"/>
      <c r="D919" s="1101"/>
      <c r="E919" s="1101"/>
      <c r="F919" s="1101"/>
      <c r="G919" s="1101"/>
      <c r="H919" s="1149"/>
      <c r="I919" s="1149"/>
      <c r="J919" s="1294"/>
      <c r="K919" s="1101"/>
      <c r="L919" s="1098"/>
    </row>
    <row r="920" spans="1:12" x14ac:dyDescent="0.2">
      <c r="A920" s="1139"/>
      <c r="B920" s="1133"/>
      <c r="C920" s="1126"/>
      <c r="D920" s="1101"/>
      <c r="E920" s="1101"/>
      <c r="F920" s="1101"/>
      <c r="G920" s="1101"/>
      <c r="H920" s="1102"/>
      <c r="I920" s="1102"/>
      <c r="J920" s="1295"/>
      <c r="K920" s="1150"/>
      <c r="L920" s="1099"/>
    </row>
    <row r="921" spans="1:12" x14ac:dyDescent="0.2">
      <c r="A921" s="1139"/>
      <c r="B921" s="1133"/>
      <c r="C921" s="1126"/>
      <c r="D921" s="1101"/>
      <c r="E921" s="1101"/>
      <c r="F921" s="1101"/>
      <c r="G921" s="1101"/>
      <c r="H921" s="1149"/>
      <c r="I921" s="1149"/>
      <c r="J921" s="1294"/>
      <c r="K921" s="1101"/>
      <c r="L921" s="1098"/>
    </row>
    <row r="922" spans="1:12" x14ac:dyDescent="0.2">
      <c r="A922" s="1139"/>
      <c r="B922" s="1133"/>
      <c r="C922" s="1126"/>
      <c r="D922" s="1101"/>
      <c r="E922" s="1101"/>
      <c r="F922" s="1101"/>
      <c r="G922" s="1101"/>
      <c r="H922" s="1149"/>
      <c r="I922" s="1149"/>
      <c r="J922" s="1294"/>
      <c r="K922" s="1101"/>
      <c r="L922" s="1098"/>
    </row>
    <row r="923" spans="1:12" x14ac:dyDescent="0.2">
      <c r="A923" s="1139"/>
      <c r="B923" s="1133"/>
      <c r="C923" s="1126"/>
      <c r="D923" s="1101"/>
      <c r="E923" s="1101"/>
      <c r="F923" s="1101"/>
      <c r="G923" s="1101"/>
      <c r="H923" s="1149"/>
      <c r="I923" s="1149"/>
      <c r="J923" s="1294"/>
      <c r="K923" s="1101"/>
      <c r="L923" s="1098"/>
    </row>
    <row r="924" spans="1:12" x14ac:dyDescent="0.2">
      <c r="A924" s="1139"/>
      <c r="B924" s="1133"/>
      <c r="C924" s="1126"/>
      <c r="D924" s="1101"/>
      <c r="E924" s="1101"/>
      <c r="F924" s="1101"/>
      <c r="G924" s="1101"/>
      <c r="H924" s="1149"/>
      <c r="I924" s="1149"/>
      <c r="J924" s="1294"/>
      <c r="K924" s="1101"/>
      <c r="L924" s="1098"/>
    </row>
    <row r="925" spans="1:12" x14ac:dyDescent="0.2">
      <c r="A925" s="2061"/>
      <c r="B925" s="2061"/>
      <c r="C925" s="1126"/>
      <c r="D925" s="1101"/>
      <c r="E925" s="1101"/>
      <c r="F925" s="1101"/>
      <c r="G925" s="1101"/>
      <c r="H925" s="1102"/>
      <c r="I925" s="1102"/>
      <c r="J925" s="1295"/>
      <c r="K925" s="1150"/>
      <c r="L925" s="1099"/>
    </row>
    <row r="926" spans="1:12" x14ac:dyDescent="0.2">
      <c r="A926" s="2061"/>
      <c r="B926" s="2061"/>
      <c r="C926" s="1126"/>
      <c r="D926" s="1101"/>
      <c r="E926" s="1101"/>
      <c r="F926" s="1101"/>
      <c r="G926" s="1101"/>
      <c r="H926" s="1102"/>
      <c r="I926" s="1102"/>
      <c r="J926" s="1289"/>
      <c r="K926" s="1150"/>
      <c r="L926" s="1099"/>
    </row>
    <row r="927" spans="1:12" x14ac:dyDescent="0.2">
      <c r="A927" s="2061"/>
      <c r="B927" s="2061"/>
      <c r="C927" s="1126"/>
      <c r="D927" s="1101"/>
      <c r="E927" s="1101"/>
      <c r="F927" s="1101"/>
      <c r="G927" s="1101"/>
      <c r="H927" s="1149"/>
      <c r="I927" s="1149"/>
      <c r="J927" s="1288"/>
      <c r="K927" s="1101"/>
      <c r="L927" s="1098"/>
    </row>
    <row r="928" spans="1:12" x14ac:dyDescent="0.2">
      <c r="A928" s="1151"/>
      <c r="B928" s="1151"/>
      <c r="C928" s="1151"/>
      <c r="D928" s="1151"/>
      <c r="E928" s="1151"/>
      <c r="F928" s="1151"/>
      <c r="G928" s="1152"/>
      <c r="H928" s="1152"/>
      <c r="I928" s="1152"/>
      <c r="K928" s="1152"/>
    </row>
    <row r="929" spans="1:11" x14ac:dyDescent="0.2">
      <c r="A929" s="1151"/>
      <c r="B929" s="1151"/>
      <c r="C929" s="1151"/>
      <c r="D929" s="1151"/>
      <c r="E929" s="1151"/>
      <c r="F929" s="1151"/>
      <c r="G929" s="1152"/>
      <c r="H929" s="1152"/>
      <c r="I929" s="1152"/>
      <c r="K929" s="1152"/>
    </row>
  </sheetData>
  <mergeCells count="89">
    <mergeCell ref="G185:L185"/>
    <mergeCell ref="H235:L235"/>
    <mergeCell ref="A1:L1"/>
    <mergeCell ref="H4:L4"/>
    <mergeCell ref="A5:G5"/>
    <mergeCell ref="K114:L114"/>
    <mergeCell ref="K125:L125"/>
    <mergeCell ref="H280:L280"/>
    <mergeCell ref="A387:C387"/>
    <mergeCell ref="A695:C695"/>
    <mergeCell ref="K297:L297"/>
    <mergeCell ref="G318:L318"/>
    <mergeCell ref="H384:L384"/>
    <mergeCell ref="H588:L588"/>
    <mergeCell ref="A599:B599"/>
    <mergeCell ref="A602:B602"/>
    <mergeCell ref="A600:B600"/>
    <mergeCell ref="A457:B457"/>
    <mergeCell ref="A391:B391"/>
    <mergeCell ref="A581:B581"/>
    <mergeCell ref="A459:B459"/>
    <mergeCell ref="A460:B460"/>
    <mergeCell ref="A509:B509"/>
    <mergeCell ref="A510:A511"/>
    <mergeCell ref="A512:A513"/>
    <mergeCell ref="A422:C422"/>
    <mergeCell ref="A444:A445"/>
    <mergeCell ref="A446:A447"/>
    <mergeCell ref="A448:A449"/>
    <mergeCell ref="A452:A453"/>
    <mergeCell ref="A443:B443"/>
    <mergeCell ref="A450:A451"/>
    <mergeCell ref="A470:B470"/>
    <mergeCell ref="A472:B472"/>
    <mergeCell ref="A476:B476"/>
    <mergeCell ref="A486:B486"/>
    <mergeCell ref="A454:A455"/>
    <mergeCell ref="A548:B548"/>
    <mergeCell ref="A516:A517"/>
    <mergeCell ref="A521:B521"/>
    <mergeCell ref="A522:B522"/>
    <mergeCell ref="A533:B533"/>
    <mergeCell ref="A535:B535"/>
    <mergeCell ref="A539:B539"/>
    <mergeCell ref="A514:A515"/>
    <mergeCell ref="A828:A829"/>
    <mergeCell ref="A616:B616"/>
    <mergeCell ref="A619:B619"/>
    <mergeCell ref="A618:B618"/>
    <mergeCell ref="A617:B617"/>
    <mergeCell ref="A560:B560"/>
    <mergeCell ref="A561:B561"/>
    <mergeCell ref="A562:B562"/>
    <mergeCell ref="A825:B825"/>
    <mergeCell ref="A826:A827"/>
    <mergeCell ref="A609:B609"/>
    <mergeCell ref="A608:B608"/>
    <mergeCell ref="A607:B607"/>
    <mergeCell ref="A606:B606"/>
    <mergeCell ref="A605:B605"/>
    <mergeCell ref="A604:B604"/>
    <mergeCell ref="A615:B615"/>
    <mergeCell ref="A614:B614"/>
    <mergeCell ref="A613:B613"/>
    <mergeCell ref="A612:B612"/>
    <mergeCell ref="A611:B611"/>
    <mergeCell ref="A610:B610"/>
    <mergeCell ref="A884:A885"/>
    <mergeCell ref="A830:A831"/>
    <mergeCell ref="A832:A833"/>
    <mergeCell ref="A835:B835"/>
    <mergeCell ref="A836:B836"/>
    <mergeCell ref="A846:B846"/>
    <mergeCell ref="A848:B848"/>
    <mergeCell ref="A852:B852"/>
    <mergeCell ref="A861:B861"/>
    <mergeCell ref="A879:B879"/>
    <mergeCell ref="A880:A881"/>
    <mergeCell ref="A882:A883"/>
    <mergeCell ref="A915:B915"/>
    <mergeCell ref="A925:B925"/>
    <mergeCell ref="A926:B926"/>
    <mergeCell ref="A927:B927"/>
    <mergeCell ref="A886:A887"/>
    <mergeCell ref="A889:B889"/>
    <mergeCell ref="A890:B890"/>
    <mergeCell ref="A900:B900"/>
    <mergeCell ref="A902:B902"/>
    <mergeCell ref="A906:B906"/>
  </mergeCells>
  <phoneticPr fontId="44" type="noConversion"/>
  <printOptions horizontalCentered="1"/>
  <pageMargins left="0.43307086614173229" right="3.937007874015748E-2" top="0.74803149606299213" bottom="0.74803149606299213" header="0.31496062992125984" footer="0.31496062992125984"/>
  <pageSetup paperSize="9" scale="79" firstPageNumber="0" fitToHeight="0" orientation="portrait" r:id="rId1"/>
  <headerFooter alignWithMargins="0">
    <oddFooter>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98"/>
  <sheetViews>
    <sheetView showWhiteSpace="0" topLeftCell="A2" zoomScaleNormal="100" workbookViewId="0">
      <selection activeCell="L8" sqref="L8"/>
    </sheetView>
  </sheetViews>
  <sheetFormatPr defaultColWidth="6.28515625" defaultRowHeight="12.75" x14ac:dyDescent="0.2"/>
  <cols>
    <col min="1" max="2" width="5" style="16" customWidth="1"/>
    <col min="3" max="3" width="32.42578125" style="16" customWidth="1"/>
    <col min="4" max="6" width="0" style="16" hidden="1" customWidth="1"/>
    <col min="7" max="7" width="0" style="17" hidden="1" customWidth="1"/>
    <col min="8" max="9" width="0" style="16" hidden="1" customWidth="1"/>
    <col min="10" max="10" width="10.42578125" style="16" hidden="1" customWidth="1"/>
    <col min="11" max="11" width="9.85546875" style="16" hidden="1" customWidth="1"/>
    <col min="12" max="12" width="9.85546875" style="16" customWidth="1"/>
    <col min="13" max="13" width="9.85546875" style="18" customWidth="1"/>
    <col min="14" max="15" width="11.42578125" style="16" customWidth="1"/>
    <col min="16" max="16" width="13.85546875" style="1310" customWidth="1"/>
    <col min="17" max="17" width="9.85546875" style="16" customWidth="1"/>
    <col min="18" max="18" width="9.85546875" style="19" customWidth="1"/>
    <col min="19" max="19" width="11" style="1724" customWidth="1"/>
    <col min="20" max="21" width="10" style="20" customWidth="1"/>
    <col min="22" max="22" width="9.7109375" style="21" customWidth="1"/>
    <col min="23" max="23" width="18.140625" style="16" customWidth="1"/>
    <col min="24" max="16384" width="6.28515625" style="16"/>
  </cols>
  <sheetData>
    <row r="1" spans="1:23" x14ac:dyDescent="0.2">
      <c r="P1" s="1311"/>
    </row>
    <row r="2" spans="1:23" ht="15.75" x14ac:dyDescent="0.25">
      <c r="A2" s="2014" t="s">
        <v>89</v>
      </c>
      <c r="B2" s="2014"/>
      <c r="C2" s="2014"/>
      <c r="D2" s="2014"/>
      <c r="E2" s="2014"/>
      <c r="F2" s="2014"/>
      <c r="G2" s="2014"/>
      <c r="H2" s="2014"/>
      <c r="I2" s="2014"/>
      <c r="J2" s="2014"/>
      <c r="K2" s="2014"/>
      <c r="L2" s="2014"/>
      <c r="M2" s="2014"/>
      <c r="N2" s="2014"/>
      <c r="O2" s="2014"/>
      <c r="P2" s="2014"/>
      <c r="Q2" s="2014"/>
      <c r="R2" s="2014"/>
      <c r="S2" s="1725"/>
      <c r="T2" s="22"/>
      <c r="U2" s="22"/>
      <c r="V2" s="22"/>
    </row>
    <row r="3" spans="1:23" x14ac:dyDescent="0.2">
      <c r="P3" s="1311"/>
    </row>
    <row r="4" spans="1:23" x14ac:dyDescent="0.2">
      <c r="C4" s="462" t="s">
        <v>1</v>
      </c>
      <c r="P4" s="1311"/>
    </row>
    <row r="5" spans="1:23" ht="15.75" x14ac:dyDescent="0.25">
      <c r="A5" s="2015"/>
      <c r="B5" s="2015"/>
      <c r="C5" s="2015"/>
      <c r="D5" s="2015"/>
      <c r="E5" s="2015"/>
      <c r="F5" s="24"/>
      <c r="G5" s="24"/>
      <c r="H5" s="17"/>
      <c r="I5" s="17"/>
      <c r="J5" s="17"/>
      <c r="K5" s="17"/>
      <c r="L5" s="17"/>
      <c r="M5" s="2013" t="s">
        <v>90</v>
      </c>
      <c r="N5" s="2013"/>
      <c r="O5" s="2013"/>
      <c r="P5" s="2013"/>
      <c r="Q5" s="2013"/>
      <c r="R5" s="2013"/>
      <c r="S5" s="1725"/>
      <c r="T5" s="25"/>
      <c r="U5" s="25"/>
      <c r="V5" s="25"/>
    </row>
    <row r="6" spans="1:23" ht="15.75" hidden="1" x14ac:dyDescent="0.25">
      <c r="A6" s="23"/>
      <c r="B6" s="23"/>
      <c r="C6" s="23"/>
      <c r="D6" s="23"/>
      <c r="E6" s="23"/>
      <c r="F6" s="24"/>
      <c r="G6" s="24"/>
      <c r="H6" s="17"/>
      <c r="I6" s="17"/>
      <c r="J6" s="17"/>
      <c r="K6" s="17"/>
      <c r="L6" s="17"/>
      <c r="M6" s="26"/>
      <c r="N6" s="26"/>
      <c r="O6" s="26"/>
      <c r="Q6" s="26"/>
      <c r="R6" s="27"/>
      <c r="S6" s="1726"/>
      <c r="T6" s="26"/>
      <c r="U6" s="26"/>
      <c r="V6" s="28"/>
    </row>
    <row r="7" spans="1:23" ht="13.5" hidden="1" thickBot="1" x14ac:dyDescent="0.25"/>
    <row r="8" spans="1:23" s="20" customFormat="1" ht="23.25" customHeight="1" x14ac:dyDescent="0.2">
      <c r="A8" s="1761" t="s">
        <v>1</v>
      </c>
      <c r="B8" s="1762"/>
      <c r="C8" s="1763"/>
      <c r="D8" s="1764"/>
      <c r="E8" s="1765"/>
      <c r="F8" s="1764"/>
      <c r="G8" s="1765"/>
      <c r="H8" s="1764"/>
      <c r="I8" s="1765"/>
      <c r="J8" s="1765">
        <v>2018</v>
      </c>
      <c r="K8" s="1540" t="s">
        <v>909</v>
      </c>
      <c r="L8" s="1540">
        <v>2021</v>
      </c>
      <c r="M8" s="1766">
        <v>2022</v>
      </c>
      <c r="N8" s="1767">
        <v>2023</v>
      </c>
      <c r="O8" s="1767" t="s">
        <v>981</v>
      </c>
      <c r="P8" s="1768">
        <v>2024</v>
      </c>
      <c r="Q8" s="1769">
        <v>2025</v>
      </c>
      <c r="R8" s="1769">
        <v>2026</v>
      </c>
      <c r="S8" s="1727"/>
      <c r="T8" s="29"/>
      <c r="U8" s="29"/>
      <c r="V8" s="30"/>
    </row>
    <row r="9" spans="1:23" s="33" customFormat="1" x14ac:dyDescent="0.2">
      <c r="A9" s="2104" t="s">
        <v>91</v>
      </c>
      <c r="B9" s="2116"/>
      <c r="C9" s="2117"/>
      <c r="D9" s="2118"/>
      <c r="E9" s="2119"/>
      <c r="F9" s="2118"/>
      <c r="G9" s="2119"/>
      <c r="H9" s="2118"/>
      <c r="I9" s="2119"/>
      <c r="J9" s="2118">
        <f>J10+J16</f>
        <v>1015163.92</v>
      </c>
      <c r="K9" s="2120">
        <f>SUM(K10,K16)</f>
        <v>1139708</v>
      </c>
      <c r="L9" s="2120">
        <f>L10+L16</f>
        <v>1200272</v>
      </c>
      <c r="M9" s="2120">
        <f>M10+M16</f>
        <v>1268846</v>
      </c>
      <c r="N9" s="2118">
        <f>SUM(N10,N16)</f>
        <v>1306158</v>
      </c>
      <c r="O9" s="2118">
        <f>SUM(O10,O16)</f>
        <v>1380102</v>
      </c>
      <c r="P9" s="1776">
        <f>SUM(P10,P16)</f>
        <v>1381808</v>
      </c>
      <c r="Q9" s="2118">
        <f>SUM(Q10,Q16)</f>
        <v>1437673</v>
      </c>
      <c r="R9" s="2118">
        <f>SUM(R10,R16)</f>
        <v>1550670</v>
      </c>
      <c r="S9" s="1728"/>
      <c r="T9" s="31"/>
      <c r="U9" s="31"/>
      <c r="V9" s="32"/>
    </row>
    <row r="10" spans="1:23" s="20" customFormat="1" x14ac:dyDescent="0.2">
      <c r="A10" s="835">
        <v>111</v>
      </c>
      <c r="B10" s="835" t="s">
        <v>92</v>
      </c>
      <c r="C10" s="835" t="s">
        <v>93</v>
      </c>
      <c r="D10" s="1593"/>
      <c r="E10" s="1087"/>
      <c r="F10" s="1593"/>
      <c r="G10" s="1593"/>
      <c r="H10" s="1593"/>
      <c r="I10" s="1593"/>
      <c r="J10" s="1593">
        <v>852522.05</v>
      </c>
      <c r="K10" s="1593">
        <v>928655</v>
      </c>
      <c r="L10" s="1753">
        <v>989072</v>
      </c>
      <c r="M10" s="1754">
        <v>1057646</v>
      </c>
      <c r="N10" s="1753">
        <v>1094958</v>
      </c>
      <c r="O10" s="1754">
        <v>1162802</v>
      </c>
      <c r="P10" s="1755">
        <v>1158608</v>
      </c>
      <c r="Q10" s="1756">
        <v>1209773</v>
      </c>
      <c r="R10" s="1754">
        <v>1322770</v>
      </c>
      <c r="S10" s="1729"/>
      <c r="T10" s="34"/>
      <c r="U10" s="34"/>
      <c r="V10" s="35"/>
      <c r="W10" s="36"/>
    </row>
    <row r="11" spans="1:23" s="20" customFormat="1" x14ac:dyDescent="0.2">
      <c r="A11" s="835"/>
      <c r="B11" s="835"/>
      <c r="C11" s="835" t="s">
        <v>749</v>
      </c>
      <c r="D11" s="1593"/>
      <c r="E11" s="1087"/>
      <c r="F11" s="1593"/>
      <c r="G11" s="1593"/>
      <c r="H11" s="1593"/>
      <c r="I11" s="1593"/>
      <c r="J11" s="1189">
        <v>130964</v>
      </c>
      <c r="K11" s="1757">
        <v>166500</v>
      </c>
      <c r="L11" s="1511">
        <v>181686</v>
      </c>
      <c r="M11" s="1511">
        <v>181686</v>
      </c>
      <c r="N11" s="1757">
        <v>231656</v>
      </c>
      <c r="O11" s="1511">
        <v>231656</v>
      </c>
      <c r="P11" s="1758">
        <v>243315</v>
      </c>
      <c r="Q11" s="1757">
        <v>240000</v>
      </c>
      <c r="R11" s="1757">
        <v>250000</v>
      </c>
      <c r="S11" s="1730"/>
      <c r="T11" s="1156"/>
      <c r="U11" s="1156"/>
      <c r="V11" s="35"/>
      <c r="W11" s="36"/>
    </row>
    <row r="12" spans="1:23" s="20" customFormat="1" x14ac:dyDescent="0.2">
      <c r="A12" s="835"/>
      <c r="B12" s="835"/>
      <c r="C12" s="835" t="s">
        <v>746</v>
      </c>
      <c r="D12" s="1593"/>
      <c r="E12" s="1087"/>
      <c r="F12" s="1593"/>
      <c r="G12" s="1593"/>
      <c r="H12" s="1593"/>
      <c r="I12" s="1593"/>
      <c r="J12" s="1189">
        <v>7572</v>
      </c>
      <c r="K12" s="1757">
        <v>28880</v>
      </c>
      <c r="L12" s="1511">
        <v>33052</v>
      </c>
      <c r="M12" s="1511">
        <v>33052</v>
      </c>
      <c r="N12" s="1757">
        <v>39600</v>
      </c>
      <c r="O12" s="1511">
        <v>39600</v>
      </c>
      <c r="P12" s="1758">
        <v>40007</v>
      </c>
      <c r="Q12" s="1757">
        <v>40000</v>
      </c>
      <c r="R12" s="1757">
        <v>42000</v>
      </c>
      <c r="S12" s="1729"/>
      <c r="T12" s="34"/>
      <c r="U12" s="34"/>
      <c r="V12" s="35"/>
      <c r="W12" s="36"/>
    </row>
    <row r="13" spans="1:23" s="20" customFormat="1" x14ac:dyDescent="0.2">
      <c r="A13" s="835"/>
      <c r="B13" s="835"/>
      <c r="C13" s="835" t="s">
        <v>747</v>
      </c>
      <c r="D13" s="1593"/>
      <c r="E13" s="1087"/>
      <c r="F13" s="1593"/>
      <c r="G13" s="1593"/>
      <c r="H13" s="1593"/>
      <c r="I13" s="1593"/>
      <c r="J13" s="1189">
        <v>4511</v>
      </c>
      <c r="K13" s="1757">
        <v>11300</v>
      </c>
      <c r="L13" s="1511">
        <v>11568</v>
      </c>
      <c r="M13" s="1511">
        <v>11568</v>
      </c>
      <c r="N13" s="1757">
        <v>6300</v>
      </c>
      <c r="O13" s="1511">
        <v>6300</v>
      </c>
      <c r="P13" s="1758">
        <v>6986</v>
      </c>
      <c r="Q13" s="1757">
        <v>6500</v>
      </c>
      <c r="R13" s="1757">
        <v>6600</v>
      </c>
      <c r="S13" s="1729"/>
      <c r="T13" s="34"/>
      <c r="U13" s="34"/>
      <c r="V13" s="35"/>
      <c r="W13" s="36"/>
    </row>
    <row r="14" spans="1:23" s="20" customFormat="1" x14ac:dyDescent="0.2">
      <c r="A14" s="835"/>
      <c r="B14" s="835"/>
      <c r="C14" s="835" t="s">
        <v>829</v>
      </c>
      <c r="D14" s="1593"/>
      <c r="E14" s="1087"/>
      <c r="F14" s="1593"/>
      <c r="G14" s="1593"/>
      <c r="H14" s="1593"/>
      <c r="I14" s="1593"/>
      <c r="J14" s="1189"/>
      <c r="K14" s="1757"/>
      <c r="L14" s="1511"/>
      <c r="M14" s="1511"/>
      <c r="N14" s="1757"/>
      <c r="O14" s="1511"/>
      <c r="P14" s="1758"/>
      <c r="Q14" s="1757"/>
      <c r="R14" s="1757"/>
      <c r="S14" s="1729"/>
      <c r="T14" s="34"/>
      <c r="U14" s="34"/>
      <c r="V14" s="35"/>
      <c r="W14" s="36"/>
    </row>
    <row r="15" spans="1:23" s="20" customFormat="1" x14ac:dyDescent="0.2">
      <c r="A15" s="835"/>
      <c r="B15" s="835"/>
      <c r="C15" s="835" t="s">
        <v>968</v>
      </c>
      <c r="D15" s="1593"/>
      <c r="E15" s="1087"/>
      <c r="F15" s="1593"/>
      <c r="G15" s="1593"/>
      <c r="H15" s="1593"/>
      <c r="I15" s="1593"/>
      <c r="J15" s="1593"/>
      <c r="K15" s="1757">
        <v>26200</v>
      </c>
      <c r="L15" s="1511">
        <v>26200</v>
      </c>
      <c r="M15" s="1511"/>
      <c r="N15" s="1757">
        <v>37106</v>
      </c>
      <c r="O15" s="1511">
        <v>29200</v>
      </c>
      <c r="P15" s="1758">
        <v>37489</v>
      </c>
      <c r="Q15" s="1757">
        <v>38000</v>
      </c>
      <c r="R15" s="1757">
        <v>40000</v>
      </c>
      <c r="S15" s="1729"/>
      <c r="T15" s="34"/>
      <c r="U15" s="34"/>
      <c r="V15" s="35"/>
      <c r="W15" s="36"/>
    </row>
    <row r="16" spans="1:23" s="20" customFormat="1" x14ac:dyDescent="0.2">
      <c r="A16" s="835">
        <v>121</v>
      </c>
      <c r="B16" s="835"/>
      <c r="C16" s="835" t="s">
        <v>7</v>
      </c>
      <c r="D16" s="1593"/>
      <c r="E16" s="1087"/>
      <c r="F16" s="1593"/>
      <c r="G16" s="1593"/>
      <c r="H16" s="1593"/>
      <c r="I16" s="1593"/>
      <c r="J16" s="1593">
        <f>J17+J19+J21</f>
        <v>162641.87</v>
      </c>
      <c r="K16" s="1593">
        <f>K17+K19+K21+K18+K20</f>
        <v>211053</v>
      </c>
      <c r="L16" s="1756">
        <f>L17+L19+L21+L18+L20</f>
        <v>211200</v>
      </c>
      <c r="M16" s="1756">
        <f>M17+M19+M21+M20+M18</f>
        <v>211200</v>
      </c>
      <c r="N16" s="1756">
        <v>211200</v>
      </c>
      <c r="O16" s="1756">
        <f>O17+O19+O21+O18+O20</f>
        <v>217300</v>
      </c>
      <c r="P16" s="1755">
        <f>P17+P19+P21+P18+P20</f>
        <v>223200</v>
      </c>
      <c r="Q16" s="1756">
        <f>Q17+Q19+Q21+Q18+Q20</f>
        <v>227900</v>
      </c>
      <c r="R16" s="1756">
        <f>R17+R19+R21+R18+R20</f>
        <v>227900</v>
      </c>
      <c r="S16" s="1729"/>
      <c r="T16" s="34"/>
      <c r="U16" s="34"/>
      <c r="V16" s="35"/>
    </row>
    <row r="17" spans="1:23" s="20" customFormat="1" x14ac:dyDescent="0.2">
      <c r="A17" s="1031">
        <v>121</v>
      </c>
      <c r="B17" s="1031" t="s">
        <v>94</v>
      </c>
      <c r="C17" s="1031" t="s">
        <v>95</v>
      </c>
      <c r="D17" s="1033"/>
      <c r="E17" s="1033"/>
      <c r="F17" s="1033"/>
      <c r="G17" s="1594"/>
      <c r="H17" s="1033"/>
      <c r="I17" s="1033"/>
      <c r="J17" s="1087">
        <v>137761.43</v>
      </c>
      <c r="K17" s="1232">
        <v>178731</v>
      </c>
      <c r="L17" s="1511">
        <v>175000</v>
      </c>
      <c r="M17" s="1511">
        <v>175000</v>
      </c>
      <c r="N17" s="1511">
        <v>175000</v>
      </c>
      <c r="O17" s="1511">
        <v>175000</v>
      </c>
      <c r="P17" s="1759">
        <v>185000</v>
      </c>
      <c r="Q17" s="1757">
        <v>185000</v>
      </c>
      <c r="R17" s="1232">
        <v>185000</v>
      </c>
      <c r="S17" s="1731"/>
      <c r="T17" s="37"/>
      <c r="U17" s="37"/>
      <c r="V17" s="38"/>
    </row>
    <row r="18" spans="1:23" x14ac:dyDescent="0.2">
      <c r="A18" s="1031">
        <v>121</v>
      </c>
      <c r="B18" s="1031" t="s">
        <v>94</v>
      </c>
      <c r="C18" s="1031" t="s">
        <v>96</v>
      </c>
      <c r="D18" s="1033"/>
      <c r="E18" s="1033"/>
      <c r="F18" s="1033"/>
      <c r="G18" s="1594"/>
      <c r="H18" s="1033"/>
      <c r="I18" s="1033"/>
      <c r="J18" s="1090">
        <v>22251.78</v>
      </c>
      <c r="K18" s="1757">
        <v>469</v>
      </c>
      <c r="L18" s="1511">
        <v>1000</v>
      </c>
      <c r="M18" s="1511">
        <v>1000</v>
      </c>
      <c r="N18" s="1511">
        <v>1000</v>
      </c>
      <c r="O18" s="1511">
        <v>7400</v>
      </c>
      <c r="P18" s="1759">
        <v>1000</v>
      </c>
      <c r="Q18" s="1760">
        <v>1000</v>
      </c>
      <c r="R18" s="1760">
        <v>1000</v>
      </c>
      <c r="S18" s="1732"/>
      <c r="T18" s="39"/>
      <c r="U18" s="39"/>
      <c r="V18" s="39"/>
    </row>
    <row r="19" spans="1:23" x14ac:dyDescent="0.2">
      <c r="A19" s="1031">
        <v>121</v>
      </c>
      <c r="B19" s="1031" t="s">
        <v>97</v>
      </c>
      <c r="C19" s="1031" t="s">
        <v>98</v>
      </c>
      <c r="D19" s="1027"/>
      <c r="E19" s="1033"/>
      <c r="F19" s="1027"/>
      <c r="G19" s="1608"/>
      <c r="H19" s="1033"/>
      <c r="I19" s="1033"/>
      <c r="J19" s="1087">
        <v>24594.13</v>
      </c>
      <c r="K19" s="1232">
        <v>30443</v>
      </c>
      <c r="L19" s="1511">
        <v>33000</v>
      </c>
      <c r="M19" s="1511">
        <v>33000</v>
      </c>
      <c r="N19" s="1511">
        <v>33000</v>
      </c>
      <c r="O19" s="1511">
        <v>33000</v>
      </c>
      <c r="P19" s="1759">
        <v>35000</v>
      </c>
      <c r="Q19" s="1760">
        <v>40000</v>
      </c>
      <c r="R19" s="1512">
        <v>40000</v>
      </c>
      <c r="S19" s="1731"/>
      <c r="T19" s="37"/>
      <c r="U19" s="37"/>
      <c r="V19" s="38"/>
    </row>
    <row r="20" spans="1:23" x14ac:dyDescent="0.2">
      <c r="A20" s="1031">
        <v>121</v>
      </c>
      <c r="B20" s="1031" t="s">
        <v>97</v>
      </c>
      <c r="C20" s="1031" t="s">
        <v>99</v>
      </c>
      <c r="D20" s="1027"/>
      <c r="E20" s="1033"/>
      <c r="F20" s="1027"/>
      <c r="G20" s="1608"/>
      <c r="H20" s="1033"/>
      <c r="I20" s="1033"/>
      <c r="J20" s="1090">
        <v>1248.58</v>
      </c>
      <c r="K20" s="1757">
        <v>1112</v>
      </c>
      <c r="L20" s="1511">
        <v>1800</v>
      </c>
      <c r="M20" s="1511">
        <v>1800</v>
      </c>
      <c r="N20" s="1511">
        <v>1800</v>
      </c>
      <c r="O20" s="1511">
        <v>1500</v>
      </c>
      <c r="P20" s="1759">
        <v>1800</v>
      </c>
      <c r="Q20" s="1760">
        <v>1500</v>
      </c>
      <c r="R20" s="1760">
        <v>1500</v>
      </c>
      <c r="S20" s="1732"/>
      <c r="T20" s="39"/>
      <c r="U20" s="39"/>
      <c r="V20" s="39"/>
    </row>
    <row r="21" spans="1:23" x14ac:dyDescent="0.2">
      <c r="A21" s="1031">
        <v>121</v>
      </c>
      <c r="B21" s="1031" t="s">
        <v>92</v>
      </c>
      <c r="C21" s="1031" t="s">
        <v>100</v>
      </c>
      <c r="D21" s="1027"/>
      <c r="E21" s="1033"/>
      <c r="F21" s="1027"/>
      <c r="G21" s="1608"/>
      <c r="H21" s="1033"/>
      <c r="I21" s="1033"/>
      <c r="J21" s="1087">
        <v>286.31</v>
      </c>
      <c r="K21" s="1232">
        <v>298</v>
      </c>
      <c r="L21" s="1511">
        <v>400</v>
      </c>
      <c r="M21" s="1511">
        <v>400</v>
      </c>
      <c r="N21" s="1511">
        <v>400</v>
      </c>
      <c r="O21" s="1511">
        <v>400</v>
      </c>
      <c r="P21" s="1759">
        <v>400</v>
      </c>
      <c r="Q21" s="1760">
        <v>400</v>
      </c>
      <c r="R21" s="1512">
        <v>400</v>
      </c>
      <c r="S21" s="1731"/>
      <c r="T21" s="37"/>
      <c r="U21" s="37"/>
      <c r="V21" s="38"/>
      <c r="W21" s="40"/>
    </row>
    <row r="22" spans="1:23" x14ac:dyDescent="0.2">
      <c r="A22" s="41"/>
      <c r="B22" s="41"/>
      <c r="C22" s="41"/>
      <c r="D22" s="42"/>
      <c r="E22" s="43"/>
      <c r="F22" s="42"/>
      <c r="G22" s="44"/>
      <c r="H22" s="43"/>
      <c r="I22" s="43"/>
      <c r="J22" s="43"/>
      <c r="K22" s="43"/>
      <c r="L22" s="43"/>
      <c r="M22" s="43"/>
      <c r="N22" s="43"/>
      <c r="O22" s="43"/>
      <c r="P22" s="1311"/>
      <c r="Q22" s="46"/>
      <c r="R22" s="46"/>
      <c r="S22" s="1733"/>
      <c r="T22" s="38"/>
      <c r="U22" s="38"/>
      <c r="V22" s="38"/>
    </row>
    <row r="23" spans="1:23" s="48" customFormat="1" x14ac:dyDescent="0.2">
      <c r="A23" s="2104" t="s">
        <v>101</v>
      </c>
      <c r="B23" s="2104"/>
      <c r="C23" s="2104"/>
      <c r="D23" s="2113"/>
      <c r="E23" s="2114"/>
      <c r="F23" s="2113"/>
      <c r="G23" s="2114"/>
      <c r="H23" s="2113"/>
      <c r="I23" s="2114"/>
      <c r="J23" s="2115">
        <f>SUM(J24,J26,J27,J28,J30)+J31</f>
        <v>63346.16</v>
      </c>
      <c r="K23" s="2115">
        <f>SUM(K24,K26,K27,K28,K30)+K31+K25+K29</f>
        <v>103139</v>
      </c>
      <c r="L23" s="2113">
        <f>SUM(L24,L26,L27,L28,L30)+L25+L29+L31</f>
        <v>36291</v>
      </c>
      <c r="M23" s="2115">
        <f>M24+M26+M27+M28+M30+M29+M31+M25</f>
        <v>31691</v>
      </c>
      <c r="N23" s="2113">
        <f>SUM(N24,N26,N27,N28,N30)+N29+N25+N31</f>
        <v>29491</v>
      </c>
      <c r="O23" s="2113">
        <f>SUM(O24,O26,O27,O28,O30)+O29+O25+O31</f>
        <v>30094</v>
      </c>
      <c r="P23" s="1777">
        <f>SUM(P24,P26,P27,P28,P30)+P29+P25+P31</f>
        <v>30491</v>
      </c>
      <c r="Q23" s="2113">
        <f>SUM(Q24,Q26,Q27,Q28,Q30)+Q25+Q29+Q31</f>
        <v>31961</v>
      </c>
      <c r="R23" s="2113">
        <f>SUM(R24,R26,R27,R28,R30)+R29+R31+R25</f>
        <v>31961</v>
      </c>
      <c r="S23" s="1734"/>
      <c r="T23" s="47"/>
      <c r="U23" s="47"/>
      <c r="V23" s="47"/>
    </row>
    <row r="24" spans="1:23" x14ac:dyDescent="0.2">
      <c r="A24" s="835">
        <v>133</v>
      </c>
      <c r="B24" s="835" t="s">
        <v>94</v>
      </c>
      <c r="C24" s="835" t="s">
        <v>13</v>
      </c>
      <c r="D24" s="1033"/>
      <c r="E24" s="1033"/>
      <c r="F24" s="1033"/>
      <c r="G24" s="1594"/>
      <c r="H24" s="1033"/>
      <c r="I24" s="1033"/>
      <c r="J24" s="1087">
        <v>2617.3000000000002</v>
      </c>
      <c r="K24" s="1232">
        <v>2378</v>
      </c>
      <c r="L24" s="1511">
        <v>2350</v>
      </c>
      <c r="M24" s="1511">
        <v>2350</v>
      </c>
      <c r="N24" s="1511">
        <v>2350</v>
      </c>
      <c r="O24" s="1511">
        <v>2110</v>
      </c>
      <c r="P24" s="1770">
        <v>2350</v>
      </c>
      <c r="Q24" s="1512">
        <v>2850</v>
      </c>
      <c r="R24" s="1512">
        <v>2850</v>
      </c>
      <c r="S24" s="1731"/>
      <c r="T24" s="37"/>
      <c r="U24" s="37"/>
      <c r="V24" s="38"/>
    </row>
    <row r="25" spans="1:23" x14ac:dyDescent="0.2">
      <c r="A25" s="835">
        <v>133</v>
      </c>
      <c r="B25" s="835" t="s">
        <v>94</v>
      </c>
      <c r="C25" s="835" t="s">
        <v>811</v>
      </c>
      <c r="D25" s="1033"/>
      <c r="E25" s="1033"/>
      <c r="F25" s="1033"/>
      <c r="G25" s="1594"/>
      <c r="H25" s="1033"/>
      <c r="I25" s="1033"/>
      <c r="J25" s="1090">
        <v>125.79</v>
      </c>
      <c r="K25" s="1232">
        <v>252</v>
      </c>
      <c r="L25" s="1511">
        <v>180</v>
      </c>
      <c r="M25" s="1511">
        <v>180</v>
      </c>
      <c r="N25" s="1511">
        <v>180</v>
      </c>
      <c r="O25" s="1511">
        <v>110</v>
      </c>
      <c r="P25" s="1770">
        <v>180</v>
      </c>
      <c r="Q25" s="1512">
        <v>250</v>
      </c>
      <c r="R25" s="1512">
        <v>250</v>
      </c>
      <c r="S25" s="1732"/>
      <c r="T25" s="39"/>
      <c r="U25" s="39"/>
      <c r="V25" s="39"/>
    </row>
    <row r="26" spans="1:23" x14ac:dyDescent="0.2">
      <c r="A26" s="1031">
        <v>133</v>
      </c>
      <c r="B26" s="835" t="s">
        <v>92</v>
      </c>
      <c r="C26" s="835" t="s">
        <v>16</v>
      </c>
      <c r="D26" s="1033"/>
      <c r="E26" s="1033"/>
      <c r="F26" s="1033"/>
      <c r="G26" s="1594"/>
      <c r="H26" s="1033"/>
      <c r="I26" s="1033"/>
      <c r="J26" s="1087">
        <v>0</v>
      </c>
      <c r="K26" s="1232">
        <v>0</v>
      </c>
      <c r="L26" s="1511">
        <v>0</v>
      </c>
      <c r="M26" s="1511">
        <v>0</v>
      </c>
      <c r="N26" s="1511">
        <v>0</v>
      </c>
      <c r="O26" s="1511">
        <v>0</v>
      </c>
      <c r="P26" s="1759">
        <v>0</v>
      </c>
      <c r="Q26" s="1512">
        <v>0</v>
      </c>
      <c r="R26" s="1512">
        <v>0</v>
      </c>
      <c r="S26" s="1731"/>
      <c r="T26" s="37"/>
      <c r="U26" s="37"/>
      <c r="V26" s="38"/>
    </row>
    <row r="27" spans="1:23" x14ac:dyDescent="0.2">
      <c r="A27" s="1031">
        <v>133</v>
      </c>
      <c r="B27" s="835" t="s">
        <v>102</v>
      </c>
      <c r="C27" s="835" t="s">
        <v>10</v>
      </c>
      <c r="D27" s="1033"/>
      <c r="E27" s="1033"/>
      <c r="F27" s="1033"/>
      <c r="G27" s="1594"/>
      <c r="H27" s="1033"/>
      <c r="I27" s="1033"/>
      <c r="J27" s="1087">
        <v>1608.29</v>
      </c>
      <c r="K27" s="1232">
        <v>672</v>
      </c>
      <c r="L27" s="1511">
        <v>300</v>
      </c>
      <c r="M27" s="1511">
        <v>500</v>
      </c>
      <c r="N27" s="1511">
        <v>500</v>
      </c>
      <c r="O27" s="1511">
        <v>800</v>
      </c>
      <c r="P27" s="1770">
        <v>500</v>
      </c>
      <c r="Q27" s="1512">
        <v>1400</v>
      </c>
      <c r="R27" s="1512">
        <v>1400</v>
      </c>
      <c r="S27" s="1731"/>
      <c r="T27" s="37"/>
      <c r="U27" s="37"/>
      <c r="V27" s="38"/>
    </row>
    <row r="28" spans="1:23" x14ac:dyDescent="0.2">
      <c r="A28" s="1031">
        <v>133</v>
      </c>
      <c r="B28" s="835" t="s">
        <v>103</v>
      </c>
      <c r="C28" s="835" t="s">
        <v>104</v>
      </c>
      <c r="D28" s="1033"/>
      <c r="E28" s="1033"/>
      <c r="F28" s="1033"/>
      <c r="G28" s="1594"/>
      <c r="H28" s="1033"/>
      <c r="I28" s="1033"/>
      <c r="J28" s="1087">
        <v>32695.759999999998</v>
      </c>
      <c r="K28" s="1232">
        <v>67484</v>
      </c>
      <c r="L28" s="1511">
        <v>0</v>
      </c>
      <c r="M28" s="1511">
        <v>0</v>
      </c>
      <c r="N28" s="1511">
        <v>0</v>
      </c>
      <c r="O28" s="1511">
        <v>0</v>
      </c>
      <c r="P28" s="1759">
        <v>0</v>
      </c>
      <c r="Q28" s="1512">
        <v>0</v>
      </c>
      <c r="R28" s="1512">
        <v>0</v>
      </c>
      <c r="S28" s="1731"/>
      <c r="T28" s="37"/>
      <c r="U28" s="37"/>
      <c r="V28" s="38"/>
      <c r="W28" s="49"/>
    </row>
    <row r="29" spans="1:23" x14ac:dyDescent="0.2">
      <c r="A29" s="1031">
        <v>133</v>
      </c>
      <c r="B29" s="835" t="s">
        <v>103</v>
      </c>
      <c r="C29" s="835" t="s">
        <v>810</v>
      </c>
      <c r="D29" s="1033"/>
      <c r="E29" s="1033"/>
      <c r="F29" s="1033"/>
      <c r="G29" s="1594"/>
      <c r="H29" s="1033"/>
      <c r="I29" s="1033"/>
      <c r="J29" s="1090">
        <v>6287.86</v>
      </c>
      <c r="K29" s="1244">
        <v>5571</v>
      </c>
      <c r="L29" s="1511">
        <v>7000</v>
      </c>
      <c r="M29" s="1511">
        <v>2200</v>
      </c>
      <c r="N29" s="1511">
        <v>0</v>
      </c>
      <c r="O29" s="1511">
        <v>700</v>
      </c>
      <c r="P29" s="1770">
        <v>1000</v>
      </c>
      <c r="Q29" s="1512">
        <v>1000</v>
      </c>
      <c r="R29" s="1771">
        <v>1000</v>
      </c>
      <c r="S29" s="1732"/>
      <c r="T29" s="39"/>
      <c r="U29" s="39"/>
      <c r="V29" s="38"/>
    </row>
    <row r="30" spans="1:23" x14ac:dyDescent="0.2">
      <c r="A30" s="1031">
        <v>133</v>
      </c>
      <c r="B30" s="835" t="s">
        <v>105</v>
      </c>
      <c r="C30" s="835" t="s">
        <v>106</v>
      </c>
      <c r="D30" s="1033"/>
      <c r="E30" s="1033"/>
      <c r="F30" s="1033"/>
      <c r="G30" s="1594"/>
      <c r="H30" s="1033"/>
      <c r="I30" s="1033"/>
      <c r="J30" s="1087">
        <v>26361.31</v>
      </c>
      <c r="K30" s="1232">
        <v>26361</v>
      </c>
      <c r="L30" s="1511">
        <v>26361</v>
      </c>
      <c r="M30" s="1511">
        <v>26361</v>
      </c>
      <c r="N30" s="1511">
        <v>26361</v>
      </c>
      <c r="O30" s="1511">
        <v>26361</v>
      </c>
      <c r="P30" s="1759">
        <v>26361</v>
      </c>
      <c r="Q30" s="1512">
        <v>26361</v>
      </c>
      <c r="R30" s="1512">
        <v>26361</v>
      </c>
      <c r="S30" s="1731"/>
      <c r="T30" s="37"/>
      <c r="U30" s="37"/>
      <c r="V30" s="38"/>
      <c r="W30" s="40"/>
    </row>
    <row r="31" spans="1:23" x14ac:dyDescent="0.2">
      <c r="A31" s="1031">
        <v>160</v>
      </c>
      <c r="B31" s="835"/>
      <c r="C31" s="835" t="s">
        <v>809</v>
      </c>
      <c r="D31" s="1033"/>
      <c r="E31" s="1033"/>
      <c r="F31" s="1033"/>
      <c r="G31" s="1594"/>
      <c r="H31" s="1033"/>
      <c r="I31" s="1033"/>
      <c r="J31" s="1087">
        <v>63.5</v>
      </c>
      <c r="K31" s="1232">
        <v>421</v>
      </c>
      <c r="L31" s="1511">
        <v>100</v>
      </c>
      <c r="M31" s="1511">
        <v>100</v>
      </c>
      <c r="N31" s="1511">
        <v>100</v>
      </c>
      <c r="O31" s="1511">
        <v>13</v>
      </c>
      <c r="P31" s="1759">
        <v>100</v>
      </c>
      <c r="Q31" s="1512">
        <v>100</v>
      </c>
      <c r="R31" s="1512">
        <v>100</v>
      </c>
      <c r="S31" s="1731"/>
      <c r="T31" s="37"/>
      <c r="U31" s="37"/>
      <c r="V31" s="38"/>
      <c r="W31" s="40"/>
    </row>
    <row r="32" spans="1:23" x14ac:dyDescent="0.2">
      <c r="A32" s="2016" t="s">
        <v>107</v>
      </c>
      <c r="B32" s="2016"/>
      <c r="C32" s="2016"/>
      <c r="D32" s="1772"/>
      <c r="E32" s="1773"/>
      <c r="F32" s="1772"/>
      <c r="G32" s="1773"/>
      <c r="H32" s="1772"/>
      <c r="I32" s="1773"/>
      <c r="J32" s="1772">
        <f>J9+J23</f>
        <v>1078510.0800000001</v>
      </c>
      <c r="K32" s="1774">
        <f>SUM(K9,K23)</f>
        <v>1242847</v>
      </c>
      <c r="L32" s="1774">
        <f>L9+L23</f>
        <v>1236563</v>
      </c>
      <c r="M32" s="1774">
        <f>M9+M23</f>
        <v>1300537</v>
      </c>
      <c r="N32" s="1772">
        <f>SUM(N9,N23)</f>
        <v>1335649</v>
      </c>
      <c r="O32" s="1772">
        <f>SUM(O9,O23)</f>
        <v>1410196</v>
      </c>
      <c r="P32" s="1775">
        <f>SUM(P9,P23)</f>
        <v>1412299</v>
      </c>
      <c r="Q32" s="1550">
        <f>SUM(Q9,Q23)</f>
        <v>1469634</v>
      </c>
      <c r="R32" s="1550">
        <f>SUM(R9,R23)</f>
        <v>1582631</v>
      </c>
      <c r="S32" s="1734"/>
      <c r="T32" s="47"/>
      <c r="U32" s="47"/>
      <c r="V32" s="47"/>
    </row>
    <row r="33" spans="1:23" x14ac:dyDescent="0.2">
      <c r="A33" s="41"/>
      <c r="B33" s="50"/>
      <c r="C33" s="50"/>
      <c r="D33" s="51"/>
      <c r="E33" s="46"/>
      <c r="F33" s="51"/>
      <c r="G33" s="51"/>
      <c r="H33" s="46"/>
      <c r="I33" s="46"/>
      <c r="J33" s="46"/>
      <c r="K33" s="46"/>
      <c r="L33" s="46"/>
      <c r="M33" s="52"/>
      <c r="N33" s="52"/>
      <c r="O33" s="52"/>
      <c r="P33" s="1311"/>
      <c r="Q33" s="52"/>
      <c r="R33" s="43"/>
      <c r="S33" s="1733"/>
      <c r="T33" s="53"/>
      <c r="U33" s="53"/>
      <c r="V33" s="38"/>
    </row>
    <row r="34" spans="1:23" hidden="1" x14ac:dyDescent="0.2">
      <c r="A34" s="41"/>
      <c r="B34" s="50"/>
      <c r="C34" s="50"/>
      <c r="D34" s="51"/>
      <c r="E34" s="46"/>
      <c r="F34" s="51"/>
      <c r="G34" s="51"/>
      <c r="H34" s="46"/>
      <c r="I34" s="46"/>
      <c r="J34" s="46"/>
      <c r="K34" s="46"/>
      <c r="L34" s="46"/>
      <c r="M34" s="52"/>
      <c r="N34" s="52"/>
      <c r="O34" s="52"/>
      <c r="Q34" s="52"/>
      <c r="R34" s="43"/>
      <c r="S34" s="1733"/>
      <c r="T34" s="53"/>
      <c r="U34" s="53"/>
      <c r="V34" s="38"/>
    </row>
    <row r="35" spans="1:23" ht="15.75" x14ac:dyDescent="0.25">
      <c r="A35" s="41"/>
      <c r="B35" s="50"/>
      <c r="C35" s="50"/>
      <c r="D35" s="51"/>
      <c r="E35" s="46"/>
      <c r="F35" s="51"/>
      <c r="G35" s="51"/>
      <c r="H35" s="46"/>
      <c r="I35" s="46"/>
      <c r="J35" s="46"/>
      <c r="K35" s="46"/>
      <c r="L35" s="46"/>
      <c r="M35" s="2013" t="s">
        <v>108</v>
      </c>
      <c r="N35" s="2013"/>
      <c r="O35" s="2013"/>
      <c r="P35" s="2013"/>
      <c r="Q35" s="2013"/>
      <c r="R35" s="2013"/>
      <c r="S35" s="1725"/>
      <c r="T35" s="25"/>
      <c r="U35" s="25"/>
      <c r="V35" s="25"/>
    </row>
    <row r="36" spans="1:23" ht="16.5" hidden="1" thickBot="1" x14ac:dyDescent="0.3">
      <c r="A36" s="41"/>
      <c r="B36" s="50"/>
      <c r="C36" s="50"/>
      <c r="D36" s="51"/>
      <c r="E36" s="46"/>
      <c r="F36" s="51"/>
      <c r="G36" s="51"/>
      <c r="H36" s="46"/>
      <c r="I36" s="46"/>
      <c r="J36" s="46"/>
      <c r="K36" s="46"/>
      <c r="L36" s="46"/>
      <c r="M36" s="26"/>
      <c r="N36" s="26"/>
      <c r="O36" s="26"/>
      <c r="Q36" s="26"/>
      <c r="R36" s="27"/>
      <c r="S36" s="1726"/>
      <c r="T36" s="26"/>
      <c r="U36" s="26"/>
      <c r="V36" s="28"/>
    </row>
    <row r="37" spans="1:23" s="20" customFormat="1" ht="15.75" x14ac:dyDescent="0.25">
      <c r="A37" s="1761" t="s">
        <v>1</v>
      </c>
      <c r="B37" s="1762"/>
      <c r="C37" s="1778"/>
      <c r="D37" s="1764"/>
      <c r="E37" s="1765"/>
      <c r="F37" s="1764"/>
      <c r="G37" s="1765"/>
      <c r="H37" s="1764"/>
      <c r="I37" s="1765"/>
      <c r="J37" s="1765">
        <v>2018</v>
      </c>
      <c r="K37" s="1540" t="s">
        <v>909</v>
      </c>
      <c r="L37" s="1540">
        <v>2021</v>
      </c>
      <c r="M37" s="1766">
        <v>2022</v>
      </c>
      <c r="N37" s="1767">
        <v>2023</v>
      </c>
      <c r="O37" s="1767" t="s">
        <v>981</v>
      </c>
      <c r="P37" s="1768">
        <v>2024</v>
      </c>
      <c r="Q37" s="1769">
        <v>2025</v>
      </c>
      <c r="R37" s="1769">
        <v>2026</v>
      </c>
      <c r="S37" s="1735"/>
      <c r="T37" s="54"/>
      <c r="U37" s="54"/>
      <c r="V37" s="55"/>
    </row>
    <row r="38" spans="1:23" s="33" customFormat="1" x14ac:dyDescent="0.2">
      <c r="A38" s="2110" t="s">
        <v>109</v>
      </c>
      <c r="B38" s="2110"/>
      <c r="C38" s="2110"/>
      <c r="D38" s="2111"/>
      <c r="E38" s="2112"/>
      <c r="F38" s="2111"/>
      <c r="G38" s="2112"/>
      <c r="H38" s="2111"/>
      <c r="I38" s="2112"/>
      <c r="J38" s="2111">
        <f>SUM(J39,J40,J41,J42,J43)</f>
        <v>127462.42</v>
      </c>
      <c r="K38" s="2111">
        <f>SUM(K39,K40,K41,K42,K43)</f>
        <v>146661</v>
      </c>
      <c r="L38" s="2111">
        <f>SUM(L39:L43)</f>
        <v>52000</v>
      </c>
      <c r="M38" s="2111">
        <f t="shared" ref="M38:R38" si="0">M39+M40+M41+M42+M43</f>
        <v>58100</v>
      </c>
      <c r="N38" s="2111">
        <f t="shared" si="0"/>
        <v>53000</v>
      </c>
      <c r="O38" s="2111">
        <f t="shared" si="0"/>
        <v>48600</v>
      </c>
      <c r="P38" s="1755">
        <f t="shared" si="0"/>
        <v>53000</v>
      </c>
      <c r="Q38" s="2111">
        <f t="shared" si="0"/>
        <v>53000</v>
      </c>
      <c r="R38" s="2111">
        <f t="shared" si="0"/>
        <v>53000</v>
      </c>
      <c r="S38" s="1736"/>
      <c r="T38" s="56"/>
      <c r="U38" s="56"/>
      <c r="V38" s="56"/>
    </row>
    <row r="39" spans="1:23" x14ac:dyDescent="0.2">
      <c r="A39" s="1031">
        <v>211</v>
      </c>
      <c r="B39" s="835" t="s">
        <v>92</v>
      </c>
      <c r="C39" s="835" t="s">
        <v>110</v>
      </c>
      <c r="D39" s="1087"/>
      <c r="E39" s="1033"/>
      <c r="F39" s="1087"/>
      <c r="G39" s="1593"/>
      <c r="H39" s="1033"/>
      <c r="I39" s="1033"/>
      <c r="J39" s="1087">
        <v>0</v>
      </c>
      <c r="K39" s="1232">
        <v>0</v>
      </c>
      <c r="L39" s="1232">
        <v>0</v>
      </c>
      <c r="M39" s="1511">
        <v>0</v>
      </c>
      <c r="N39" s="1511">
        <v>0</v>
      </c>
      <c r="O39" s="1511">
        <v>0</v>
      </c>
      <c r="P39" s="1759">
        <v>0</v>
      </c>
      <c r="Q39" s="1512">
        <v>0</v>
      </c>
      <c r="R39" s="1512">
        <v>0</v>
      </c>
      <c r="S39" s="1731"/>
      <c r="T39" s="37"/>
      <c r="U39" s="37"/>
      <c r="V39" s="37"/>
    </row>
    <row r="40" spans="1:23" x14ac:dyDescent="0.2">
      <c r="A40" s="1031">
        <v>212</v>
      </c>
      <c r="B40" s="835" t="s">
        <v>97</v>
      </c>
      <c r="C40" s="835" t="s">
        <v>25</v>
      </c>
      <c r="D40" s="1087"/>
      <c r="E40" s="1033"/>
      <c r="F40" s="1087"/>
      <c r="G40" s="1593"/>
      <c r="H40" s="1033"/>
      <c r="I40" s="1033"/>
      <c r="J40" s="1087">
        <v>82892.78</v>
      </c>
      <c r="K40" s="1232">
        <v>97148</v>
      </c>
      <c r="L40" s="1232">
        <v>10000</v>
      </c>
      <c r="M40" s="1511">
        <v>14000</v>
      </c>
      <c r="N40" s="1511">
        <v>14000</v>
      </c>
      <c r="O40" s="1511">
        <v>14000</v>
      </c>
      <c r="P40" s="1770">
        <v>14000</v>
      </c>
      <c r="Q40" s="1512">
        <v>14000</v>
      </c>
      <c r="R40" s="1512">
        <v>14000</v>
      </c>
      <c r="S40" s="1731"/>
      <c r="T40" s="37"/>
      <c r="U40" s="37"/>
      <c r="V40" s="37"/>
    </row>
    <row r="41" spans="1:23" x14ac:dyDescent="0.2">
      <c r="A41" s="1031">
        <v>212</v>
      </c>
      <c r="B41" s="835" t="s">
        <v>92</v>
      </c>
      <c r="C41" s="835" t="s">
        <v>28</v>
      </c>
      <c r="D41" s="1087"/>
      <c r="E41" s="1033"/>
      <c r="F41" s="1087"/>
      <c r="G41" s="1593"/>
      <c r="H41" s="1033"/>
      <c r="I41" s="1033"/>
      <c r="J41" s="1087">
        <v>27055.64</v>
      </c>
      <c r="K41" s="1232">
        <v>23146</v>
      </c>
      <c r="L41" s="1232">
        <v>20000</v>
      </c>
      <c r="M41" s="1511">
        <v>24000</v>
      </c>
      <c r="N41" s="1511">
        <v>24000</v>
      </c>
      <c r="O41" s="1511">
        <v>24000</v>
      </c>
      <c r="P41" s="1759">
        <v>24000</v>
      </c>
      <c r="Q41" s="1512">
        <v>24000</v>
      </c>
      <c r="R41" s="1512">
        <v>24000</v>
      </c>
      <c r="S41" s="1731"/>
      <c r="T41" s="37"/>
      <c r="U41" s="37"/>
      <c r="V41" s="37"/>
      <c r="W41" s="49"/>
    </row>
    <row r="42" spans="1:23" x14ac:dyDescent="0.2">
      <c r="A42" s="1031">
        <v>212</v>
      </c>
      <c r="B42" s="835" t="s">
        <v>111</v>
      </c>
      <c r="C42" s="835" t="s">
        <v>112</v>
      </c>
      <c r="D42" s="1087"/>
      <c r="E42" s="1033"/>
      <c r="F42" s="1087"/>
      <c r="G42" s="1593"/>
      <c r="H42" s="1033"/>
      <c r="I42" s="1033"/>
      <c r="J42" s="1087">
        <v>17514</v>
      </c>
      <c r="K42" s="1232">
        <v>14529</v>
      </c>
      <c r="L42" s="1232">
        <v>10000</v>
      </c>
      <c r="M42" s="1511">
        <v>2600</v>
      </c>
      <c r="N42" s="1511">
        <v>3000</v>
      </c>
      <c r="O42" s="1511">
        <v>2100</v>
      </c>
      <c r="P42" s="1770">
        <v>3000</v>
      </c>
      <c r="Q42" s="1512">
        <v>3000</v>
      </c>
      <c r="R42" s="1512">
        <v>3000</v>
      </c>
      <c r="S42" s="1731"/>
      <c r="T42" s="37"/>
      <c r="U42" s="37"/>
      <c r="V42" s="37"/>
    </row>
    <row r="43" spans="1:23" x14ac:dyDescent="0.2">
      <c r="A43" s="1031">
        <v>212</v>
      </c>
      <c r="B43" s="835" t="s">
        <v>111</v>
      </c>
      <c r="C43" s="835" t="s">
        <v>672</v>
      </c>
      <c r="D43" s="1087"/>
      <c r="E43" s="1033"/>
      <c r="F43" s="1087"/>
      <c r="G43" s="1593"/>
      <c r="H43" s="1033"/>
      <c r="I43" s="1033"/>
      <c r="J43" s="1087"/>
      <c r="K43" s="1232">
        <v>11838</v>
      </c>
      <c r="L43" s="1232">
        <v>12000</v>
      </c>
      <c r="M43" s="1511">
        <v>17500</v>
      </c>
      <c r="N43" s="1511">
        <v>12000</v>
      </c>
      <c r="O43" s="1511">
        <v>8500</v>
      </c>
      <c r="P43" s="1770">
        <v>12000</v>
      </c>
      <c r="Q43" s="1512">
        <v>12000</v>
      </c>
      <c r="R43" s="1512">
        <v>12000</v>
      </c>
      <c r="S43" s="1731"/>
      <c r="T43" s="37"/>
      <c r="U43" s="37"/>
      <c r="V43" s="37"/>
      <c r="W43" s="57"/>
    </row>
    <row r="44" spans="1:23" x14ac:dyDescent="0.2">
      <c r="A44" s="41"/>
      <c r="B44" s="50"/>
      <c r="C44" s="50"/>
      <c r="D44" s="64"/>
      <c r="E44" s="46"/>
      <c r="F44" s="64"/>
      <c r="G44" s="65"/>
      <c r="H44" s="46"/>
      <c r="I44" s="46"/>
      <c r="J44" s="46"/>
      <c r="K44" s="46"/>
      <c r="L44" s="64"/>
      <c r="M44" s="64"/>
      <c r="N44" s="64"/>
      <c r="O44" s="64"/>
      <c r="P44" s="1311"/>
      <c r="Q44" s="46"/>
      <c r="R44" s="46"/>
      <c r="S44" s="1731"/>
      <c r="T44" s="37"/>
      <c r="U44" s="37"/>
      <c r="V44" s="37"/>
      <c r="W44" s="57"/>
    </row>
    <row r="45" spans="1:23" ht="13.5" hidden="1" thickBot="1" x14ac:dyDescent="0.25">
      <c r="A45" s="41"/>
      <c r="B45" s="50"/>
      <c r="C45" s="50"/>
      <c r="D45" s="58"/>
      <c r="E45" s="43"/>
      <c r="F45" s="58"/>
      <c r="G45" s="59"/>
      <c r="H45" s="43"/>
      <c r="I45" s="43"/>
      <c r="J45" s="43"/>
      <c r="K45" s="43"/>
      <c r="L45" s="43"/>
      <c r="M45" s="43"/>
      <c r="N45" s="43"/>
      <c r="O45" s="43"/>
      <c r="Q45" s="43"/>
      <c r="R45" s="43"/>
      <c r="S45" s="1733"/>
      <c r="T45" s="38"/>
      <c r="U45" s="38"/>
      <c r="V45" s="38"/>
    </row>
    <row r="46" spans="1:23" s="48" customFormat="1" x14ac:dyDescent="0.2">
      <c r="A46" s="2104" t="s">
        <v>113</v>
      </c>
      <c r="B46" s="2104"/>
      <c r="C46" s="2104"/>
      <c r="D46" s="1835"/>
      <c r="E46" s="2108"/>
      <c r="F46" s="1835"/>
      <c r="G46" s="2108"/>
      <c r="H46" s="1835"/>
      <c r="I46" s="2108"/>
      <c r="J46" s="1835">
        <f>SUM(J47,J48,J51,J52,J53,J55,J56,J57,J58,J59)</f>
        <v>62910.559999999998</v>
      </c>
      <c r="K46" s="1835">
        <f>SUM(K47,K48,K51,K52,K53,K55,K56,K57,K58,K59)</f>
        <v>46833</v>
      </c>
      <c r="L46" s="1835">
        <f>L47+L48+L51+L52+L53+L55+L56+L57+L58+L59+L54+L49+L50</f>
        <v>101230</v>
      </c>
      <c r="M46" s="1835">
        <f>M47+M48+M51+M52+M53+M55+M56+M57+M58+M59+M54+M49</f>
        <v>117930</v>
      </c>
      <c r="N46" s="1835">
        <f>N47+N48+N51+N52+N53+N55+N56+N57+N58+N59+N49+N50</f>
        <v>116530</v>
      </c>
      <c r="O46" s="1835">
        <f>O47+O48+O51+O52+O53+O55+O56+O57+O58+O59+O49+O50</f>
        <v>119593</v>
      </c>
      <c r="P46" s="1755">
        <f>P47+P48+P51+P52+P53+P55+P56+P57+P58+P59+P49+P50</f>
        <v>119530</v>
      </c>
      <c r="Q46" s="1835">
        <f>Q47+Q48+Q51+Q52+Q53+Q55+Q56+Q57+Q58+Q59+Q49</f>
        <v>127500</v>
      </c>
      <c r="R46" s="1835">
        <f>R47+R48+R51+R52+R53+R55+R56+R57+R58+R59+R49</f>
        <v>129500</v>
      </c>
      <c r="S46" s="1736"/>
      <c r="T46" s="56"/>
      <c r="U46" s="56"/>
      <c r="V46" s="56"/>
    </row>
    <row r="47" spans="1:23" x14ac:dyDescent="0.2">
      <c r="A47" s="1031">
        <v>221</v>
      </c>
      <c r="B47" s="835" t="s">
        <v>111</v>
      </c>
      <c r="C47" s="835" t="s">
        <v>114</v>
      </c>
      <c r="D47" s="1087"/>
      <c r="E47" s="1033"/>
      <c r="F47" s="1087"/>
      <c r="G47" s="1593"/>
      <c r="H47" s="1033"/>
      <c r="I47" s="1033"/>
      <c r="J47" s="1087">
        <v>12164.7</v>
      </c>
      <c r="K47" s="1232">
        <v>16346</v>
      </c>
      <c r="L47" s="1511">
        <v>8500</v>
      </c>
      <c r="M47" s="1511">
        <v>10000</v>
      </c>
      <c r="N47" s="1511">
        <v>10000</v>
      </c>
      <c r="O47" s="1511">
        <v>10000</v>
      </c>
      <c r="P47" s="1770">
        <v>10000</v>
      </c>
      <c r="Q47" s="1512">
        <v>10000</v>
      </c>
      <c r="R47" s="1512">
        <v>10000</v>
      </c>
      <c r="S47" s="1731"/>
      <c r="T47" s="37"/>
      <c r="U47" s="37"/>
      <c r="V47" s="37"/>
    </row>
    <row r="48" spans="1:23" x14ac:dyDescent="0.2">
      <c r="A48" s="1031">
        <v>222</v>
      </c>
      <c r="B48" s="835" t="s">
        <v>92</v>
      </c>
      <c r="C48" s="835" t="s">
        <v>115</v>
      </c>
      <c r="D48" s="1087"/>
      <c r="E48" s="1033"/>
      <c r="F48" s="1087"/>
      <c r="G48" s="1593"/>
      <c r="H48" s="1033"/>
      <c r="I48" s="1033"/>
      <c r="J48" s="1087">
        <v>3571.81</v>
      </c>
      <c r="K48" s="1232">
        <v>5222</v>
      </c>
      <c r="L48" s="1511">
        <v>5000</v>
      </c>
      <c r="M48" s="1511">
        <v>6400</v>
      </c>
      <c r="N48" s="1511">
        <v>5000</v>
      </c>
      <c r="O48" s="1511">
        <v>5000</v>
      </c>
      <c r="P48" s="1770">
        <v>5000</v>
      </c>
      <c r="Q48" s="1512">
        <v>3000</v>
      </c>
      <c r="R48" s="1512">
        <v>3000</v>
      </c>
      <c r="S48" s="1731"/>
      <c r="T48" s="37"/>
      <c r="U48" s="37"/>
      <c r="V48" s="37"/>
    </row>
    <row r="49" spans="1:24" x14ac:dyDescent="0.2">
      <c r="A49" s="1031">
        <v>223</v>
      </c>
      <c r="B49" s="835" t="s">
        <v>94</v>
      </c>
      <c r="C49" s="835" t="s">
        <v>911</v>
      </c>
      <c r="D49" s="1087"/>
      <c r="E49" s="1033"/>
      <c r="F49" s="1087"/>
      <c r="G49" s="1593"/>
      <c r="H49" s="1033"/>
      <c r="I49" s="1033"/>
      <c r="J49" s="1087"/>
      <c r="K49" s="1232"/>
      <c r="L49" s="1511">
        <v>60000</v>
      </c>
      <c r="M49" s="1511">
        <v>60000</v>
      </c>
      <c r="N49" s="1511">
        <v>60000</v>
      </c>
      <c r="O49" s="1511">
        <v>60000</v>
      </c>
      <c r="P49" s="1770">
        <v>60000</v>
      </c>
      <c r="Q49" s="1512">
        <v>70000</v>
      </c>
      <c r="R49" s="1512">
        <v>70000</v>
      </c>
      <c r="S49" s="1731"/>
      <c r="T49" s="37"/>
      <c r="U49" s="37"/>
      <c r="V49" s="37"/>
    </row>
    <row r="50" spans="1:24" x14ac:dyDescent="0.2">
      <c r="A50" s="1031">
        <v>223</v>
      </c>
      <c r="B50" s="835" t="s">
        <v>94</v>
      </c>
      <c r="C50" s="835" t="s">
        <v>912</v>
      </c>
      <c r="D50" s="1087"/>
      <c r="E50" s="1033"/>
      <c r="F50" s="1087"/>
      <c r="G50" s="1593"/>
      <c r="H50" s="1033"/>
      <c r="I50" s="1033"/>
      <c r="J50" s="1087"/>
      <c r="K50" s="1232"/>
      <c r="L50" s="1511">
        <v>5700</v>
      </c>
      <c r="M50" s="1511">
        <v>0</v>
      </c>
      <c r="N50" s="1511">
        <v>0</v>
      </c>
      <c r="O50" s="1511">
        <v>0</v>
      </c>
      <c r="P50" s="1770">
        <v>0</v>
      </c>
      <c r="Q50" s="1512"/>
      <c r="R50" s="1512"/>
      <c r="S50" s="1731"/>
      <c r="T50" s="37"/>
      <c r="U50" s="37"/>
      <c r="V50" s="37"/>
    </row>
    <row r="51" spans="1:24" x14ac:dyDescent="0.2">
      <c r="A51" s="1031">
        <v>223</v>
      </c>
      <c r="B51" s="835" t="s">
        <v>94</v>
      </c>
      <c r="C51" s="835" t="s">
        <v>116</v>
      </c>
      <c r="D51" s="1087"/>
      <c r="E51" s="1033"/>
      <c r="F51" s="1087"/>
      <c r="G51" s="1593"/>
      <c r="H51" s="1033"/>
      <c r="I51" s="1033"/>
      <c r="J51" s="1087">
        <v>114</v>
      </c>
      <c r="K51" s="1232">
        <v>178</v>
      </c>
      <c r="L51" s="1511">
        <v>230</v>
      </c>
      <c r="M51" s="1511">
        <v>230</v>
      </c>
      <c r="N51" s="1511">
        <v>230</v>
      </c>
      <c r="O51" s="1511">
        <v>550</v>
      </c>
      <c r="P51" s="1770">
        <v>230</v>
      </c>
      <c r="Q51" s="1512">
        <v>200</v>
      </c>
      <c r="R51" s="1512">
        <v>200</v>
      </c>
      <c r="S51" s="1731"/>
      <c r="T51" s="37"/>
      <c r="U51" s="37"/>
      <c r="V51" s="37"/>
    </row>
    <row r="52" spans="1:24" x14ac:dyDescent="0.2">
      <c r="A52" s="1031">
        <v>223</v>
      </c>
      <c r="B52" s="1031" t="s">
        <v>94</v>
      </c>
      <c r="C52" s="835" t="s">
        <v>42</v>
      </c>
      <c r="D52" s="1087"/>
      <c r="E52" s="1033"/>
      <c r="F52" s="1087"/>
      <c r="G52" s="1593"/>
      <c r="H52" s="1033"/>
      <c r="I52" s="1033"/>
      <c r="J52" s="1087">
        <v>8894.8700000000008</v>
      </c>
      <c r="K52" s="1232">
        <v>5861</v>
      </c>
      <c r="L52" s="1511">
        <v>4500</v>
      </c>
      <c r="M52" s="1511">
        <v>7000</v>
      </c>
      <c r="N52" s="1511">
        <v>7000</v>
      </c>
      <c r="O52" s="1511">
        <v>7000</v>
      </c>
      <c r="P52" s="1770">
        <v>7000</v>
      </c>
      <c r="Q52" s="1512">
        <v>5000</v>
      </c>
      <c r="R52" s="1512">
        <v>5000</v>
      </c>
      <c r="S52" s="1731"/>
      <c r="T52" s="37"/>
      <c r="U52" s="37"/>
      <c r="V52" s="37"/>
    </row>
    <row r="53" spans="1:24" x14ac:dyDescent="0.2">
      <c r="A53" s="1031">
        <v>223</v>
      </c>
      <c r="B53" s="1031" t="s">
        <v>94</v>
      </c>
      <c r="C53" s="835" t="s">
        <v>703</v>
      </c>
      <c r="D53" s="1087"/>
      <c r="E53" s="1033"/>
      <c r="F53" s="1087"/>
      <c r="G53" s="1593"/>
      <c r="H53" s="1033"/>
      <c r="I53" s="1033"/>
      <c r="J53" s="1087">
        <v>11347.82</v>
      </c>
      <c r="K53" s="1232">
        <v>10794</v>
      </c>
      <c r="L53" s="1511">
        <v>9000</v>
      </c>
      <c r="M53" s="1511">
        <v>16000</v>
      </c>
      <c r="N53" s="1511">
        <v>16000</v>
      </c>
      <c r="O53" s="1511">
        <v>26000</v>
      </c>
      <c r="P53" s="1759">
        <v>26000</v>
      </c>
      <c r="Q53" s="1512">
        <v>26000</v>
      </c>
      <c r="R53" s="1512">
        <v>26000</v>
      </c>
      <c r="S53" s="1731"/>
      <c r="T53" s="37"/>
      <c r="U53" s="37"/>
      <c r="V53" s="37"/>
    </row>
    <row r="54" spans="1:24" x14ac:dyDescent="0.2">
      <c r="A54" s="1031">
        <v>223</v>
      </c>
      <c r="B54" s="1031" t="s">
        <v>94</v>
      </c>
      <c r="C54" s="835" t="s">
        <v>756</v>
      </c>
      <c r="D54" s="1087"/>
      <c r="E54" s="1033"/>
      <c r="F54" s="1087"/>
      <c r="G54" s="1593"/>
      <c r="H54" s="1033"/>
      <c r="I54" s="1033"/>
      <c r="J54" s="1087">
        <v>11607.95</v>
      </c>
      <c r="K54" s="1232"/>
      <c r="L54" s="1511"/>
      <c r="M54" s="1511"/>
      <c r="N54" s="1511"/>
      <c r="O54" s="1511"/>
      <c r="P54" s="1759"/>
      <c r="Q54" s="1512">
        <v>0</v>
      </c>
      <c r="R54" s="1512">
        <v>0</v>
      </c>
      <c r="S54" s="1731"/>
      <c r="T54" s="37"/>
      <c r="U54" s="37"/>
      <c r="V54"/>
    </row>
    <row r="55" spans="1:24" x14ac:dyDescent="0.2">
      <c r="A55" s="1031">
        <v>223</v>
      </c>
      <c r="B55" s="1031" t="s">
        <v>97</v>
      </c>
      <c r="C55" s="835" t="s">
        <v>117</v>
      </c>
      <c r="D55" s="1087"/>
      <c r="E55" s="1033"/>
      <c r="F55" s="1087"/>
      <c r="G55" s="1593"/>
      <c r="H55" s="1033"/>
      <c r="I55" s="1033"/>
      <c r="J55" s="1087">
        <v>0</v>
      </c>
      <c r="K55" s="1232">
        <v>0</v>
      </c>
      <c r="L55" s="1511">
        <v>0</v>
      </c>
      <c r="M55" s="1511">
        <v>0</v>
      </c>
      <c r="N55" s="1511">
        <v>0</v>
      </c>
      <c r="O55" s="1511">
        <v>0</v>
      </c>
      <c r="P55" s="1759">
        <v>0</v>
      </c>
      <c r="Q55" s="1779">
        <v>0</v>
      </c>
      <c r="R55" s="1779">
        <v>0</v>
      </c>
      <c r="S55" s="1731"/>
      <c r="T55" s="37"/>
      <c r="U55" s="37"/>
      <c r="V55" s="37"/>
      <c r="W55" s="60"/>
      <c r="X55" s="41"/>
    </row>
    <row r="56" spans="1:24" x14ac:dyDescent="0.2">
      <c r="A56" s="1031">
        <v>223</v>
      </c>
      <c r="B56" s="1031" t="s">
        <v>92</v>
      </c>
      <c r="C56" s="835" t="s">
        <v>118</v>
      </c>
      <c r="D56" s="1087"/>
      <c r="E56" s="1033"/>
      <c r="F56" s="1087"/>
      <c r="G56" s="1593"/>
      <c r="H56" s="1033"/>
      <c r="I56" s="1033"/>
      <c r="J56" s="1087">
        <v>0</v>
      </c>
      <c r="K56" s="1232">
        <v>0</v>
      </c>
      <c r="L56" s="1511">
        <v>0</v>
      </c>
      <c r="M56" s="1511">
        <v>0</v>
      </c>
      <c r="N56" s="1511">
        <v>0</v>
      </c>
      <c r="O56" s="1511">
        <v>0</v>
      </c>
      <c r="P56" s="1759">
        <v>0</v>
      </c>
      <c r="Q56" s="1512">
        <v>0</v>
      </c>
      <c r="R56" s="1512">
        <v>0</v>
      </c>
      <c r="S56" s="1731"/>
      <c r="T56" s="37"/>
      <c r="U56" s="37"/>
      <c r="V56" s="37"/>
      <c r="W56" s="61"/>
    </row>
    <row r="57" spans="1:24" x14ac:dyDescent="0.2">
      <c r="A57" s="1031">
        <v>223</v>
      </c>
      <c r="B57" s="1031" t="s">
        <v>92</v>
      </c>
      <c r="C57" s="835" t="s">
        <v>745</v>
      </c>
      <c r="D57" s="1033"/>
      <c r="E57" s="1780"/>
      <c r="F57" s="1033"/>
      <c r="G57" s="1594"/>
      <c r="H57" s="1780"/>
      <c r="I57" s="1780"/>
      <c r="J57" s="1087">
        <v>26817.360000000001</v>
      </c>
      <c r="K57" s="1232">
        <v>6977</v>
      </c>
      <c r="L57" s="1511">
        <v>0</v>
      </c>
      <c r="M57" s="1511">
        <v>0</v>
      </c>
      <c r="N57" s="1511">
        <v>0</v>
      </c>
      <c r="O57" s="1511">
        <v>0</v>
      </c>
      <c r="P57" s="1759">
        <v>0</v>
      </c>
      <c r="Q57" s="1512">
        <v>0</v>
      </c>
      <c r="R57" s="1512">
        <v>0</v>
      </c>
      <c r="S57" s="1731"/>
      <c r="T57" s="37"/>
      <c r="U57" s="37"/>
      <c r="V57" s="37"/>
    </row>
    <row r="58" spans="1:24" x14ac:dyDescent="0.2">
      <c r="A58" s="1031">
        <v>223</v>
      </c>
      <c r="B58" s="1031" t="s">
        <v>92</v>
      </c>
      <c r="C58" s="835" t="s">
        <v>119</v>
      </c>
      <c r="D58" s="1033"/>
      <c r="E58" s="1033"/>
      <c r="F58" s="1033"/>
      <c r="G58" s="1594"/>
      <c r="H58" s="1033"/>
      <c r="I58" s="1033"/>
      <c r="J58" s="1087">
        <v>0</v>
      </c>
      <c r="K58" s="1232">
        <v>0</v>
      </c>
      <c r="L58" s="1511">
        <v>8000</v>
      </c>
      <c r="M58" s="1511">
        <v>18000</v>
      </c>
      <c r="N58" s="1511">
        <v>18000</v>
      </c>
      <c r="O58" s="1511">
        <v>11000</v>
      </c>
      <c r="P58" s="1770">
        <v>11000</v>
      </c>
      <c r="Q58" s="1512">
        <v>13000</v>
      </c>
      <c r="R58" s="1512">
        <v>15000</v>
      </c>
      <c r="S58" s="1731"/>
      <c r="T58" s="37"/>
      <c r="U58" s="37"/>
      <c r="V58" s="37"/>
    </row>
    <row r="59" spans="1:24" x14ac:dyDescent="0.2">
      <c r="A59" s="1031">
        <v>229</v>
      </c>
      <c r="B59" s="835" t="s">
        <v>120</v>
      </c>
      <c r="C59" s="835" t="s">
        <v>121</v>
      </c>
      <c r="D59" s="1033"/>
      <c r="E59" s="1033"/>
      <c r="F59" s="1033"/>
      <c r="G59" s="1594"/>
      <c r="H59" s="1033"/>
      <c r="I59" s="1033"/>
      <c r="J59" s="1087">
        <v>0</v>
      </c>
      <c r="K59" s="1087">
        <v>1455</v>
      </c>
      <c r="L59" s="1511">
        <v>300</v>
      </c>
      <c r="M59" s="1511">
        <v>300</v>
      </c>
      <c r="N59" s="1511">
        <v>300</v>
      </c>
      <c r="O59" s="1511">
        <v>43</v>
      </c>
      <c r="P59" s="1770">
        <v>300</v>
      </c>
      <c r="Q59" s="1033">
        <v>300</v>
      </c>
      <c r="R59" s="1033">
        <v>300</v>
      </c>
      <c r="S59" s="1731"/>
      <c r="T59" s="37"/>
      <c r="U59" s="37"/>
      <c r="V59" s="37"/>
      <c r="W59" s="62"/>
    </row>
    <row r="60" spans="1:24" x14ac:dyDescent="0.2">
      <c r="A60" s="41"/>
      <c r="B60" s="50"/>
      <c r="C60" s="50"/>
      <c r="D60" s="42"/>
      <c r="E60" s="43"/>
      <c r="F60" s="42"/>
      <c r="G60" s="44"/>
      <c r="H60" s="43"/>
      <c r="I60" s="43"/>
      <c r="J60" s="43"/>
      <c r="K60" s="43"/>
      <c r="L60" s="43"/>
      <c r="M60" s="43"/>
      <c r="N60" s="43"/>
      <c r="O60" s="43"/>
      <c r="P60" s="1311"/>
      <c r="Q60" s="43"/>
      <c r="R60" s="43"/>
      <c r="S60" s="1733"/>
      <c r="T60" s="38"/>
      <c r="U60" s="38"/>
      <c r="V60" s="38"/>
    </row>
    <row r="61" spans="1:24" s="48" customFormat="1" x14ac:dyDescent="0.2">
      <c r="A61" s="2104" t="s">
        <v>122</v>
      </c>
      <c r="B61" s="2104"/>
      <c r="C61" s="2104"/>
      <c r="D61" s="1835"/>
      <c r="E61" s="2108"/>
      <c r="F61" s="1835"/>
      <c r="G61" s="2108"/>
      <c r="H61" s="1835"/>
      <c r="I61" s="2108"/>
      <c r="J61" s="1835">
        <f>SUM(J62,J63,J64,J65,J66,J68)+J67</f>
        <v>10013.42</v>
      </c>
      <c r="K61" s="1835">
        <f>SUM(K62,K63,K64,K65,K66,K68)+K67</f>
        <v>4638</v>
      </c>
      <c r="L61" s="1835">
        <f>L62+L63+L64+L65+L66+L68+L67</f>
        <v>12550</v>
      </c>
      <c r="M61" s="1835">
        <f>M62+M63+M64+M65+M66+M68+M67</f>
        <v>8505</v>
      </c>
      <c r="N61" s="1835">
        <f>N62+N63+N64+N65+N66+N68+N67</f>
        <v>50</v>
      </c>
      <c r="O61" s="1835">
        <f>O62+O63+O64+O65+O66+O68+O67</f>
        <v>40560</v>
      </c>
      <c r="P61" s="1755">
        <f>P62+P63+P64+P65+P66+P68+P67</f>
        <v>50</v>
      </c>
      <c r="Q61" s="1835">
        <f>Q62+Q63+Q64+Q65+Q66+Q68</f>
        <v>50</v>
      </c>
      <c r="R61" s="1835">
        <f>R62+R63+R64+R65+R66+R68</f>
        <v>50</v>
      </c>
      <c r="S61" s="1736"/>
      <c r="T61" s="56"/>
      <c r="U61" s="56"/>
      <c r="V61" s="56"/>
    </row>
    <row r="62" spans="1:24" s="20" customFormat="1" x14ac:dyDescent="0.2">
      <c r="A62" s="835">
        <v>242</v>
      </c>
      <c r="B62" s="835"/>
      <c r="C62" s="835" t="s">
        <v>123</v>
      </c>
      <c r="D62" s="1087"/>
      <c r="E62" s="1087"/>
      <c r="F62" s="1087"/>
      <c r="G62" s="1593"/>
      <c r="H62" s="1087"/>
      <c r="I62" s="1087"/>
      <c r="J62" s="1087">
        <v>0.03</v>
      </c>
      <c r="K62" s="1232">
        <v>0</v>
      </c>
      <c r="L62" s="1511">
        <v>0</v>
      </c>
      <c r="M62" s="1511">
        <v>0</v>
      </c>
      <c r="N62" s="1511">
        <v>0</v>
      </c>
      <c r="O62" s="1511">
        <v>0</v>
      </c>
      <c r="P62" s="1781">
        <v>0</v>
      </c>
      <c r="Q62" s="1782">
        <v>0</v>
      </c>
      <c r="R62" s="1232">
        <v>0</v>
      </c>
      <c r="S62" s="1731"/>
      <c r="T62" s="37"/>
      <c r="U62" s="37"/>
      <c r="V62" s="37"/>
    </row>
    <row r="63" spans="1:24" s="20" customFormat="1" x14ac:dyDescent="0.2">
      <c r="A63" s="835">
        <v>242</v>
      </c>
      <c r="B63" s="835"/>
      <c r="C63" s="835" t="s">
        <v>124</v>
      </c>
      <c r="D63" s="1087"/>
      <c r="E63" s="1087"/>
      <c r="F63" s="1087"/>
      <c r="G63" s="1593"/>
      <c r="H63" s="1087"/>
      <c r="I63" s="1087"/>
      <c r="J63" s="1087">
        <v>0</v>
      </c>
      <c r="K63" s="1232"/>
      <c r="L63" s="1511"/>
      <c r="M63" s="1511"/>
      <c r="N63" s="1511"/>
      <c r="O63" s="1511"/>
      <c r="P63" s="1781"/>
      <c r="Q63" s="1782"/>
      <c r="R63" s="1232"/>
      <c r="S63" s="1731"/>
      <c r="T63" s="37"/>
      <c r="U63" s="37"/>
      <c r="V63" s="37"/>
    </row>
    <row r="64" spans="1:24" s="20" customFormat="1" x14ac:dyDescent="0.2">
      <c r="A64" s="835">
        <v>292</v>
      </c>
      <c r="B64" s="835" t="s">
        <v>125</v>
      </c>
      <c r="C64" s="835" t="s">
        <v>126</v>
      </c>
      <c r="D64" s="1087"/>
      <c r="E64" s="1087"/>
      <c r="F64" s="1087"/>
      <c r="G64" s="1593"/>
      <c r="H64" s="1087"/>
      <c r="I64" s="1087"/>
      <c r="J64" s="1087">
        <v>34.81</v>
      </c>
      <c r="K64" s="1232">
        <v>0</v>
      </c>
      <c r="L64" s="1511">
        <v>0</v>
      </c>
      <c r="M64" s="1511">
        <v>0</v>
      </c>
      <c r="N64" s="1511">
        <v>0</v>
      </c>
      <c r="O64" s="1511">
        <v>0</v>
      </c>
      <c r="P64" s="1781">
        <v>0</v>
      </c>
      <c r="Q64" s="1782">
        <v>0</v>
      </c>
      <c r="R64" s="1232">
        <v>0</v>
      </c>
      <c r="S64" s="1731"/>
      <c r="T64" s="37"/>
      <c r="U64" s="37"/>
      <c r="V64" s="37"/>
    </row>
    <row r="65" spans="1:23" x14ac:dyDescent="0.2">
      <c r="A65" s="1031">
        <v>292</v>
      </c>
      <c r="B65" s="1031" t="s">
        <v>127</v>
      </c>
      <c r="C65" s="835" t="s">
        <v>128</v>
      </c>
      <c r="D65" s="1087"/>
      <c r="E65" s="1033"/>
      <c r="F65" s="1087"/>
      <c r="G65" s="1593"/>
      <c r="H65" s="1033"/>
      <c r="I65" s="1033"/>
      <c r="J65" s="1033">
        <v>363.34</v>
      </c>
      <c r="K65" s="1232">
        <v>150</v>
      </c>
      <c r="L65" s="1511">
        <v>50</v>
      </c>
      <c r="M65" s="1511">
        <v>5</v>
      </c>
      <c r="N65" s="1511">
        <v>50</v>
      </c>
      <c r="O65" s="1511">
        <v>50</v>
      </c>
      <c r="P65" s="1770">
        <v>50</v>
      </c>
      <c r="Q65" s="1783">
        <v>50</v>
      </c>
      <c r="R65" s="1512">
        <v>50</v>
      </c>
      <c r="S65" s="1731"/>
      <c r="T65" s="37"/>
      <c r="U65" s="37"/>
      <c r="V65" s="37"/>
    </row>
    <row r="66" spans="1:23" x14ac:dyDescent="0.2">
      <c r="A66" s="1031">
        <v>292</v>
      </c>
      <c r="B66" s="1031" t="s">
        <v>129</v>
      </c>
      <c r="C66" s="835" t="s">
        <v>130</v>
      </c>
      <c r="D66" s="1087"/>
      <c r="E66" s="1033"/>
      <c r="F66" s="1087"/>
      <c r="G66" s="1593"/>
      <c r="H66" s="1033"/>
      <c r="I66" s="1033"/>
      <c r="J66" s="1033">
        <v>67.89</v>
      </c>
      <c r="K66" s="1232">
        <v>120</v>
      </c>
      <c r="L66" s="1511">
        <v>1000</v>
      </c>
      <c r="M66" s="1511">
        <v>1000</v>
      </c>
      <c r="N66" s="1511">
        <v>0</v>
      </c>
      <c r="O66" s="1511">
        <v>7850</v>
      </c>
      <c r="P66" s="1770">
        <v>0</v>
      </c>
      <c r="Q66" s="1783"/>
      <c r="R66" s="1512"/>
      <c r="S66" s="1731"/>
      <c r="T66" s="37"/>
      <c r="U66" s="37"/>
      <c r="V66" s="37"/>
    </row>
    <row r="67" spans="1:23" x14ac:dyDescent="0.2">
      <c r="A67" s="1031">
        <v>292</v>
      </c>
      <c r="B67" s="1031" t="s">
        <v>102</v>
      </c>
      <c r="C67" s="835" t="s">
        <v>757</v>
      </c>
      <c r="D67" s="1087"/>
      <c r="E67" s="1033"/>
      <c r="F67" s="1087"/>
      <c r="G67" s="1593"/>
      <c r="H67" s="1033"/>
      <c r="I67" s="1033"/>
      <c r="J67" s="1033">
        <v>6774.34</v>
      </c>
      <c r="K67" s="1232">
        <v>4190</v>
      </c>
      <c r="L67" s="1511">
        <v>11000</v>
      </c>
      <c r="M67" s="1511">
        <v>7000</v>
      </c>
      <c r="N67" s="1511">
        <v>0</v>
      </c>
      <c r="O67" s="1511">
        <v>32660</v>
      </c>
      <c r="P67" s="1770">
        <v>0</v>
      </c>
      <c r="Q67" s="1783">
        <v>0</v>
      </c>
      <c r="R67" s="1512">
        <v>0</v>
      </c>
      <c r="S67" s="1731"/>
      <c r="T67" s="37"/>
      <c r="U67" s="37"/>
      <c r="V67" s="37"/>
    </row>
    <row r="68" spans="1:23" x14ac:dyDescent="0.2">
      <c r="A68" s="1784">
        <v>292</v>
      </c>
      <c r="B68" s="1784" t="s">
        <v>131</v>
      </c>
      <c r="C68" s="835" t="s">
        <v>132</v>
      </c>
      <c r="D68" s="1087"/>
      <c r="E68" s="1033"/>
      <c r="F68" s="1087"/>
      <c r="G68" s="1593"/>
      <c r="H68" s="1033"/>
      <c r="I68" s="1033"/>
      <c r="J68" s="1033">
        <v>2773.01</v>
      </c>
      <c r="K68" s="1232">
        <v>178</v>
      </c>
      <c r="L68" s="1511">
        <v>500</v>
      </c>
      <c r="M68" s="1511">
        <v>500</v>
      </c>
      <c r="N68" s="1511">
        <v>0</v>
      </c>
      <c r="O68" s="1511">
        <v>0</v>
      </c>
      <c r="P68" s="1770">
        <v>0</v>
      </c>
      <c r="Q68" s="1783">
        <v>0</v>
      </c>
      <c r="R68" s="1512">
        <v>0</v>
      </c>
      <c r="S68" s="1731"/>
      <c r="T68" s="37"/>
      <c r="U68" s="37"/>
      <c r="V68" s="37"/>
      <c r="W68" s="57"/>
    </row>
    <row r="69" spans="1:23" x14ac:dyDescent="0.2">
      <c r="A69" s="2011" t="s">
        <v>133</v>
      </c>
      <c r="B69" s="2011"/>
      <c r="C69" s="2011"/>
      <c r="D69" s="1772"/>
      <c r="E69" s="1773"/>
      <c r="F69" s="1772"/>
      <c r="G69" s="1773"/>
      <c r="H69" s="1772"/>
      <c r="I69" s="1773"/>
      <c r="J69" s="1772">
        <f>J38+J46+J61</f>
        <v>200386.4</v>
      </c>
      <c r="K69" s="1772">
        <f>SUM(K38,K46,K61)</f>
        <v>198132</v>
      </c>
      <c r="L69" s="1772">
        <f>L38+L46+L61</f>
        <v>165780</v>
      </c>
      <c r="M69" s="1772">
        <f>M38+M46+M61</f>
        <v>184535</v>
      </c>
      <c r="N69" s="1772">
        <f>SUM(N38,N46,N61)</f>
        <v>169580</v>
      </c>
      <c r="O69" s="1772">
        <f>SUM(O38,O46,O61)</f>
        <v>208753</v>
      </c>
      <c r="P69" s="1775">
        <f>SUM(P38,P46,P61)</f>
        <v>172580</v>
      </c>
      <c r="Q69" s="1772">
        <f>SUM(Q38,Q46,Q61)</f>
        <v>180550</v>
      </c>
      <c r="R69" s="1772">
        <f>SUM(R38,R46,R61)</f>
        <v>182550</v>
      </c>
      <c r="S69" s="1736"/>
      <c r="T69" s="56"/>
      <c r="U69" s="56"/>
      <c r="V69" s="56"/>
    </row>
    <row r="70" spans="1:23" x14ac:dyDescent="0.2">
      <c r="A70" s="63"/>
      <c r="B70" s="63"/>
      <c r="C70" s="50"/>
      <c r="D70" s="64"/>
      <c r="E70" s="46"/>
      <c r="F70" s="64"/>
      <c r="G70" s="65"/>
      <c r="H70" s="46"/>
      <c r="I70" s="46"/>
      <c r="J70" s="46"/>
      <c r="K70" s="46"/>
      <c r="L70" s="46"/>
      <c r="M70" s="52"/>
      <c r="N70" s="52"/>
      <c r="O70" s="52"/>
      <c r="P70" s="1311"/>
      <c r="Q70" s="52"/>
      <c r="R70" s="43"/>
      <c r="S70" s="1733"/>
      <c r="T70" s="53"/>
      <c r="U70" s="53"/>
      <c r="V70" s="38"/>
    </row>
    <row r="71" spans="1:23" hidden="1" x14ac:dyDescent="0.2">
      <c r="A71" s="63"/>
      <c r="B71" s="63"/>
      <c r="C71" s="50"/>
      <c r="D71" s="64"/>
      <c r="E71" s="46"/>
      <c r="F71" s="64"/>
      <c r="G71" s="65"/>
      <c r="H71" s="46"/>
      <c r="I71" s="46"/>
      <c r="J71" s="46"/>
      <c r="K71" s="46"/>
      <c r="L71" s="46"/>
      <c r="M71" s="52"/>
      <c r="N71" s="52"/>
      <c r="O71" s="52"/>
      <c r="P71" s="1311"/>
      <c r="Q71" s="52"/>
      <c r="R71" s="43"/>
      <c r="S71" s="1733"/>
      <c r="T71" s="53"/>
      <c r="U71" s="53"/>
      <c r="V71" s="38"/>
    </row>
    <row r="72" spans="1:23" hidden="1" x14ac:dyDescent="0.2">
      <c r="A72" s="63"/>
      <c r="B72" s="63"/>
      <c r="C72" s="50"/>
      <c r="D72" s="64"/>
      <c r="E72" s="46"/>
      <c r="F72" s="64"/>
      <c r="G72" s="65"/>
      <c r="H72" s="46"/>
      <c r="I72" s="46"/>
      <c r="J72" s="46"/>
      <c r="K72" s="46"/>
      <c r="L72" s="46"/>
      <c r="M72" s="52"/>
      <c r="N72" s="52"/>
      <c r="O72" s="52"/>
      <c r="P72" s="1311"/>
      <c r="Q72" s="52"/>
      <c r="R72" s="43"/>
      <c r="S72" s="1733"/>
      <c r="T72" s="53"/>
      <c r="U72" s="53"/>
      <c r="V72" s="38"/>
    </row>
    <row r="73" spans="1:23" hidden="1" x14ac:dyDescent="0.2">
      <c r="A73" s="63"/>
      <c r="B73" s="63"/>
      <c r="C73" s="50"/>
      <c r="D73" s="64"/>
      <c r="E73" s="46"/>
      <c r="F73" s="64"/>
      <c r="G73" s="65"/>
      <c r="H73" s="46"/>
      <c r="I73" s="46"/>
      <c r="J73" s="46"/>
      <c r="K73" s="46"/>
      <c r="L73" s="46"/>
      <c r="M73" s="52"/>
      <c r="N73" s="52"/>
      <c r="O73" s="52"/>
      <c r="P73" s="1311"/>
      <c r="Q73" s="52"/>
      <c r="R73" s="43"/>
      <c r="S73" s="1733"/>
      <c r="T73" s="53"/>
      <c r="U73" s="53"/>
      <c r="V73" s="38"/>
    </row>
    <row r="74" spans="1:23" hidden="1" x14ac:dyDescent="0.2">
      <c r="A74" s="63"/>
      <c r="B74" s="63"/>
      <c r="C74" s="50"/>
      <c r="D74" s="64"/>
      <c r="E74" s="46"/>
      <c r="F74" s="64"/>
      <c r="G74" s="65"/>
      <c r="H74" s="46"/>
      <c r="I74" s="46"/>
      <c r="J74" s="46"/>
      <c r="K74" s="46"/>
      <c r="L74" s="46"/>
      <c r="M74" s="52"/>
      <c r="N74" s="52"/>
      <c r="O74" s="52"/>
      <c r="P74" s="1311"/>
      <c r="Q74" s="52"/>
      <c r="R74" s="43"/>
      <c r="S74" s="1733"/>
      <c r="T74" s="53"/>
      <c r="U74" s="53"/>
      <c r="V74" s="38"/>
    </row>
    <row r="75" spans="1:23" hidden="1" x14ac:dyDescent="0.2">
      <c r="A75" s="63"/>
      <c r="B75" s="63"/>
      <c r="C75" s="50"/>
      <c r="D75" s="64"/>
      <c r="E75" s="46"/>
      <c r="F75" s="64"/>
      <c r="G75" s="65"/>
      <c r="H75" s="46"/>
      <c r="I75" s="46"/>
      <c r="J75" s="46"/>
      <c r="K75" s="46"/>
      <c r="L75" s="46"/>
      <c r="M75" s="52"/>
      <c r="N75" s="52"/>
      <c r="O75" s="52"/>
      <c r="P75" s="1311"/>
      <c r="Q75" s="52"/>
      <c r="R75" s="43"/>
      <c r="S75" s="1733"/>
      <c r="T75" s="53"/>
      <c r="U75" s="53"/>
      <c r="V75" s="38"/>
    </row>
    <row r="76" spans="1:23" hidden="1" x14ac:dyDescent="0.2">
      <c r="A76" s="63"/>
      <c r="B76" s="63"/>
      <c r="C76" s="50"/>
      <c r="D76" s="64"/>
      <c r="E76" s="46"/>
      <c r="F76" s="64"/>
      <c r="G76" s="65"/>
      <c r="H76" s="46"/>
      <c r="I76" s="46"/>
      <c r="J76" s="46"/>
      <c r="K76" s="46"/>
      <c r="L76" s="46"/>
      <c r="M76" s="52"/>
      <c r="N76" s="52"/>
      <c r="O76" s="52"/>
      <c r="P76" s="1311"/>
      <c r="Q76" s="52"/>
      <c r="R76" s="43"/>
      <c r="S76" s="1733"/>
      <c r="T76" s="53"/>
      <c r="U76" s="53"/>
      <c r="V76" s="38"/>
    </row>
    <row r="77" spans="1:23" x14ac:dyDescent="0.2">
      <c r="A77" s="63"/>
      <c r="B77" s="63"/>
      <c r="C77" s="50"/>
      <c r="D77" s="64"/>
      <c r="E77" s="46"/>
      <c r="F77" s="64"/>
      <c r="G77" s="65"/>
      <c r="H77" s="46"/>
      <c r="I77" s="46"/>
      <c r="J77" s="46"/>
      <c r="K77" s="46"/>
      <c r="L77" s="46"/>
      <c r="M77" s="52"/>
      <c r="N77" s="52"/>
      <c r="O77" s="52"/>
      <c r="P77" s="1311"/>
      <c r="Q77" s="52"/>
      <c r="R77" s="43"/>
      <c r="S77" s="1733"/>
      <c r="T77" s="53"/>
      <c r="U77" s="53"/>
      <c r="V77" s="38"/>
    </row>
    <row r="78" spans="1:23" x14ac:dyDescent="0.2">
      <c r="A78" s="63"/>
      <c r="B78" s="63"/>
      <c r="C78" s="50"/>
      <c r="D78" s="64"/>
      <c r="E78" s="46"/>
      <c r="F78" s="64"/>
      <c r="G78" s="65"/>
      <c r="H78" s="46"/>
      <c r="I78" s="46"/>
      <c r="J78" s="46"/>
      <c r="K78" s="46"/>
      <c r="L78" s="46"/>
      <c r="M78" s="52"/>
      <c r="N78" s="52"/>
      <c r="O78" s="52"/>
      <c r="P78" s="1311"/>
      <c r="Q78" s="52"/>
      <c r="R78" s="43"/>
      <c r="S78" s="1733"/>
      <c r="T78" s="53"/>
      <c r="U78" s="53"/>
      <c r="V78" s="38"/>
    </row>
    <row r="79" spans="1:23" x14ac:dyDescent="0.2">
      <c r="A79" s="63"/>
      <c r="B79" s="63"/>
      <c r="C79" s="50"/>
      <c r="D79" s="64"/>
      <c r="E79" s="46"/>
      <c r="F79" s="64"/>
      <c r="G79" s="65"/>
      <c r="H79" s="46"/>
      <c r="I79" s="46"/>
      <c r="J79" s="46"/>
      <c r="K79" s="46"/>
      <c r="L79" s="46"/>
      <c r="M79" s="52"/>
      <c r="N79" s="52"/>
      <c r="O79" s="52"/>
      <c r="P79" s="1311"/>
      <c r="Q79" s="52"/>
      <c r="R79" s="43"/>
      <c r="S79" s="1733"/>
      <c r="T79" s="53"/>
      <c r="U79" s="53"/>
      <c r="V79" s="38"/>
    </row>
    <row r="80" spans="1:23" x14ac:dyDescent="0.2">
      <c r="A80" s="63"/>
      <c r="B80" s="63"/>
      <c r="C80" s="50"/>
      <c r="D80" s="64"/>
      <c r="E80" s="46"/>
      <c r="F80" s="64"/>
      <c r="G80" s="65"/>
      <c r="H80" s="46"/>
      <c r="I80" s="46"/>
      <c r="J80" s="46"/>
      <c r="K80" s="46"/>
      <c r="L80" s="46"/>
      <c r="M80" s="52"/>
      <c r="N80" s="52"/>
      <c r="O80" s="52"/>
      <c r="P80" s="1311"/>
      <c r="Q80" s="52"/>
      <c r="R80" s="43"/>
      <c r="S80" s="1733"/>
      <c r="T80" s="53"/>
      <c r="U80" s="53"/>
      <c r="V80" s="38"/>
    </row>
    <row r="81" spans="1:25" ht="15.75" x14ac:dyDescent="0.25">
      <c r="A81" s="63"/>
      <c r="B81" s="63"/>
      <c r="C81" s="50"/>
      <c r="D81" s="64"/>
      <c r="E81" s="46"/>
      <c r="F81" s="64"/>
      <c r="G81" s="65"/>
      <c r="H81" s="46"/>
      <c r="I81" s="66" t="s">
        <v>134</v>
      </c>
      <c r="J81" s="831"/>
      <c r="K81" s="831"/>
      <c r="L81" s="831"/>
      <c r="M81" s="2012" t="s">
        <v>134</v>
      </c>
      <c r="N81" s="2012"/>
      <c r="O81" s="2012"/>
      <c r="P81" s="2012"/>
      <c r="Q81" s="2012"/>
      <c r="R81" s="2012"/>
      <c r="S81" s="1725"/>
      <c r="T81" s="67"/>
      <c r="U81" s="67"/>
      <c r="V81" s="67"/>
    </row>
    <row r="82" spans="1:25" ht="13.5" hidden="1" thickBot="1" x14ac:dyDescent="0.25">
      <c r="A82" s="63"/>
      <c r="B82" s="63"/>
      <c r="C82" s="50"/>
      <c r="D82" s="64"/>
      <c r="E82" s="46"/>
      <c r="F82" s="64"/>
      <c r="G82" s="65"/>
      <c r="H82" s="46"/>
      <c r="I82" s="46"/>
      <c r="J82" s="46"/>
      <c r="K82" s="46"/>
      <c r="L82" s="46"/>
      <c r="M82" s="52"/>
      <c r="N82" s="52"/>
      <c r="O82" s="52"/>
      <c r="Q82" s="52"/>
      <c r="R82" s="43"/>
      <c r="S82" s="1733"/>
      <c r="T82" s="53"/>
      <c r="U82" s="53"/>
      <c r="V82" s="38"/>
    </row>
    <row r="83" spans="1:25" ht="23.25" customHeight="1" x14ac:dyDescent="0.25">
      <c r="A83" s="1761" t="s">
        <v>1</v>
      </c>
      <c r="B83" s="1762"/>
      <c r="C83" s="1778"/>
      <c r="D83" s="1764"/>
      <c r="E83" s="1765"/>
      <c r="F83" s="1764"/>
      <c r="G83" s="1765"/>
      <c r="H83" s="1764"/>
      <c r="I83" s="1765"/>
      <c r="J83" s="1785">
        <v>2018</v>
      </c>
      <c r="K83" s="1540" t="s">
        <v>909</v>
      </c>
      <c r="L83" s="1540">
        <v>2021</v>
      </c>
      <c r="M83" s="1766">
        <v>2022</v>
      </c>
      <c r="N83" s="1767">
        <v>2023</v>
      </c>
      <c r="O83" s="1767" t="s">
        <v>981</v>
      </c>
      <c r="P83" s="1768">
        <v>2024</v>
      </c>
      <c r="Q83" s="1769">
        <v>2025</v>
      </c>
      <c r="R83" s="1769">
        <v>2026</v>
      </c>
      <c r="S83" s="1727"/>
      <c r="T83" s="29"/>
      <c r="U83" s="29"/>
      <c r="V83" s="30"/>
    </row>
    <row r="84" spans="1:25" s="33" customFormat="1" x14ac:dyDescent="0.2">
      <c r="A84" s="2104" t="s">
        <v>135</v>
      </c>
      <c r="B84" s="2104"/>
      <c r="C84" s="2104"/>
      <c r="D84" s="1835"/>
      <c r="E84" s="2108"/>
      <c r="F84" s="1835"/>
      <c r="G84" s="2108"/>
      <c r="H84" s="1835"/>
      <c r="I84" s="2108"/>
      <c r="J84" s="1835">
        <f>SUM(J85,J86,J87,J88,J89,J90,J91,J97,J98,J99,J100,J101,J102,J104,J105,J106,J107,J108,J111,J112,J114)+J92+J93+J95+J109+J110+J113</f>
        <v>97175.19</v>
      </c>
      <c r="K84" s="1835">
        <f>K85+K90+K91+K99+K101+K103+K108+K110+K111+K114+K102+K112</f>
        <v>131665</v>
      </c>
      <c r="L84" s="2109">
        <f>L85+L86+L87+L88+L89+L90+L91+L97+L98+L99+L100+L101+L102+L104+L105+L106+L107+L108+L111+L112+L114+L109+L110+L113+L103</f>
        <v>179287</v>
      </c>
      <c r="M84" s="1835">
        <f>M85+M86+M88+M89+M90+M97+M98+M99+M100+M101+M104+M105+M106+M107+M111+M114+M108+M87+M102+M112+M109+M110+M113+M92+M103</f>
        <v>122364</v>
      </c>
      <c r="N84" s="1835">
        <f>N85+N86+N88+N89+N90+N91+N97+N98+N99+N100+N101+N104+N105+N106+N107+N114+N108+N111+N112+N87+N102+N109+N110+N113+N103</f>
        <v>113400</v>
      </c>
      <c r="O84" s="1835">
        <f>O85+O86+O88+O89+O90+O91+O97+O98+O99+O100+O101+O104+O105+O106+O107+O114+O108+O111+O112+O87+O102+O109+O110+O113+O103+O96</f>
        <v>196143</v>
      </c>
      <c r="P84" s="1755">
        <f>P85+P86+P88+P89+P90+P91+P97+P98+P99+P100+P101+P104+P105+P106+P107+P114+P108+P111+P112+P87+P102+P109+P110+P113+P103</f>
        <v>177950</v>
      </c>
      <c r="Q84" s="1835">
        <f>SUM(Q85:Q114)</f>
        <v>182250</v>
      </c>
      <c r="R84" s="1835">
        <f>SUM(R85:R114)</f>
        <v>187450</v>
      </c>
      <c r="S84" s="1736"/>
      <c r="T84" s="56"/>
      <c r="U84" s="56"/>
      <c r="V84" s="56"/>
    </row>
    <row r="85" spans="1:25" s="33" customFormat="1" x14ac:dyDescent="0.2">
      <c r="A85" s="835">
        <v>312</v>
      </c>
      <c r="B85" s="835" t="s">
        <v>94</v>
      </c>
      <c r="C85" s="835" t="s">
        <v>694</v>
      </c>
      <c r="D85" s="1786"/>
      <c r="E85" s="1087"/>
      <c r="F85" s="1087"/>
      <c r="G85" s="1649"/>
      <c r="H85" s="1087"/>
      <c r="I85" s="1087"/>
      <c r="J85" s="1087">
        <v>1500</v>
      </c>
      <c r="K85" s="1232">
        <v>1500</v>
      </c>
      <c r="L85" s="1511">
        <v>0</v>
      </c>
      <c r="M85" s="1232">
        <v>0</v>
      </c>
      <c r="N85" s="1511">
        <v>0</v>
      </c>
      <c r="O85" s="1232">
        <v>0</v>
      </c>
      <c r="P85" s="1770">
        <v>0</v>
      </c>
      <c r="Q85" s="1232">
        <v>0</v>
      </c>
      <c r="R85" s="1232">
        <v>0</v>
      </c>
      <c r="S85" s="1731"/>
      <c r="T85" s="37"/>
      <c r="U85" s="37"/>
      <c r="V85" s="37"/>
    </row>
    <row r="86" spans="1:25" s="33" customFormat="1" x14ac:dyDescent="0.2">
      <c r="A86" s="835">
        <v>312</v>
      </c>
      <c r="B86" s="835" t="s">
        <v>94</v>
      </c>
      <c r="C86" s="835" t="s">
        <v>136</v>
      </c>
      <c r="D86" s="1087"/>
      <c r="E86" s="1087"/>
      <c r="F86" s="1087"/>
      <c r="G86" s="1593"/>
      <c r="H86" s="1087"/>
      <c r="I86" s="1087"/>
      <c r="J86" s="1087">
        <v>0</v>
      </c>
      <c r="K86" s="1232">
        <v>0</v>
      </c>
      <c r="L86" s="1511">
        <v>0</v>
      </c>
      <c r="M86" s="1232">
        <v>0</v>
      </c>
      <c r="N86" s="1511">
        <v>0</v>
      </c>
      <c r="O86" s="1232">
        <v>0</v>
      </c>
      <c r="P86" s="1759">
        <v>0</v>
      </c>
      <c r="Q86" s="1232">
        <v>0</v>
      </c>
      <c r="R86" s="1232">
        <v>0</v>
      </c>
      <c r="S86" s="1731"/>
      <c r="T86" s="37"/>
      <c r="U86" s="37"/>
      <c r="V86" s="37"/>
    </row>
    <row r="87" spans="1:25" s="33" customFormat="1" x14ac:dyDescent="0.2">
      <c r="A87" s="835">
        <v>312</v>
      </c>
      <c r="B87" s="835" t="s">
        <v>94</v>
      </c>
      <c r="C87" s="835" t="s">
        <v>137</v>
      </c>
      <c r="D87" s="1087"/>
      <c r="E87" s="1087"/>
      <c r="F87" s="1087"/>
      <c r="G87" s="1593"/>
      <c r="H87" s="1087"/>
      <c r="I87" s="1087"/>
      <c r="J87" s="1087">
        <v>0</v>
      </c>
      <c r="K87" s="1232">
        <v>0</v>
      </c>
      <c r="L87" s="1511">
        <v>0</v>
      </c>
      <c r="M87" s="1232">
        <v>0</v>
      </c>
      <c r="N87" s="1511">
        <v>0</v>
      </c>
      <c r="O87" s="1232">
        <v>0</v>
      </c>
      <c r="P87" s="1759">
        <v>0</v>
      </c>
      <c r="Q87" s="1232">
        <v>0</v>
      </c>
      <c r="R87" s="1232">
        <v>0</v>
      </c>
      <c r="S87" s="1731"/>
      <c r="T87" s="37"/>
      <c r="U87" s="37"/>
      <c r="V87" s="37"/>
    </row>
    <row r="88" spans="1:25" s="33" customFormat="1" x14ac:dyDescent="0.2">
      <c r="A88" s="835">
        <v>312</v>
      </c>
      <c r="B88" s="835" t="s">
        <v>94</v>
      </c>
      <c r="C88" s="835" t="s">
        <v>629</v>
      </c>
      <c r="D88" s="1786"/>
      <c r="E88" s="1087"/>
      <c r="F88" s="1786"/>
      <c r="G88" s="1649"/>
      <c r="H88" s="1087"/>
      <c r="I88" s="1087"/>
      <c r="J88" s="1087">
        <v>0</v>
      </c>
      <c r="K88" s="1232">
        <v>0</v>
      </c>
      <c r="L88" s="1511">
        <v>0</v>
      </c>
      <c r="M88" s="1232">
        <v>0</v>
      </c>
      <c r="N88" s="1511">
        <v>0</v>
      </c>
      <c r="O88" s="1232">
        <v>0</v>
      </c>
      <c r="P88" s="1759">
        <v>0</v>
      </c>
      <c r="Q88" s="1232">
        <v>0</v>
      </c>
      <c r="R88" s="1232">
        <v>0</v>
      </c>
      <c r="S88" s="1731"/>
      <c r="T88" s="37"/>
      <c r="U88" s="37"/>
      <c r="V88" s="37"/>
    </row>
    <row r="89" spans="1:25" x14ac:dyDescent="0.2">
      <c r="A89" s="1031">
        <v>312</v>
      </c>
      <c r="B89" s="1031" t="s">
        <v>94</v>
      </c>
      <c r="C89" s="835" t="s">
        <v>138</v>
      </c>
      <c r="D89" s="1033"/>
      <c r="E89" s="1033"/>
      <c r="F89" s="1033"/>
      <c r="G89" s="1594"/>
      <c r="H89" s="1033"/>
      <c r="I89" s="1033"/>
      <c r="J89" s="1087">
        <v>0</v>
      </c>
      <c r="K89" s="1232">
        <v>0</v>
      </c>
      <c r="L89" s="1511">
        <v>0</v>
      </c>
      <c r="M89" s="1232">
        <v>0</v>
      </c>
      <c r="N89" s="1511">
        <v>0</v>
      </c>
      <c r="O89" s="1232">
        <v>0</v>
      </c>
      <c r="P89" s="1759">
        <v>0</v>
      </c>
      <c r="Q89" s="1512">
        <v>0</v>
      </c>
      <c r="R89" s="1512">
        <v>0</v>
      </c>
      <c r="S89" s="1731"/>
      <c r="T89" s="37"/>
      <c r="U89" s="37"/>
      <c r="V89" s="37"/>
    </row>
    <row r="90" spans="1:25" x14ac:dyDescent="0.2">
      <c r="A90" s="1031">
        <v>312</v>
      </c>
      <c r="B90" s="1031" t="s">
        <v>94</v>
      </c>
      <c r="C90" s="835" t="s">
        <v>139</v>
      </c>
      <c r="D90" s="1033"/>
      <c r="E90" s="1033"/>
      <c r="F90" s="1033"/>
      <c r="G90" s="1594"/>
      <c r="H90" s="1033"/>
      <c r="I90" s="1033"/>
      <c r="J90" s="1087">
        <v>5456.16</v>
      </c>
      <c r="K90" s="1232">
        <v>6606</v>
      </c>
      <c r="L90" s="1511">
        <v>6638</v>
      </c>
      <c r="M90" s="1232">
        <v>6638</v>
      </c>
      <c r="N90" s="1511">
        <v>7000</v>
      </c>
      <c r="O90" s="1232">
        <v>7052</v>
      </c>
      <c r="P90" s="1770">
        <v>7500</v>
      </c>
      <c r="Q90" s="1512">
        <v>7800</v>
      </c>
      <c r="R90" s="1512">
        <v>8000</v>
      </c>
      <c r="S90" s="1731"/>
      <c r="T90" s="37"/>
      <c r="U90" s="37"/>
      <c r="V90" s="37"/>
    </row>
    <row r="91" spans="1:25" x14ac:dyDescent="0.2">
      <c r="A91" s="1031">
        <v>312</v>
      </c>
      <c r="B91" s="1031" t="s">
        <v>94</v>
      </c>
      <c r="C91" s="835" t="s">
        <v>140</v>
      </c>
      <c r="D91" s="1033"/>
      <c r="E91" s="1033"/>
      <c r="F91" s="1033"/>
      <c r="G91" s="1594"/>
      <c r="H91" s="1033"/>
      <c r="I91" s="1033"/>
      <c r="J91" s="1087">
        <f>SUM(J92:J94)+J95+J96</f>
        <v>6401.6</v>
      </c>
      <c r="K91" s="1232">
        <v>3368</v>
      </c>
      <c r="L91" s="1511">
        <v>0</v>
      </c>
      <c r="M91" s="1232">
        <v>0</v>
      </c>
      <c r="N91" s="1511">
        <v>0</v>
      </c>
      <c r="O91" s="1232">
        <v>0</v>
      </c>
      <c r="P91" s="1759">
        <v>0</v>
      </c>
      <c r="Q91" s="1512">
        <v>0</v>
      </c>
      <c r="R91" s="1512">
        <v>0</v>
      </c>
      <c r="S91" s="1731"/>
      <c r="T91" s="37"/>
      <c r="U91" s="37"/>
      <c r="V91" s="37"/>
      <c r="W91" s="68"/>
      <c r="X91" s="68"/>
      <c r="Y91" s="68"/>
    </row>
    <row r="92" spans="1:25" x14ac:dyDescent="0.2">
      <c r="A92" s="1031"/>
      <c r="B92" s="1031"/>
      <c r="C92" s="835" t="s">
        <v>696</v>
      </c>
      <c r="D92" s="1033"/>
      <c r="E92" s="1033"/>
      <c r="F92" s="1033"/>
      <c r="G92" s="1594"/>
      <c r="H92" s="1033"/>
      <c r="I92" s="1033"/>
      <c r="J92" s="1087">
        <v>0</v>
      </c>
      <c r="K92" s="1757">
        <v>3368</v>
      </c>
      <c r="L92" s="1511">
        <v>0</v>
      </c>
      <c r="M92" s="1232">
        <v>0</v>
      </c>
      <c r="N92" s="1511">
        <v>0</v>
      </c>
      <c r="O92" s="1232">
        <v>0</v>
      </c>
      <c r="P92" s="1759">
        <v>0</v>
      </c>
      <c r="Q92" s="1232"/>
      <c r="R92" s="1232"/>
      <c r="S92" s="1731"/>
      <c r="T92" s="37"/>
      <c r="U92" s="37"/>
      <c r="V92" s="37"/>
      <c r="W92" s="68"/>
      <c r="X92" s="68"/>
      <c r="Y92" s="68"/>
    </row>
    <row r="93" spans="1:25" x14ac:dyDescent="0.2">
      <c r="A93" s="1031"/>
      <c r="B93" s="1031"/>
      <c r="C93" s="835" t="s">
        <v>544</v>
      </c>
      <c r="D93" s="1033"/>
      <c r="E93" s="1033"/>
      <c r="F93" s="1033"/>
      <c r="G93" s="1594"/>
      <c r="H93" s="1033"/>
      <c r="I93" s="1033"/>
      <c r="J93" s="1087">
        <v>0</v>
      </c>
      <c r="K93" s="1757"/>
      <c r="L93" s="1511"/>
      <c r="M93" s="1232"/>
      <c r="N93" s="1511"/>
      <c r="O93" s="1232">
        <v>0</v>
      </c>
      <c r="P93" s="1759"/>
      <c r="Q93" s="1232"/>
      <c r="R93" s="1232"/>
      <c r="S93" s="1731"/>
      <c r="T93" s="37"/>
      <c r="U93" s="37"/>
      <c r="V93" s="37"/>
      <c r="W93" s="68"/>
      <c r="X93" s="68"/>
      <c r="Y93" s="68"/>
    </row>
    <row r="94" spans="1:25" x14ac:dyDescent="0.2">
      <c r="A94" s="1031"/>
      <c r="B94" s="1031"/>
      <c r="C94" s="835" t="s">
        <v>697</v>
      </c>
      <c r="D94" s="1033"/>
      <c r="E94" s="1033"/>
      <c r="F94" s="1033"/>
      <c r="G94" s="1594"/>
      <c r="H94" s="1033"/>
      <c r="I94" s="1033"/>
      <c r="J94" s="1087">
        <v>4924.76</v>
      </c>
      <c r="K94" s="1757"/>
      <c r="L94" s="1511"/>
      <c r="M94" s="1232"/>
      <c r="N94" s="1511"/>
      <c r="O94" s="1232">
        <v>0</v>
      </c>
      <c r="P94" s="1759"/>
      <c r="Q94" s="1232"/>
      <c r="R94" s="1232"/>
      <c r="S94" s="1731"/>
      <c r="T94" s="37"/>
      <c r="U94" s="37"/>
      <c r="V94" s="37"/>
      <c r="W94" s="68"/>
      <c r="X94" s="68"/>
      <c r="Y94" s="68"/>
    </row>
    <row r="95" spans="1:25" x14ac:dyDescent="0.2">
      <c r="A95" s="1031"/>
      <c r="B95" s="1031"/>
      <c r="C95" s="835" t="s">
        <v>758</v>
      </c>
      <c r="D95" s="1033"/>
      <c r="E95" s="1033"/>
      <c r="F95" s="1033"/>
      <c r="G95" s="1594"/>
      <c r="H95" s="1033"/>
      <c r="I95" s="1033"/>
      <c r="J95" s="1087"/>
      <c r="K95" s="1757"/>
      <c r="L95" s="1511"/>
      <c r="M95" s="1232"/>
      <c r="N95" s="1511"/>
      <c r="O95" s="1232">
        <v>0</v>
      </c>
      <c r="P95" s="1759"/>
      <c r="Q95" s="1232"/>
      <c r="R95" s="1232"/>
      <c r="S95" s="1731"/>
      <c r="T95" s="37"/>
      <c r="U95" s="37"/>
      <c r="V95" s="37"/>
      <c r="W95" s="68"/>
      <c r="X95" s="68"/>
      <c r="Y95" s="68"/>
    </row>
    <row r="96" spans="1:25" x14ac:dyDescent="0.2">
      <c r="A96" s="1031"/>
      <c r="B96" s="1031"/>
      <c r="C96" s="835" t="s">
        <v>705</v>
      </c>
      <c r="D96" s="1033"/>
      <c r="E96" s="1033"/>
      <c r="F96" s="1033"/>
      <c r="G96" s="1594"/>
      <c r="H96" s="1033"/>
      <c r="I96" s="1033"/>
      <c r="J96" s="1087">
        <v>1476.84</v>
      </c>
      <c r="K96" s="1757"/>
      <c r="L96" s="1511"/>
      <c r="M96" s="1232"/>
      <c r="N96" s="1511"/>
      <c r="O96" s="1232">
        <v>800</v>
      </c>
      <c r="P96" s="1759"/>
      <c r="Q96" s="1232"/>
      <c r="R96" s="1232"/>
      <c r="S96" s="1731"/>
      <c r="T96" s="37"/>
      <c r="U96" s="37"/>
      <c r="V96" s="37"/>
      <c r="W96" s="68"/>
      <c r="X96" s="68"/>
      <c r="Y96" s="68"/>
    </row>
    <row r="97" spans="1:25" s="20" customFormat="1" x14ac:dyDescent="0.2">
      <c r="A97" s="835">
        <v>312</v>
      </c>
      <c r="B97" s="835" t="s">
        <v>94</v>
      </c>
      <c r="C97" s="835" t="s">
        <v>1005</v>
      </c>
      <c r="D97" s="1028"/>
      <c r="E97" s="1087"/>
      <c r="F97" s="1028"/>
      <c r="G97" s="1249"/>
      <c r="H97" s="1087"/>
      <c r="I97" s="1087"/>
      <c r="J97" s="1087">
        <v>0</v>
      </c>
      <c r="K97" s="1232"/>
      <c r="L97" s="1511"/>
      <c r="M97" s="1232"/>
      <c r="N97" s="1511"/>
      <c r="O97" s="1232">
        <v>25684</v>
      </c>
      <c r="P97" s="1759"/>
      <c r="Q97" s="1232"/>
      <c r="R97" s="1232"/>
      <c r="S97" s="1731"/>
      <c r="T97" s="37"/>
      <c r="U97" s="37"/>
      <c r="V97" s="37"/>
      <c r="W97" s="69"/>
      <c r="X97" s="69"/>
      <c r="Y97" s="69"/>
    </row>
    <row r="98" spans="1:25" s="20" customFormat="1" x14ac:dyDescent="0.2">
      <c r="A98" s="835">
        <v>312</v>
      </c>
      <c r="B98" s="835" t="s">
        <v>141</v>
      </c>
      <c r="C98" s="835" t="s">
        <v>706</v>
      </c>
      <c r="D98" s="1028"/>
      <c r="E98" s="1087"/>
      <c r="F98" s="1028"/>
      <c r="G98" s="1249"/>
      <c r="H98" s="1087"/>
      <c r="I98" s="1087"/>
      <c r="J98" s="1087">
        <v>16630</v>
      </c>
      <c r="K98" s="1232"/>
      <c r="L98" s="1511"/>
      <c r="M98" s="1232"/>
      <c r="N98" s="1511"/>
      <c r="O98" s="1232">
        <v>20800</v>
      </c>
      <c r="P98" s="1759"/>
      <c r="Q98" s="1232"/>
      <c r="R98" s="1232"/>
      <c r="S98" s="1731"/>
      <c r="T98" s="37"/>
      <c r="U98" s="37"/>
      <c r="V98" s="37"/>
      <c r="W98" s="69"/>
      <c r="X98" s="69"/>
      <c r="Y98" s="69"/>
    </row>
    <row r="99" spans="1:25" s="20" customFormat="1" x14ac:dyDescent="0.2">
      <c r="A99" s="835">
        <v>312</v>
      </c>
      <c r="B99" s="835" t="s">
        <v>94</v>
      </c>
      <c r="C99" s="835" t="s">
        <v>67</v>
      </c>
      <c r="D99" s="1028"/>
      <c r="E99" s="1087"/>
      <c r="F99" s="1028"/>
      <c r="G99" s="1249"/>
      <c r="H99" s="1087"/>
      <c r="I99" s="1087"/>
      <c r="J99" s="1087">
        <v>0</v>
      </c>
      <c r="K99" s="1232"/>
      <c r="L99" s="1511"/>
      <c r="M99" s="1232"/>
      <c r="N99" s="1511"/>
      <c r="O99" s="1232">
        <v>0</v>
      </c>
      <c r="P99" s="1759"/>
      <c r="Q99" s="1232"/>
      <c r="R99" s="1232"/>
      <c r="S99" s="1731"/>
      <c r="T99" s="37"/>
      <c r="U99" s="37"/>
      <c r="V99" s="37"/>
      <c r="W99" s="69"/>
      <c r="X99" s="69"/>
      <c r="Y99" s="69"/>
    </row>
    <row r="100" spans="1:25" s="20" customFormat="1" ht="12.75" customHeight="1" x14ac:dyDescent="0.2">
      <c r="A100" s="835">
        <v>312</v>
      </c>
      <c r="B100" s="835" t="s">
        <v>94</v>
      </c>
      <c r="C100" s="835" t="s">
        <v>69</v>
      </c>
      <c r="D100" s="1028"/>
      <c r="E100" s="1087"/>
      <c r="F100" s="1028"/>
      <c r="G100" s="1249"/>
      <c r="H100" s="1087"/>
      <c r="I100" s="1087"/>
      <c r="J100" s="1087">
        <v>0</v>
      </c>
      <c r="K100" s="1232"/>
      <c r="L100" s="1511"/>
      <c r="M100" s="1232"/>
      <c r="N100" s="1511"/>
      <c r="O100" s="1232">
        <v>0</v>
      </c>
      <c r="P100" s="1759"/>
      <c r="Q100" s="1232"/>
      <c r="R100" s="1232"/>
      <c r="S100" s="1731"/>
      <c r="T100" s="37"/>
      <c r="U100" s="37"/>
      <c r="V100" s="37"/>
      <c r="W100" s="70"/>
      <c r="X100" s="69"/>
      <c r="Y100" s="71"/>
    </row>
    <row r="101" spans="1:25" s="20" customFormat="1" x14ac:dyDescent="0.2">
      <c r="A101" s="835">
        <v>312</v>
      </c>
      <c r="B101" s="835" t="s">
        <v>94</v>
      </c>
      <c r="C101" s="835" t="s">
        <v>142</v>
      </c>
      <c r="D101" s="1028"/>
      <c r="E101" s="1087"/>
      <c r="F101" s="1028"/>
      <c r="G101" s="1249"/>
      <c r="H101" s="1087"/>
      <c r="I101" s="1087"/>
      <c r="J101" s="1087">
        <v>3058.14</v>
      </c>
      <c r="K101" s="1232">
        <v>5747</v>
      </c>
      <c r="L101" s="1511">
        <v>6000</v>
      </c>
      <c r="M101" s="1232">
        <v>7000</v>
      </c>
      <c r="N101" s="1511">
        <v>7000</v>
      </c>
      <c r="O101" s="1232">
        <v>5000</v>
      </c>
      <c r="P101" s="1770">
        <v>5000</v>
      </c>
      <c r="Q101" s="1232">
        <v>5000</v>
      </c>
      <c r="R101" s="1232">
        <v>5000</v>
      </c>
      <c r="S101" s="1731"/>
      <c r="T101" s="37"/>
      <c r="U101" s="37"/>
      <c r="V101" s="37"/>
      <c r="W101" s="72"/>
      <c r="X101" s="72"/>
      <c r="Y101" s="72"/>
    </row>
    <row r="102" spans="1:25" s="20" customFormat="1" x14ac:dyDescent="0.2">
      <c r="A102" s="835">
        <v>312</v>
      </c>
      <c r="B102" s="835" t="s">
        <v>94</v>
      </c>
      <c r="C102" s="835" t="s">
        <v>143</v>
      </c>
      <c r="D102" s="1028"/>
      <c r="E102" s="1087"/>
      <c r="F102" s="1028"/>
      <c r="G102" s="1249"/>
      <c r="H102" s="1087"/>
      <c r="I102" s="1087"/>
      <c r="J102" s="1087">
        <v>0</v>
      </c>
      <c r="K102" s="1232">
        <v>1677</v>
      </c>
      <c r="L102" s="1511">
        <v>0</v>
      </c>
      <c r="M102" s="1232">
        <v>160</v>
      </c>
      <c r="N102" s="1511">
        <v>0</v>
      </c>
      <c r="O102" s="1232">
        <v>0</v>
      </c>
      <c r="P102" s="1770">
        <v>0</v>
      </c>
      <c r="Q102" s="1232">
        <v>0</v>
      </c>
      <c r="R102" s="1232">
        <v>0</v>
      </c>
      <c r="S102" s="1731"/>
      <c r="T102" s="37"/>
      <c r="U102" s="37"/>
      <c r="V102" s="37"/>
      <c r="W102" s="72"/>
      <c r="X102" s="72"/>
      <c r="Y102" s="72"/>
    </row>
    <row r="103" spans="1:25" s="20" customFormat="1" x14ac:dyDescent="0.2">
      <c r="A103" s="835">
        <v>312</v>
      </c>
      <c r="B103" s="835" t="s">
        <v>802</v>
      </c>
      <c r="C103" s="835" t="s">
        <v>803</v>
      </c>
      <c r="D103" s="1028"/>
      <c r="E103" s="1087"/>
      <c r="F103" s="1028"/>
      <c r="G103" s="1249"/>
      <c r="H103" s="1087"/>
      <c r="I103" s="1087"/>
      <c r="J103" s="1087"/>
      <c r="K103" s="1232">
        <v>37646</v>
      </c>
      <c r="L103" s="1511">
        <v>32897</v>
      </c>
      <c r="M103" s="1232">
        <v>5746</v>
      </c>
      <c r="N103" s="1511">
        <v>5000</v>
      </c>
      <c r="O103" s="1232">
        <v>30717</v>
      </c>
      <c r="P103" s="1770">
        <v>54000</v>
      </c>
      <c r="Q103" s="1232">
        <v>54000</v>
      </c>
      <c r="R103" s="1232">
        <v>54000</v>
      </c>
      <c r="S103" s="1731"/>
      <c r="T103" s="37"/>
      <c r="U103" s="37"/>
      <c r="V103" s="37"/>
      <c r="W103" s="72"/>
      <c r="X103" s="72"/>
      <c r="Y103" s="72"/>
    </row>
    <row r="104" spans="1:25" s="20" customFormat="1" x14ac:dyDescent="0.2">
      <c r="A104" s="835">
        <v>312</v>
      </c>
      <c r="B104" s="835" t="s">
        <v>802</v>
      </c>
      <c r="C104" s="835" t="s">
        <v>804</v>
      </c>
      <c r="D104" s="1028"/>
      <c r="E104" s="1087"/>
      <c r="F104" s="1028"/>
      <c r="G104" s="1249"/>
      <c r="H104" s="1087"/>
      <c r="I104" s="1087"/>
      <c r="J104" s="1087">
        <v>5148.4399999999996</v>
      </c>
      <c r="K104" s="1232"/>
      <c r="L104" s="1511"/>
      <c r="M104" s="1232"/>
      <c r="N104" s="1511"/>
      <c r="O104" s="1232">
        <v>0</v>
      </c>
      <c r="P104" s="1770">
        <v>0</v>
      </c>
      <c r="Q104" s="1232">
        <v>0</v>
      </c>
      <c r="R104" s="1232">
        <v>0</v>
      </c>
      <c r="S104" s="1731"/>
      <c r="T104" s="37"/>
      <c r="U104" s="37"/>
      <c r="V104" s="37"/>
    </row>
    <row r="105" spans="1:25" s="20" customFormat="1" x14ac:dyDescent="0.2">
      <c r="A105" s="835">
        <v>312</v>
      </c>
      <c r="B105" s="835" t="s">
        <v>94</v>
      </c>
      <c r="C105" s="835" t="s">
        <v>976</v>
      </c>
      <c r="D105" s="1028"/>
      <c r="E105" s="1087"/>
      <c r="F105" s="1028"/>
      <c r="G105" s="1249"/>
      <c r="H105" s="1087"/>
      <c r="I105" s="1087"/>
      <c r="J105" s="1087">
        <v>0</v>
      </c>
      <c r="K105" s="1232"/>
      <c r="L105" s="1511"/>
      <c r="M105" s="1232">
        <v>1820</v>
      </c>
      <c r="N105" s="1511">
        <v>0</v>
      </c>
      <c r="O105" s="1232">
        <v>0</v>
      </c>
      <c r="P105" s="1759">
        <v>0</v>
      </c>
      <c r="Q105" s="1232">
        <v>0</v>
      </c>
      <c r="R105" s="1232">
        <v>0</v>
      </c>
      <c r="S105" s="1731"/>
      <c r="T105" s="37"/>
      <c r="U105" s="37"/>
      <c r="V105" s="37"/>
      <c r="W105" s="73"/>
    </row>
    <row r="106" spans="1:25" s="20" customFormat="1" x14ac:dyDescent="0.2">
      <c r="A106" s="835">
        <v>312</v>
      </c>
      <c r="B106" s="835" t="s">
        <v>94</v>
      </c>
      <c r="C106" s="835" t="s">
        <v>977</v>
      </c>
      <c r="D106" s="1028"/>
      <c r="E106" s="1087"/>
      <c r="F106" s="1028"/>
      <c r="G106" s="1249"/>
      <c r="H106" s="1087"/>
      <c r="I106" s="1087"/>
      <c r="J106" s="1087">
        <v>0</v>
      </c>
      <c r="K106" s="1232"/>
      <c r="L106" s="1511"/>
      <c r="M106" s="1232">
        <v>4000</v>
      </c>
      <c r="N106" s="1511">
        <v>0</v>
      </c>
      <c r="O106" s="1232">
        <v>4860</v>
      </c>
      <c r="P106" s="1759">
        <v>0</v>
      </c>
      <c r="Q106" s="1232">
        <v>0</v>
      </c>
      <c r="R106" s="1232">
        <v>0</v>
      </c>
      <c r="S106" s="1737"/>
      <c r="T106" s="37"/>
      <c r="U106" s="37"/>
      <c r="V106" s="37"/>
      <c r="W106" s="73"/>
    </row>
    <row r="107" spans="1:25" s="20" customFormat="1" x14ac:dyDescent="0.2">
      <c r="A107" s="835">
        <v>312</v>
      </c>
      <c r="B107" s="835" t="s">
        <v>94</v>
      </c>
      <c r="C107" s="835" t="s">
        <v>750</v>
      </c>
      <c r="D107" s="1028"/>
      <c r="E107" s="1087"/>
      <c r="F107" s="1028"/>
      <c r="G107" s="1249"/>
      <c r="H107" s="1087"/>
      <c r="I107" s="1087"/>
      <c r="J107" s="1597">
        <v>0</v>
      </c>
      <c r="K107" s="1232"/>
      <c r="L107" s="1511"/>
      <c r="M107" s="1232"/>
      <c r="N107" s="1511"/>
      <c r="O107" s="1232">
        <v>0</v>
      </c>
      <c r="P107" s="1759"/>
      <c r="Q107" s="1232"/>
      <c r="R107" s="1232"/>
      <c r="S107" s="1731"/>
      <c r="T107" s="37"/>
      <c r="U107" s="37"/>
      <c r="V107" s="37"/>
      <c r="W107" s="73"/>
    </row>
    <row r="108" spans="1:25" s="20" customFormat="1" x14ac:dyDescent="0.2">
      <c r="A108" s="835">
        <v>312</v>
      </c>
      <c r="B108" s="835" t="s">
        <v>94</v>
      </c>
      <c r="C108" s="835" t="s">
        <v>967</v>
      </c>
      <c r="D108" s="1028"/>
      <c r="E108" s="1087"/>
      <c r="F108" s="1028"/>
      <c r="G108" s="1249"/>
      <c r="H108" s="1087"/>
      <c r="I108" s="1087"/>
      <c r="J108" s="1087">
        <v>2072.44</v>
      </c>
      <c r="K108" s="1232">
        <v>7971</v>
      </c>
      <c r="L108" s="1511">
        <v>5607</v>
      </c>
      <c r="M108" s="1232">
        <v>3000</v>
      </c>
      <c r="N108" s="1511">
        <v>3000</v>
      </c>
      <c r="O108" s="1232">
        <v>6063</v>
      </c>
      <c r="P108" s="1770">
        <v>3000</v>
      </c>
      <c r="Q108" s="1232">
        <v>0</v>
      </c>
      <c r="R108" s="1232"/>
      <c r="S108" s="1731"/>
      <c r="T108" s="37"/>
      <c r="U108" s="37"/>
      <c r="V108" s="37"/>
      <c r="W108" s="73"/>
    </row>
    <row r="109" spans="1:25" s="20" customFormat="1" x14ac:dyDescent="0.2">
      <c r="A109" s="835">
        <v>312</v>
      </c>
      <c r="B109" s="835" t="s">
        <v>94</v>
      </c>
      <c r="C109" s="835" t="s">
        <v>759</v>
      </c>
      <c r="D109" s="1028"/>
      <c r="E109" s="1087"/>
      <c r="F109" s="1028"/>
      <c r="G109" s="1249"/>
      <c r="H109" s="1087"/>
      <c r="I109" s="1087"/>
      <c r="J109" s="1087">
        <v>684</v>
      </c>
      <c r="K109" s="1232"/>
      <c r="L109" s="1511">
        <v>475</v>
      </c>
      <c r="M109" s="1232">
        <v>0</v>
      </c>
      <c r="N109" s="1511">
        <v>0</v>
      </c>
      <c r="O109" s="1232">
        <v>0</v>
      </c>
      <c r="P109" s="1770">
        <v>0</v>
      </c>
      <c r="Q109" s="1232"/>
      <c r="R109" s="1232"/>
      <c r="S109" s="1731"/>
      <c r="T109" s="37"/>
      <c r="U109" s="37"/>
      <c r="V109" s="37"/>
      <c r="W109" s="73"/>
    </row>
    <row r="110" spans="1:25" s="20" customFormat="1" x14ac:dyDescent="0.2">
      <c r="A110" s="835">
        <v>312</v>
      </c>
      <c r="B110" s="835" t="s">
        <v>94</v>
      </c>
      <c r="C110" s="835" t="s">
        <v>630</v>
      </c>
      <c r="D110" s="1028"/>
      <c r="E110" s="1087"/>
      <c r="F110" s="1028"/>
      <c r="G110" s="1249"/>
      <c r="H110" s="1087"/>
      <c r="I110" s="1087"/>
      <c r="J110" s="1087">
        <v>37286.800000000003</v>
      </c>
      <c r="K110" s="1232">
        <v>28312</v>
      </c>
      <c r="L110" s="1511">
        <v>40000</v>
      </c>
      <c r="M110" s="1232">
        <v>62600</v>
      </c>
      <c r="N110" s="1511">
        <v>60000</v>
      </c>
      <c r="O110" s="1232">
        <v>64675</v>
      </c>
      <c r="P110" s="1759">
        <v>70000</v>
      </c>
      <c r="Q110" s="1232">
        <v>75000</v>
      </c>
      <c r="R110" s="1232">
        <v>75000</v>
      </c>
      <c r="S110" s="1731"/>
      <c r="T110" s="37"/>
      <c r="U110" s="37"/>
      <c r="V110" s="37"/>
      <c r="W110" s="73"/>
    </row>
    <row r="111" spans="1:25" s="20" customFormat="1" x14ac:dyDescent="0.2">
      <c r="A111" s="835">
        <v>312</v>
      </c>
      <c r="B111" s="835" t="s">
        <v>94</v>
      </c>
      <c r="C111" s="835" t="s">
        <v>760</v>
      </c>
      <c r="D111" s="1028"/>
      <c r="E111" s="1087"/>
      <c r="F111" s="1028"/>
      <c r="G111" s="1249"/>
      <c r="H111" s="1087"/>
      <c r="I111" s="1087"/>
      <c r="J111" s="1307">
        <v>297.97000000000003</v>
      </c>
      <c r="K111" s="1232">
        <v>360</v>
      </c>
      <c r="L111" s="1511">
        <v>380</v>
      </c>
      <c r="M111" s="1232">
        <v>400</v>
      </c>
      <c r="N111" s="1511">
        <v>400</v>
      </c>
      <c r="O111" s="1232">
        <v>434</v>
      </c>
      <c r="P111" s="1770">
        <v>450</v>
      </c>
      <c r="Q111" s="1232">
        <v>450</v>
      </c>
      <c r="R111" s="1232">
        <v>450</v>
      </c>
      <c r="S111" s="1731"/>
      <c r="T111" s="37"/>
      <c r="U111" s="37"/>
      <c r="V111" s="37"/>
      <c r="W111" s="73"/>
    </row>
    <row r="112" spans="1:25" s="20" customFormat="1" x14ac:dyDescent="0.2">
      <c r="A112" s="835">
        <v>312</v>
      </c>
      <c r="B112" s="835" t="s">
        <v>94</v>
      </c>
      <c r="C112" s="835" t="s">
        <v>1006</v>
      </c>
      <c r="D112" s="1028"/>
      <c r="E112" s="1087"/>
      <c r="F112" s="1028"/>
      <c r="G112" s="1249"/>
      <c r="H112" s="1087"/>
      <c r="I112" s="1087"/>
      <c r="J112" s="1087">
        <v>0</v>
      </c>
      <c r="K112" s="1232">
        <v>6242</v>
      </c>
      <c r="L112" s="1511">
        <v>0</v>
      </c>
      <c r="M112" s="1232">
        <v>0</v>
      </c>
      <c r="N112" s="1511">
        <v>0</v>
      </c>
      <c r="O112" s="1232">
        <v>5495</v>
      </c>
      <c r="P112" s="1759">
        <v>0</v>
      </c>
      <c r="Q112" s="1232">
        <v>0</v>
      </c>
      <c r="R112" s="1232">
        <v>0</v>
      </c>
      <c r="S112" s="1731"/>
      <c r="T112" s="37"/>
      <c r="U112" s="37"/>
      <c r="V112" s="37"/>
      <c r="W112" s="73"/>
    </row>
    <row r="113" spans="1:23" s="20" customFormat="1" x14ac:dyDescent="0.2">
      <c r="A113" s="835">
        <v>312</v>
      </c>
      <c r="B113" s="835" t="s">
        <v>94</v>
      </c>
      <c r="C113" s="835" t="s">
        <v>856</v>
      </c>
      <c r="D113" s="1028"/>
      <c r="E113" s="1087"/>
      <c r="F113" s="1028"/>
      <c r="G113" s="1249"/>
      <c r="H113" s="1087"/>
      <c r="I113" s="1087"/>
      <c r="J113" s="1087">
        <v>0</v>
      </c>
      <c r="K113" s="1232"/>
      <c r="L113" s="1511">
        <v>61290</v>
      </c>
      <c r="M113" s="1232">
        <v>0</v>
      </c>
      <c r="N113" s="1511">
        <v>0</v>
      </c>
      <c r="O113" s="1232">
        <v>0</v>
      </c>
      <c r="P113" s="1770">
        <v>0</v>
      </c>
      <c r="Q113" s="1232"/>
      <c r="R113" s="1232"/>
      <c r="S113" s="1731"/>
      <c r="T113" s="37"/>
      <c r="U113" s="37"/>
      <c r="V113" s="37"/>
      <c r="W113" s="73"/>
    </row>
    <row r="114" spans="1:23" s="20" customFormat="1" x14ac:dyDescent="0.2">
      <c r="A114" s="835">
        <v>312</v>
      </c>
      <c r="B114" s="835" t="s">
        <v>94</v>
      </c>
      <c r="C114" s="835" t="s">
        <v>761</v>
      </c>
      <c r="D114" s="1028"/>
      <c r="E114" s="1087"/>
      <c r="F114" s="1028"/>
      <c r="G114" s="1249"/>
      <c r="H114" s="1087"/>
      <c r="I114" s="1087"/>
      <c r="J114" s="1087">
        <v>18639.64</v>
      </c>
      <c r="K114" s="1232">
        <v>32236</v>
      </c>
      <c r="L114" s="1511">
        <v>26000</v>
      </c>
      <c r="M114" s="1232">
        <v>31000</v>
      </c>
      <c r="N114" s="1511">
        <v>31000</v>
      </c>
      <c r="O114" s="1232">
        <v>24563</v>
      </c>
      <c r="P114" s="1759">
        <v>38000</v>
      </c>
      <c r="Q114" s="1232">
        <v>40000</v>
      </c>
      <c r="R114" s="1232">
        <v>45000</v>
      </c>
      <c r="S114" s="1731"/>
      <c r="T114" s="37"/>
      <c r="U114" s="37"/>
      <c r="V114" s="37"/>
      <c r="W114" s="73"/>
    </row>
    <row r="115" spans="1:23" s="20" customFormat="1" x14ac:dyDescent="0.2">
      <c r="A115" s="50"/>
      <c r="B115" s="50"/>
      <c r="C115" s="50"/>
      <c r="D115" s="58"/>
      <c r="E115" s="64"/>
      <c r="F115" s="58"/>
      <c r="G115" s="59"/>
      <c r="H115" s="64"/>
      <c r="I115" s="64"/>
      <c r="J115" s="64"/>
      <c r="K115" s="75"/>
      <c r="L115" s="75"/>
      <c r="M115" s="75"/>
      <c r="N115" s="75"/>
      <c r="O115" s="75"/>
      <c r="P115" s="1311"/>
      <c r="Q115" s="75"/>
      <c r="R115" s="75"/>
      <c r="S115" s="1738"/>
      <c r="T115" s="74"/>
      <c r="U115" s="74"/>
      <c r="V115" s="74"/>
    </row>
    <row r="116" spans="1:23" s="48" customFormat="1" x14ac:dyDescent="0.2">
      <c r="A116" s="2104" t="s">
        <v>144</v>
      </c>
      <c r="B116" s="2104"/>
      <c r="C116" s="2104"/>
      <c r="D116" s="2105"/>
      <c r="E116" s="2106"/>
      <c r="F116" s="2105"/>
      <c r="G116" s="2105"/>
      <c r="H116" s="2106"/>
      <c r="I116" s="2106"/>
      <c r="J116" s="2107">
        <f>J117+J118</f>
        <v>3000</v>
      </c>
      <c r="K116" s="2107">
        <f>K117+K118</f>
        <v>3000</v>
      </c>
      <c r="L116" s="2089">
        <f>SUM(L117,L118)</f>
        <v>5500</v>
      </c>
      <c r="M116" s="2107">
        <f>M117+M118+M119</f>
        <v>3000</v>
      </c>
      <c r="N116" s="2089">
        <f>SUM(N117,N118)</f>
        <v>3000</v>
      </c>
      <c r="O116" s="2089">
        <f>SUM(O117,O118)</f>
        <v>8232</v>
      </c>
      <c r="P116" s="1755">
        <f>SUM(P117,P118)</f>
        <v>3000</v>
      </c>
      <c r="Q116" s="2089">
        <f>SUM(Q117,Q118)</f>
        <v>3000</v>
      </c>
      <c r="R116" s="2089">
        <f>SUM(R117,R118)</f>
        <v>3000</v>
      </c>
      <c r="S116" s="1731"/>
      <c r="T116" s="37"/>
      <c r="U116" s="37"/>
      <c r="V116" s="37"/>
    </row>
    <row r="117" spans="1:23" s="48" customFormat="1" x14ac:dyDescent="0.2">
      <c r="A117" s="835">
        <v>311</v>
      </c>
      <c r="B117" s="835"/>
      <c r="C117" s="1031" t="s">
        <v>773</v>
      </c>
      <c r="D117" s="1033"/>
      <c r="E117" s="1033"/>
      <c r="F117" s="1033"/>
      <c r="G117" s="1594"/>
      <c r="H117" s="1033"/>
      <c r="I117" s="1787"/>
      <c r="J117" s="1027">
        <v>3000</v>
      </c>
      <c r="K117" s="1087">
        <v>3000</v>
      </c>
      <c r="L117" s="1511">
        <v>3000</v>
      </c>
      <c r="M117" s="1027">
        <v>3000</v>
      </c>
      <c r="N117" s="1087">
        <v>3000</v>
      </c>
      <c r="O117" s="1087">
        <v>3000</v>
      </c>
      <c r="P117" s="1781">
        <v>3000</v>
      </c>
      <c r="Q117" s="1027">
        <v>3000</v>
      </c>
      <c r="R117" s="1027">
        <v>3000</v>
      </c>
      <c r="S117" s="1739"/>
      <c r="T117" s="76"/>
      <c r="U117" s="76"/>
      <c r="V117" s="76"/>
    </row>
    <row r="118" spans="1:23" s="20" customFormat="1" x14ac:dyDescent="0.2">
      <c r="A118" s="835">
        <v>311</v>
      </c>
      <c r="B118" s="835"/>
      <c r="C118" s="835" t="s">
        <v>871</v>
      </c>
      <c r="D118" s="1087"/>
      <c r="E118" s="1087"/>
      <c r="F118" s="1087"/>
      <c r="G118" s="1593"/>
      <c r="H118" s="1087"/>
      <c r="I118" s="1087"/>
      <c r="J118" s="1087">
        <v>0</v>
      </c>
      <c r="K118" s="1087">
        <v>0</v>
      </c>
      <c r="L118" s="1511">
        <v>2500</v>
      </c>
      <c r="M118" s="1087">
        <v>0</v>
      </c>
      <c r="N118" s="1087">
        <v>0</v>
      </c>
      <c r="O118" s="1087">
        <v>5232</v>
      </c>
      <c r="P118" s="1770">
        <v>0</v>
      </c>
      <c r="Q118" s="1087">
        <v>0</v>
      </c>
      <c r="R118" s="1087">
        <v>0</v>
      </c>
      <c r="S118" s="1740"/>
      <c r="T118" s="37"/>
      <c r="U118" s="37"/>
      <c r="V118" s="37"/>
      <c r="W118" s="73"/>
    </row>
    <row r="119" spans="1:23" s="20" customFormat="1" x14ac:dyDescent="0.2">
      <c r="A119" s="835">
        <v>311</v>
      </c>
      <c r="B119" s="835"/>
      <c r="C119" s="835" t="s">
        <v>686</v>
      </c>
      <c r="D119" s="1087"/>
      <c r="E119" s="1087"/>
      <c r="F119" s="1087"/>
      <c r="G119" s="1593"/>
      <c r="H119" s="1087"/>
      <c r="I119" s="1087"/>
      <c r="J119" s="1087">
        <v>0</v>
      </c>
      <c r="K119" s="1087">
        <v>0</v>
      </c>
      <c r="L119" s="1511">
        <v>0</v>
      </c>
      <c r="M119" s="1087">
        <v>0</v>
      </c>
      <c r="N119" s="1087">
        <v>0</v>
      </c>
      <c r="O119" s="1087">
        <v>0</v>
      </c>
      <c r="P119" s="1770">
        <v>0</v>
      </c>
      <c r="Q119" s="1087">
        <v>0</v>
      </c>
      <c r="R119" s="1087">
        <v>0</v>
      </c>
      <c r="S119" s="1738"/>
      <c r="T119" s="74"/>
      <c r="U119" s="74"/>
      <c r="V119" s="37"/>
    </row>
    <row r="120" spans="1:23" s="20" customFormat="1" x14ac:dyDescent="0.2">
      <c r="A120" s="2011" t="s">
        <v>145</v>
      </c>
      <c r="B120" s="2011"/>
      <c r="C120" s="2011"/>
      <c r="D120" s="1772"/>
      <c r="E120" s="1772"/>
      <c r="F120" s="1772"/>
      <c r="G120" s="1772"/>
      <c r="H120" s="1772"/>
      <c r="I120" s="1772"/>
      <c r="J120" s="1772">
        <f>J84+J116</f>
        <v>100175.19</v>
      </c>
      <c r="K120" s="1772">
        <f>K116+K84</f>
        <v>134665</v>
      </c>
      <c r="L120" s="1772">
        <f>L84+L116</f>
        <v>184787</v>
      </c>
      <c r="M120" s="1772">
        <f>M84+M116</f>
        <v>125364</v>
      </c>
      <c r="N120" s="1772">
        <f>SUM(N84,N116)</f>
        <v>116400</v>
      </c>
      <c r="O120" s="1772">
        <f>SUM(O84,O116)</f>
        <v>204375</v>
      </c>
      <c r="P120" s="1775">
        <f>SUM(P84,P116)</f>
        <v>180950</v>
      </c>
      <c r="Q120" s="1772">
        <f>SUM(Q84,Q116)</f>
        <v>185250</v>
      </c>
      <c r="R120" s="1772">
        <f>SUM(R84,R116)</f>
        <v>190450</v>
      </c>
      <c r="S120" s="1736"/>
      <c r="T120" s="56"/>
      <c r="U120" s="56"/>
      <c r="V120" s="56"/>
    </row>
    <row r="121" spans="1:23" s="17" customFormat="1" x14ac:dyDescent="0.2">
      <c r="A121" s="1683" t="s">
        <v>146</v>
      </c>
      <c r="B121" s="1683"/>
      <c r="C121" s="1683"/>
      <c r="D121" s="1685"/>
      <c r="E121" s="1685"/>
      <c r="F121" s="1685"/>
      <c r="G121" s="1685"/>
      <c r="H121" s="1685"/>
      <c r="I121" s="1685"/>
      <c r="J121" s="1685">
        <f>J32+J69+J120</f>
        <v>1379071.67</v>
      </c>
      <c r="K121" s="1685">
        <f>SUM(K32,K120,K69)</f>
        <v>1575644</v>
      </c>
      <c r="L121" s="1685">
        <f>L32+L69+L120</f>
        <v>1587130</v>
      </c>
      <c r="M121" s="1685">
        <f>M32+M69+M120</f>
        <v>1610436</v>
      </c>
      <c r="N121" s="1685">
        <f>SUM(N32,N69,N120)</f>
        <v>1621629</v>
      </c>
      <c r="O121" s="1685">
        <f>SUM(O32,O69,O120)</f>
        <v>1823324</v>
      </c>
      <c r="P121" s="1788">
        <f>SUM(P32,P69,P120)</f>
        <v>1765829</v>
      </c>
      <c r="Q121" s="1685">
        <f>SUM(Q32,Q69,Q120)</f>
        <v>1835434</v>
      </c>
      <c r="R121" s="1685">
        <f>SUM(R32,R69,R120)</f>
        <v>1955631</v>
      </c>
      <c r="S121" s="1729"/>
      <c r="T121" s="34"/>
      <c r="U121" s="34"/>
      <c r="V121" s="34"/>
    </row>
    <row r="122" spans="1:23" ht="12.75" customHeight="1" x14ac:dyDescent="0.2">
      <c r="M122" s="77"/>
      <c r="P122" s="1311"/>
    </row>
    <row r="123" spans="1:23" ht="45" hidden="1" customHeight="1" x14ac:dyDescent="0.2">
      <c r="P123" s="1311"/>
    </row>
    <row r="124" spans="1:23" ht="45" hidden="1" customHeight="1" x14ac:dyDescent="0.2">
      <c r="P124" s="1311"/>
    </row>
    <row r="125" spans="1:23" ht="45" hidden="1" customHeight="1" x14ac:dyDescent="0.2">
      <c r="P125" s="1311"/>
    </row>
    <row r="126" spans="1:23" ht="45" hidden="1" customHeight="1" x14ac:dyDescent="0.2">
      <c r="P126" s="1311"/>
    </row>
    <row r="127" spans="1:23" ht="45" hidden="1" customHeight="1" x14ac:dyDescent="0.2">
      <c r="P127" s="1311"/>
    </row>
    <row r="128" spans="1:23" ht="45" hidden="1" customHeight="1" x14ac:dyDescent="0.2">
      <c r="P128" s="1311"/>
    </row>
    <row r="129" spans="1:41" ht="12.75" customHeight="1" x14ac:dyDescent="0.2">
      <c r="C129" s="462" t="s">
        <v>79</v>
      </c>
      <c r="P129" s="1311"/>
    </row>
    <row r="130" spans="1:41" ht="12.75" customHeight="1" x14ac:dyDescent="0.25">
      <c r="M130" s="2013" t="s">
        <v>108</v>
      </c>
      <c r="N130" s="2013"/>
      <c r="O130" s="2013"/>
      <c r="P130" s="2013"/>
      <c r="Q130" s="2013"/>
      <c r="R130" s="2013"/>
      <c r="S130" s="1725"/>
      <c r="T130" s="25"/>
      <c r="U130" s="25"/>
      <c r="V130" s="25"/>
    </row>
    <row r="131" spans="1:41" ht="45" hidden="1" customHeight="1" thickBot="1" x14ac:dyDescent="0.25"/>
    <row r="132" spans="1:41" s="20" customFormat="1" ht="23.25" customHeight="1" x14ac:dyDescent="0.2">
      <c r="A132" s="1761" t="s">
        <v>79</v>
      </c>
      <c r="B132" s="1789"/>
      <c r="C132" s="1763"/>
      <c r="D132" s="1790" t="s">
        <v>147</v>
      </c>
      <c r="E132" s="1791" t="s">
        <v>148</v>
      </c>
      <c r="F132" s="1790" t="s">
        <v>147</v>
      </c>
      <c r="G132" s="1791" t="s">
        <v>148</v>
      </c>
      <c r="H132" s="1790" t="s">
        <v>147</v>
      </c>
      <c r="I132" s="1791" t="s">
        <v>148</v>
      </c>
      <c r="J132" s="1785">
        <v>2018</v>
      </c>
      <c r="K132" s="1540" t="s">
        <v>909</v>
      </c>
      <c r="L132" s="1540">
        <v>2021</v>
      </c>
      <c r="M132" s="1766">
        <v>2022</v>
      </c>
      <c r="N132" s="1767">
        <v>2023</v>
      </c>
      <c r="O132" s="1767" t="s">
        <v>981</v>
      </c>
      <c r="P132" s="1768">
        <v>2024</v>
      </c>
      <c r="Q132" s="1769">
        <v>2025</v>
      </c>
      <c r="R132" s="1769">
        <v>2026</v>
      </c>
      <c r="S132" s="1727"/>
      <c r="T132" s="29"/>
      <c r="U132" s="29"/>
      <c r="V132" s="30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 s="1151"/>
    </row>
    <row r="133" spans="1:41" x14ac:dyDescent="0.2">
      <c r="A133" s="1031">
        <v>231</v>
      </c>
      <c r="B133" s="1031"/>
      <c r="C133" s="1085" t="s">
        <v>149</v>
      </c>
      <c r="D133" s="1056">
        <v>0</v>
      </c>
      <c r="E133" s="1056"/>
      <c r="F133" s="1056">
        <v>0</v>
      </c>
      <c r="G133" s="1056"/>
      <c r="H133" s="1056">
        <v>0</v>
      </c>
      <c r="I133" s="1056"/>
      <c r="J133" s="1027">
        <v>0</v>
      </c>
      <c r="K133" s="1027">
        <v>0</v>
      </c>
      <c r="L133" s="1511">
        <v>2500</v>
      </c>
      <c r="M133" s="1235">
        <v>0</v>
      </c>
      <c r="N133" s="1028">
        <v>0</v>
      </c>
      <c r="O133" s="1511">
        <v>0</v>
      </c>
      <c r="P133" s="1770">
        <v>0</v>
      </c>
      <c r="Q133" s="1033">
        <v>0</v>
      </c>
      <c r="R133" s="1027">
        <v>0</v>
      </c>
      <c r="S133" s="1739"/>
      <c r="T133" s="76"/>
      <c r="U133" s="76"/>
      <c r="V133" s="76"/>
      <c r="W133" s="1134"/>
      <c r="X133" s="1134"/>
      <c r="Y133" s="1134"/>
      <c r="Z133" s="1145"/>
      <c r="AA133" s="1145"/>
      <c r="AB133" s="1145"/>
      <c r="AC133"/>
      <c r="AD133" s="1145"/>
      <c r="AE133"/>
      <c r="AF133" s="1123"/>
      <c r="AG133" s="1145"/>
      <c r="AH133" s="1145"/>
      <c r="AI133" s="1123"/>
      <c r="AJ133"/>
      <c r="AK133"/>
      <c r="AL133"/>
      <c r="AM133" s="1123"/>
      <c r="AN133" s="1123"/>
      <c r="AO133" s="1151"/>
    </row>
    <row r="134" spans="1:41" x14ac:dyDescent="0.2">
      <c r="A134" s="1031">
        <v>233</v>
      </c>
      <c r="B134" s="1031"/>
      <c r="C134" s="1085" t="s">
        <v>150</v>
      </c>
      <c r="D134" s="1056">
        <v>3000</v>
      </c>
      <c r="E134" s="1056"/>
      <c r="F134" s="1056">
        <v>3000</v>
      </c>
      <c r="G134" s="1056"/>
      <c r="H134" s="1056">
        <v>3000</v>
      </c>
      <c r="I134" s="1056"/>
      <c r="J134" s="1027">
        <v>10196.799999999999</v>
      </c>
      <c r="K134" s="1027">
        <v>11590</v>
      </c>
      <c r="L134" s="1511">
        <v>48769</v>
      </c>
      <c r="M134" s="1235">
        <v>23000</v>
      </c>
      <c r="N134" s="1028">
        <v>50000</v>
      </c>
      <c r="O134" s="1511">
        <v>6716</v>
      </c>
      <c r="P134" s="1770">
        <v>50000</v>
      </c>
      <c r="Q134" s="1027">
        <v>30000</v>
      </c>
      <c r="R134" s="1027">
        <v>20000</v>
      </c>
      <c r="S134" s="1739"/>
      <c r="T134" s="76"/>
      <c r="U134" s="76"/>
      <c r="V134" s="76"/>
      <c r="W134" s="1134"/>
      <c r="X134" s="1134"/>
      <c r="Y134" s="1134"/>
      <c r="Z134" s="1145"/>
      <c r="AA134" s="1145"/>
      <c r="AB134" s="1145"/>
      <c r="AC134"/>
      <c r="AD134" s="1145"/>
      <c r="AE134" s="1145"/>
      <c r="AF134" s="1145"/>
      <c r="AG134" s="1145"/>
      <c r="AH134" s="1145"/>
      <c r="AI134" s="1145"/>
      <c r="AJ134"/>
      <c r="AK134"/>
      <c r="AL134"/>
      <c r="AM134" s="1145"/>
      <c r="AN134" s="1145"/>
      <c r="AO134" s="1151"/>
    </row>
    <row r="135" spans="1:41" x14ac:dyDescent="0.2">
      <c r="A135" s="2011" t="s">
        <v>133</v>
      </c>
      <c r="B135" s="2011"/>
      <c r="C135" s="2011"/>
      <c r="D135" s="1792">
        <f>SUM(D133,D134)</f>
        <v>3000</v>
      </c>
      <c r="E135" s="1792">
        <f>E133+E134</f>
        <v>0</v>
      </c>
      <c r="F135" s="1792">
        <f>SUM(F133,F134)</f>
        <v>3000</v>
      </c>
      <c r="G135" s="1792">
        <f>G133+G134</f>
        <v>0</v>
      </c>
      <c r="H135" s="1792">
        <f>SUM(H133,H134)</f>
        <v>3000</v>
      </c>
      <c r="I135" s="1792">
        <f>I133+I134</f>
        <v>0</v>
      </c>
      <c r="J135" s="1549">
        <f>J133+J134</f>
        <v>10196.799999999999</v>
      </c>
      <c r="K135" s="1549">
        <f>SUM(K133,K134)</f>
        <v>11590</v>
      </c>
      <c r="L135" s="1549">
        <f t="shared" ref="L135:R135" si="1">L133+L134</f>
        <v>51269</v>
      </c>
      <c r="M135" s="1549">
        <f t="shared" si="1"/>
        <v>23000</v>
      </c>
      <c r="N135" s="1549">
        <f t="shared" si="1"/>
        <v>50000</v>
      </c>
      <c r="O135" s="1549">
        <f t="shared" si="1"/>
        <v>6716</v>
      </c>
      <c r="P135" s="1775">
        <f>P133+P134</f>
        <v>50000</v>
      </c>
      <c r="Q135" s="1549">
        <f t="shared" si="1"/>
        <v>30000</v>
      </c>
      <c r="R135" s="1549">
        <f t="shared" si="1"/>
        <v>20000</v>
      </c>
      <c r="S135" s="1741"/>
      <c r="T135" s="78"/>
      <c r="U135" s="78"/>
      <c r="V135" s="78"/>
      <c r="W135" s="1134"/>
      <c r="X135" s="1134"/>
      <c r="Y135" s="1134"/>
      <c r="Z135" s="1145"/>
      <c r="AA135" s="1145"/>
      <c r="AB135" s="1145"/>
      <c r="AC135"/>
      <c r="AD135" s="1145"/>
      <c r="AE135" s="1145"/>
      <c r="AF135" s="1145"/>
      <c r="AG135" s="1145"/>
      <c r="AH135" s="1145"/>
      <c r="AI135" s="1145"/>
      <c r="AJ135" s="1145"/>
      <c r="AK135" s="1145"/>
      <c r="AL135" s="1145"/>
      <c r="AM135" s="1145"/>
      <c r="AN135" s="1145"/>
      <c r="AO135" s="1151"/>
    </row>
    <row r="136" spans="1:4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 s="1312"/>
      <c r="Q136"/>
      <c r="R136"/>
      <c r="S136" s="1741"/>
      <c r="T136" s="78"/>
      <c r="U136" s="78"/>
      <c r="V136" s="78"/>
      <c r="W136" s="1134"/>
      <c r="X136" s="1134"/>
      <c r="Y136" s="1134"/>
      <c r="Z136" s="1145"/>
      <c r="AA136" s="1145"/>
      <c r="AB136" s="1145"/>
      <c r="AC136"/>
      <c r="AD136" s="1145"/>
      <c r="AE136" s="1145"/>
      <c r="AF136" s="1145"/>
      <c r="AG136" s="1145"/>
      <c r="AH136" s="1145"/>
      <c r="AI136" s="1145"/>
      <c r="AJ136" s="1145"/>
      <c r="AK136" s="1145"/>
      <c r="AL136" s="1145"/>
      <c r="AM136" s="1145"/>
      <c r="AN136" s="1145"/>
      <c r="AO136" s="1151"/>
    </row>
    <row r="137" spans="1:41" x14ac:dyDescent="0.2">
      <c r="A137" s="1793" t="s">
        <v>144</v>
      </c>
      <c r="B137" s="1793"/>
      <c r="C137" s="1793"/>
      <c r="D137" s="1793"/>
      <c r="E137" s="1793"/>
      <c r="F137" s="1793"/>
      <c r="G137" s="1793"/>
      <c r="H137" s="1793"/>
      <c r="I137" s="1793"/>
      <c r="J137" s="1794">
        <v>2018</v>
      </c>
      <c r="K137" s="1540" t="s">
        <v>909</v>
      </c>
      <c r="L137" s="1540">
        <v>2021</v>
      </c>
      <c r="M137" s="1795">
        <v>2022</v>
      </c>
      <c r="N137" s="1796">
        <v>2023</v>
      </c>
      <c r="O137" s="1767" t="s">
        <v>981</v>
      </c>
      <c r="P137" s="1768">
        <v>2024</v>
      </c>
      <c r="Q137" s="1769">
        <v>2025</v>
      </c>
      <c r="R137" s="1769">
        <v>2026</v>
      </c>
      <c r="S137" s="1741"/>
      <c r="T137" s="78"/>
      <c r="U137" s="78"/>
      <c r="V137" s="78"/>
      <c r="W137" s="1134"/>
      <c r="X137" s="1134"/>
      <c r="Y137" s="1134"/>
      <c r="Z137" s="1145"/>
      <c r="AA137" s="1145"/>
      <c r="AB137" s="1145"/>
      <c r="AC137"/>
      <c r="AD137" s="1145"/>
      <c r="AE137" s="1145"/>
      <c r="AF137" s="1145"/>
      <c r="AG137" s="1145"/>
      <c r="AH137" s="1145"/>
      <c r="AI137" s="1145"/>
      <c r="AJ137" s="1145"/>
      <c r="AK137" s="1145"/>
      <c r="AL137" s="1145"/>
      <c r="AM137" s="1145"/>
      <c r="AN137" s="1145"/>
      <c r="AO137" s="1151"/>
    </row>
    <row r="138" spans="1:41" x14ac:dyDescent="0.2">
      <c r="A138" s="1752">
        <v>321</v>
      </c>
      <c r="B138" s="1752"/>
      <c r="C138" s="1752" t="s">
        <v>872</v>
      </c>
      <c r="D138" s="1307"/>
      <c r="E138" s="1307"/>
      <c r="F138" s="1307"/>
      <c r="G138" s="1307"/>
      <c r="H138" s="1307"/>
      <c r="I138" s="1307"/>
      <c r="J138" s="1307"/>
      <c r="K138" s="1307"/>
      <c r="L138" s="1752">
        <v>1800</v>
      </c>
      <c r="M138" s="1307"/>
      <c r="N138" s="1307"/>
      <c r="O138" s="1511">
        <v>0</v>
      </c>
      <c r="P138" s="1770">
        <v>0</v>
      </c>
      <c r="Q138" s="1307"/>
      <c r="R138" s="1307"/>
      <c r="S138" s="1741"/>
      <c r="T138" s="78"/>
      <c r="U138" s="78"/>
      <c r="V138" s="78"/>
      <c r="W138" s="1134"/>
      <c r="X138" s="1134"/>
      <c r="Y138" s="1134"/>
      <c r="Z138" s="1145"/>
      <c r="AA138" s="1145"/>
      <c r="AB138" s="1145"/>
      <c r="AC138"/>
      <c r="AD138" s="1145"/>
      <c r="AE138" s="1145"/>
      <c r="AF138" s="1145"/>
      <c r="AG138" s="1145"/>
      <c r="AH138" s="1145"/>
      <c r="AI138" s="1145"/>
      <c r="AJ138" s="1145"/>
      <c r="AK138" s="1145"/>
      <c r="AL138" s="1145"/>
      <c r="AM138" s="1145"/>
      <c r="AN138" s="1145"/>
      <c r="AO138" s="1151"/>
    </row>
    <row r="139" spans="1:41" x14ac:dyDescent="0.2">
      <c r="A139" s="1307"/>
      <c r="B139" s="1307"/>
      <c r="C139" s="1307"/>
      <c r="D139" s="1307"/>
      <c r="E139" s="1307"/>
      <c r="F139" s="1307"/>
      <c r="G139" s="1307"/>
      <c r="H139" s="1307"/>
      <c r="I139" s="1307"/>
      <c r="J139" s="1307"/>
      <c r="K139" s="1307"/>
      <c r="L139" s="1307"/>
      <c r="M139" s="1307"/>
      <c r="N139" s="1307"/>
      <c r="O139" s="1511"/>
      <c r="P139" s="1770"/>
      <c r="Q139" s="1307"/>
      <c r="R139" s="1307"/>
      <c r="S139" s="1741"/>
      <c r="T139" s="78"/>
      <c r="U139" s="78"/>
      <c r="V139" s="78"/>
      <c r="W139" s="1134"/>
      <c r="X139" s="1134"/>
      <c r="Y139" s="1134"/>
      <c r="Z139" s="1145"/>
      <c r="AA139" s="1145"/>
      <c r="AB139" s="1145"/>
      <c r="AC139"/>
      <c r="AD139" s="1145"/>
      <c r="AE139" s="1145"/>
      <c r="AF139" s="1145"/>
      <c r="AG139" s="1145"/>
      <c r="AH139" s="1145"/>
      <c r="AI139" s="1145"/>
      <c r="AJ139" s="1145"/>
      <c r="AK139" s="1145"/>
      <c r="AL139" s="1145"/>
      <c r="AM139" s="1145"/>
      <c r="AN139" s="1145"/>
      <c r="AO139" s="1151"/>
    </row>
    <row r="140" spans="1:41" hidden="1" x14ac:dyDescent="0.2">
      <c r="A140" s="1307"/>
      <c r="B140" s="1307"/>
      <c r="C140" s="1307"/>
      <c r="D140" s="1307"/>
      <c r="E140" s="1307"/>
      <c r="F140" s="1307"/>
      <c r="G140" s="1307"/>
      <c r="H140" s="1307"/>
      <c r="I140" s="1307"/>
      <c r="J140" s="1307"/>
      <c r="K140" s="1307"/>
      <c r="L140" s="1307"/>
      <c r="M140" s="1307"/>
      <c r="N140" s="1307"/>
      <c r="O140" s="1511"/>
      <c r="P140" s="1770"/>
      <c r="Q140" s="1307"/>
      <c r="R140" s="1307"/>
      <c r="S140" s="1741"/>
      <c r="T140" s="78"/>
      <c r="U140" s="78"/>
      <c r="V140" s="78"/>
      <c r="W140" s="1134"/>
      <c r="X140" s="1134"/>
      <c r="Y140" s="1134"/>
      <c r="Z140" s="1145"/>
      <c r="AA140" s="1145"/>
      <c r="AB140" s="1145"/>
      <c r="AC140"/>
      <c r="AD140" s="1145"/>
      <c r="AE140" s="1145"/>
      <c r="AF140" s="1145"/>
      <c r="AG140" s="1145"/>
      <c r="AH140" s="1145"/>
      <c r="AI140" s="1145"/>
      <c r="AJ140" s="1145"/>
      <c r="AK140" s="1145"/>
      <c r="AL140" s="1145"/>
      <c r="AM140" s="1145"/>
      <c r="AN140" s="1145"/>
      <c r="AO140" s="1151"/>
    </row>
    <row r="141" spans="1:41" x14ac:dyDescent="0.2">
      <c r="A141" s="1797" t="s">
        <v>145</v>
      </c>
      <c r="B141" s="1797"/>
      <c r="C141" s="1797"/>
      <c r="D141" s="1797"/>
      <c r="E141" s="1797"/>
      <c r="F141" s="1797"/>
      <c r="G141" s="1797"/>
      <c r="H141" s="1797"/>
      <c r="I141" s="1797"/>
      <c r="J141" s="1797"/>
      <c r="K141" s="1797"/>
      <c r="L141" s="1798">
        <f>SUM(L138:L140)</f>
        <v>1800</v>
      </c>
      <c r="M141" s="1797"/>
      <c r="N141" s="1797"/>
      <c r="O141" s="1799">
        <f>SUM(O138:O140)</f>
        <v>0</v>
      </c>
      <c r="P141" s="1800">
        <f>P138</f>
        <v>0</v>
      </c>
      <c r="Q141" s="1797"/>
      <c r="R141" s="1797"/>
      <c r="S141" s="1741"/>
      <c r="T141" s="78"/>
      <c r="U141" s="78"/>
      <c r="V141" s="78"/>
      <c r="W141" s="1134"/>
      <c r="X141" s="1134"/>
      <c r="Y141" s="1134"/>
      <c r="Z141" s="1145"/>
      <c r="AA141" s="1145"/>
      <c r="AB141" s="1145"/>
      <c r="AC141"/>
      <c r="AD141" s="1145"/>
      <c r="AE141" s="1145"/>
      <c r="AF141" s="1145"/>
      <c r="AG141" s="1145"/>
      <c r="AH141" s="1145"/>
      <c r="AI141" s="1145"/>
      <c r="AJ141" s="1145"/>
      <c r="AK141" s="1145"/>
      <c r="AL141" s="1145"/>
      <c r="AM141" s="1145"/>
      <c r="AN141" s="1145"/>
      <c r="AO141" s="1151"/>
    </row>
    <row r="142" spans="1:41" ht="15.75" customHeight="1" x14ac:dyDescent="0.2">
      <c r="A142" s="41"/>
      <c r="B142" s="41"/>
      <c r="C142" s="79"/>
      <c r="D142" s="42"/>
      <c r="E142" s="42"/>
      <c r="F142" s="42"/>
      <c r="G142" s="44"/>
      <c r="H142" s="42"/>
      <c r="I142" s="42"/>
      <c r="J142" s="42"/>
      <c r="K142" s="42"/>
      <c r="L142" s="42"/>
      <c r="M142" s="52"/>
      <c r="P142" s="1311"/>
      <c r="W142" s="2008"/>
      <c r="X142" s="2008"/>
      <c r="Y142" s="2008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 s="1151"/>
    </row>
    <row r="143" spans="1:41" ht="15.75" x14ac:dyDescent="0.25">
      <c r="A143" s="41"/>
      <c r="B143" s="41"/>
      <c r="C143" s="79"/>
      <c r="D143" s="42"/>
      <c r="E143" s="42"/>
      <c r="F143" s="42"/>
      <c r="G143" s="44"/>
      <c r="H143" s="42"/>
      <c r="I143" s="42"/>
      <c r="J143" s="42"/>
      <c r="K143" s="42"/>
      <c r="L143" s="42"/>
      <c r="M143" s="2013" t="s">
        <v>134</v>
      </c>
      <c r="N143" s="2013"/>
      <c r="O143" s="2013"/>
      <c r="P143" s="2013"/>
      <c r="Q143" s="2013"/>
      <c r="R143" s="2013"/>
      <c r="S143" s="1725"/>
      <c r="T143" s="25"/>
      <c r="U143" s="25"/>
      <c r="V143" s="25"/>
    </row>
    <row r="144" spans="1:41" ht="13.5" hidden="1" thickBot="1" x14ac:dyDescent="0.25">
      <c r="A144" s="41"/>
      <c r="B144" s="41"/>
      <c r="C144" s="79"/>
      <c r="D144" s="42"/>
      <c r="E144" s="42"/>
      <c r="F144" s="42"/>
      <c r="G144" s="44"/>
      <c r="H144" s="42"/>
      <c r="I144" s="42"/>
      <c r="J144" s="42"/>
      <c r="K144" s="42"/>
      <c r="L144" s="42"/>
      <c r="M144" s="52"/>
    </row>
    <row r="145" spans="1:24" ht="23.25" customHeight="1" x14ac:dyDescent="0.2">
      <c r="A145" s="1761" t="s">
        <v>79</v>
      </c>
      <c r="B145" s="1789"/>
      <c r="C145" s="1763"/>
      <c r="D145" s="1790" t="s">
        <v>147</v>
      </c>
      <c r="E145" s="1791" t="s">
        <v>148</v>
      </c>
      <c r="F145" s="1790" t="s">
        <v>147</v>
      </c>
      <c r="G145" s="1791" t="s">
        <v>148</v>
      </c>
      <c r="H145" s="1790" t="s">
        <v>147</v>
      </c>
      <c r="I145" s="1791" t="s">
        <v>148</v>
      </c>
      <c r="J145" s="1785">
        <v>2018</v>
      </c>
      <c r="K145" s="1540" t="s">
        <v>909</v>
      </c>
      <c r="L145" s="1540">
        <v>2021</v>
      </c>
      <c r="M145" s="1766">
        <v>2022</v>
      </c>
      <c r="N145" s="1767">
        <v>2023</v>
      </c>
      <c r="O145" s="1767" t="s">
        <v>981</v>
      </c>
      <c r="P145" s="1768">
        <v>2024</v>
      </c>
      <c r="Q145" s="1769">
        <v>2025</v>
      </c>
      <c r="R145" s="1769">
        <v>2026</v>
      </c>
      <c r="S145" s="1735"/>
      <c r="T145" s="54"/>
      <c r="U145" s="54"/>
      <c r="V145" s="55"/>
    </row>
    <row r="146" spans="1:24" x14ac:dyDescent="0.2">
      <c r="A146" s="1031">
        <v>322</v>
      </c>
      <c r="B146" s="1031"/>
      <c r="C146" s="1085" t="s">
        <v>775</v>
      </c>
      <c r="D146" s="1056">
        <v>0</v>
      </c>
      <c r="E146" s="1056">
        <v>0</v>
      </c>
      <c r="F146" s="1056">
        <v>0</v>
      </c>
      <c r="G146" s="1056">
        <v>0</v>
      </c>
      <c r="H146" s="1056">
        <v>0</v>
      </c>
      <c r="I146" s="1056">
        <v>0</v>
      </c>
      <c r="J146" s="1027">
        <v>155941.22</v>
      </c>
      <c r="K146" s="1233">
        <v>0</v>
      </c>
      <c r="L146" s="1511">
        <v>0</v>
      </c>
      <c r="M146" s="1511">
        <v>0</v>
      </c>
      <c r="N146" s="1233">
        <v>0</v>
      </c>
      <c r="O146" s="1511">
        <v>0</v>
      </c>
      <c r="P146" s="1781">
        <v>0</v>
      </c>
      <c r="Q146" s="1512">
        <v>0</v>
      </c>
      <c r="R146" s="1027">
        <v>0</v>
      </c>
      <c r="S146" s="1739"/>
      <c r="T146" s="76"/>
      <c r="U146" s="76"/>
      <c r="V146" s="76"/>
    </row>
    <row r="147" spans="1:24" x14ac:dyDescent="0.2">
      <c r="A147" s="1031">
        <v>322</v>
      </c>
      <c r="B147" s="1031"/>
      <c r="C147" s="1085" t="s">
        <v>695</v>
      </c>
      <c r="D147" s="1056">
        <v>0</v>
      </c>
      <c r="E147" s="1056">
        <v>0</v>
      </c>
      <c r="F147" s="1056">
        <v>0</v>
      </c>
      <c r="G147" s="1056">
        <v>0</v>
      </c>
      <c r="H147" s="1056">
        <v>0</v>
      </c>
      <c r="I147" s="1056">
        <v>0</v>
      </c>
      <c r="J147" s="1027">
        <v>2393188.44</v>
      </c>
      <c r="K147" s="1233">
        <v>2651080</v>
      </c>
      <c r="L147" s="1801">
        <v>1033074</v>
      </c>
      <c r="M147" s="1511">
        <v>0</v>
      </c>
      <c r="N147" s="1233">
        <v>0</v>
      </c>
      <c r="O147" s="1511">
        <v>0</v>
      </c>
      <c r="P147" s="1770">
        <v>0</v>
      </c>
      <c r="Q147" s="1779">
        <v>0</v>
      </c>
      <c r="R147" s="1027">
        <v>0</v>
      </c>
      <c r="S147" s="1739"/>
      <c r="T147" s="76"/>
      <c r="U147" s="76"/>
      <c r="V147" s="76"/>
      <c r="W147" s="80"/>
      <c r="X147" s="81"/>
    </row>
    <row r="148" spans="1:24" x14ac:dyDescent="0.2">
      <c r="A148" s="1031">
        <v>322</v>
      </c>
      <c r="B148" s="1031"/>
      <c r="C148" s="1085" t="s">
        <v>830</v>
      </c>
      <c r="D148" s="1056">
        <v>0</v>
      </c>
      <c r="E148" s="1056">
        <v>0</v>
      </c>
      <c r="F148" s="1056">
        <v>0</v>
      </c>
      <c r="G148" s="1056">
        <v>0</v>
      </c>
      <c r="H148" s="1056">
        <v>0</v>
      </c>
      <c r="I148" s="1056">
        <v>0</v>
      </c>
      <c r="J148" s="1027">
        <v>0</v>
      </c>
      <c r="K148" s="1233">
        <v>0</v>
      </c>
      <c r="L148" s="1511"/>
      <c r="M148" s="1511">
        <v>0</v>
      </c>
      <c r="N148" s="1233">
        <v>0</v>
      </c>
      <c r="O148" s="1511">
        <v>14000</v>
      </c>
      <c r="P148" s="1781">
        <v>0</v>
      </c>
      <c r="Q148" s="1512">
        <v>0</v>
      </c>
      <c r="R148" s="1027">
        <v>0</v>
      </c>
      <c r="S148" s="1739"/>
      <c r="T148" s="76"/>
      <c r="U148" s="76"/>
      <c r="V148" s="76"/>
    </row>
    <row r="149" spans="1:24" x14ac:dyDescent="0.2">
      <c r="A149" s="1031">
        <v>322</v>
      </c>
      <c r="B149" s="1031"/>
      <c r="C149" s="1085" t="s">
        <v>774</v>
      </c>
      <c r="D149" s="1056">
        <v>179660.04</v>
      </c>
      <c r="E149" s="1056">
        <v>179660.04</v>
      </c>
      <c r="F149" s="1056">
        <v>179660.04</v>
      </c>
      <c r="G149" s="1056">
        <v>179660.04</v>
      </c>
      <c r="H149" s="1056">
        <v>179660.04</v>
      </c>
      <c r="I149" s="1056">
        <v>179660.04</v>
      </c>
      <c r="J149" s="1027">
        <v>0</v>
      </c>
      <c r="K149" s="1233">
        <v>284526</v>
      </c>
      <c r="L149" s="1511">
        <v>0</v>
      </c>
      <c r="M149" s="1511">
        <v>0</v>
      </c>
      <c r="N149" s="1233">
        <v>0</v>
      </c>
      <c r="O149" s="1511">
        <v>0</v>
      </c>
      <c r="P149" s="1781">
        <v>0</v>
      </c>
      <c r="Q149" s="1512">
        <v>0</v>
      </c>
      <c r="R149" s="1027">
        <v>0</v>
      </c>
      <c r="S149" s="1739"/>
      <c r="T149" s="76"/>
      <c r="U149" s="76"/>
      <c r="V149" s="76"/>
    </row>
    <row r="150" spans="1:24" x14ac:dyDescent="0.2">
      <c r="A150" s="1031">
        <v>332</v>
      </c>
      <c r="B150" s="1031"/>
      <c r="C150" s="1085" t="s">
        <v>906</v>
      </c>
      <c r="D150" s="1056">
        <v>200000</v>
      </c>
      <c r="E150" s="1056">
        <v>119317.84</v>
      </c>
      <c r="F150" s="1056">
        <v>200000</v>
      </c>
      <c r="G150" s="1056">
        <v>119317.84</v>
      </c>
      <c r="H150" s="1056">
        <v>200000</v>
      </c>
      <c r="I150" s="1056">
        <v>119317.84</v>
      </c>
      <c r="J150" s="1027">
        <v>10000</v>
      </c>
      <c r="K150" s="1233">
        <v>0</v>
      </c>
      <c r="L150" s="1511">
        <v>0</v>
      </c>
      <c r="M150" s="1511">
        <v>0</v>
      </c>
      <c r="N150" s="1233">
        <v>0</v>
      </c>
      <c r="O150" s="1511">
        <v>0</v>
      </c>
      <c r="P150" s="1781">
        <v>0</v>
      </c>
      <c r="Q150" s="1512">
        <v>0</v>
      </c>
      <c r="R150" s="1027">
        <v>0</v>
      </c>
      <c r="S150" s="1739"/>
      <c r="T150" s="76"/>
      <c r="U150" s="76"/>
      <c r="V150" s="76"/>
    </row>
    <row r="151" spans="1:24" x14ac:dyDescent="0.2">
      <c r="A151" s="1031">
        <v>332</v>
      </c>
      <c r="B151" s="1031"/>
      <c r="C151" s="1031" t="s">
        <v>776</v>
      </c>
      <c r="D151" s="1056">
        <v>34114.85</v>
      </c>
      <c r="E151" s="1056">
        <v>34114.85</v>
      </c>
      <c r="F151" s="1056">
        <v>34114.85</v>
      </c>
      <c r="G151" s="1056">
        <v>34114.85</v>
      </c>
      <c r="H151" s="1056">
        <v>34114.85</v>
      </c>
      <c r="I151" s="1056">
        <v>34114.85</v>
      </c>
      <c r="J151" s="1027">
        <v>29961.11</v>
      </c>
      <c r="K151" s="1232">
        <v>11264</v>
      </c>
      <c r="L151" s="1511">
        <v>0</v>
      </c>
      <c r="M151" s="1511">
        <v>0</v>
      </c>
      <c r="N151" s="1232">
        <v>0</v>
      </c>
      <c r="O151" s="1511">
        <v>0</v>
      </c>
      <c r="P151" s="1781">
        <v>0</v>
      </c>
      <c r="Q151" s="1512">
        <v>0</v>
      </c>
      <c r="R151" s="1027">
        <v>0</v>
      </c>
      <c r="S151" s="1739"/>
      <c r="T151" s="76"/>
      <c r="U151" s="76"/>
      <c r="V151" s="76"/>
    </row>
    <row r="152" spans="1:24" x14ac:dyDescent="0.2">
      <c r="A152" s="1031">
        <v>322</v>
      </c>
      <c r="B152" s="1031"/>
      <c r="C152" s="1031" t="s">
        <v>151</v>
      </c>
      <c r="D152" s="1056">
        <v>5000</v>
      </c>
      <c r="E152" s="1056">
        <v>5000</v>
      </c>
      <c r="F152" s="1056">
        <v>5000</v>
      </c>
      <c r="G152" s="1056">
        <v>5000</v>
      </c>
      <c r="H152" s="1056">
        <v>5000</v>
      </c>
      <c r="I152" s="1056">
        <v>5000</v>
      </c>
      <c r="J152" s="1027">
        <v>0</v>
      </c>
      <c r="K152" s="1232">
        <v>0</v>
      </c>
      <c r="L152" s="1511">
        <v>0</v>
      </c>
      <c r="M152" s="1511">
        <v>0</v>
      </c>
      <c r="N152" s="1232">
        <v>0</v>
      </c>
      <c r="O152" s="1511">
        <v>0</v>
      </c>
      <c r="P152" s="1781">
        <v>0</v>
      </c>
      <c r="Q152" s="1512">
        <v>0</v>
      </c>
      <c r="R152" s="1027">
        <v>0</v>
      </c>
      <c r="S152" s="1739"/>
      <c r="T152" s="76"/>
      <c r="U152" s="76"/>
      <c r="V152" s="76"/>
    </row>
    <row r="153" spans="1:24" x14ac:dyDescent="0.2">
      <c r="A153" s="1031">
        <v>332</v>
      </c>
      <c r="B153" s="1031"/>
      <c r="C153" s="1031" t="s">
        <v>1007</v>
      </c>
      <c r="D153" s="1056">
        <v>0</v>
      </c>
      <c r="E153" s="1056"/>
      <c r="F153" s="1056">
        <v>0</v>
      </c>
      <c r="G153" s="1056"/>
      <c r="H153" s="1056">
        <v>0</v>
      </c>
      <c r="I153" s="1056"/>
      <c r="J153" s="1027">
        <v>0</v>
      </c>
      <c r="K153" s="1232">
        <v>12460</v>
      </c>
      <c r="L153" s="1511">
        <v>0</v>
      </c>
      <c r="M153" s="1511">
        <v>0</v>
      </c>
      <c r="N153" s="1232">
        <v>0</v>
      </c>
      <c r="O153" s="1511">
        <v>4989</v>
      </c>
      <c r="P153" s="1759">
        <v>5000</v>
      </c>
      <c r="Q153" s="1512">
        <v>0</v>
      </c>
      <c r="R153" s="1027">
        <v>0</v>
      </c>
      <c r="S153" s="1739"/>
      <c r="T153" s="76"/>
      <c r="U153" s="76"/>
      <c r="V153" s="76"/>
    </row>
    <row r="154" spans="1:24" x14ac:dyDescent="0.2">
      <c r="A154" s="1031">
        <v>332</v>
      </c>
      <c r="B154" s="1031"/>
      <c r="C154" s="1031" t="s">
        <v>786</v>
      </c>
      <c r="D154" s="1056">
        <v>49875</v>
      </c>
      <c r="E154" s="1056"/>
      <c r="F154" s="1056">
        <v>49875</v>
      </c>
      <c r="G154" s="1056"/>
      <c r="H154" s="1056">
        <v>49875</v>
      </c>
      <c r="I154" s="1056"/>
      <c r="J154" s="1027">
        <v>0</v>
      </c>
      <c r="K154" s="1232">
        <v>0</v>
      </c>
      <c r="L154" s="1511">
        <v>610000</v>
      </c>
      <c r="M154" s="1511">
        <v>0</v>
      </c>
      <c r="N154" s="1232">
        <v>0</v>
      </c>
      <c r="O154" s="1511">
        <v>0</v>
      </c>
      <c r="P154" s="1781">
        <v>0</v>
      </c>
      <c r="Q154" s="1232"/>
      <c r="R154" s="1028">
        <v>0</v>
      </c>
      <c r="S154" s="1739"/>
      <c r="T154" s="76"/>
      <c r="U154" s="76"/>
      <c r="V154" s="76"/>
    </row>
    <row r="155" spans="1:24" x14ac:dyDescent="0.2">
      <c r="A155" s="1031">
        <v>332</v>
      </c>
      <c r="B155" s="1031"/>
      <c r="C155" s="1031" t="s">
        <v>959</v>
      </c>
      <c r="D155" s="1056">
        <v>0</v>
      </c>
      <c r="E155" s="1056"/>
      <c r="F155" s="1056">
        <v>0</v>
      </c>
      <c r="G155" s="1056"/>
      <c r="H155" s="1056">
        <v>0</v>
      </c>
      <c r="I155" s="1056"/>
      <c r="J155" s="1027">
        <v>5000</v>
      </c>
      <c r="K155" s="1232">
        <v>0</v>
      </c>
      <c r="L155" s="1511">
        <v>0</v>
      </c>
      <c r="M155" s="1511">
        <v>0</v>
      </c>
      <c r="N155" s="1232">
        <v>27000</v>
      </c>
      <c r="O155" s="1511">
        <v>0</v>
      </c>
      <c r="P155" s="1802">
        <v>0</v>
      </c>
      <c r="Q155" s="1512">
        <v>0</v>
      </c>
      <c r="R155" s="1027">
        <v>0</v>
      </c>
      <c r="S155" s="1739"/>
      <c r="T155" s="76"/>
      <c r="U155" s="76"/>
      <c r="V155" s="76"/>
    </row>
    <row r="156" spans="1:24" x14ac:dyDescent="0.2">
      <c r="A156" s="1031">
        <v>239</v>
      </c>
      <c r="B156" s="1031" t="s">
        <v>97</v>
      </c>
      <c r="C156" s="1031" t="s">
        <v>152</v>
      </c>
      <c r="D156" s="1056"/>
      <c r="E156" s="1056"/>
      <c r="F156" s="1056"/>
      <c r="G156" s="1056"/>
      <c r="H156" s="1056"/>
      <c r="I156" s="1056"/>
      <c r="J156" s="1027">
        <v>0</v>
      </c>
      <c r="K156" s="1232">
        <v>0</v>
      </c>
      <c r="L156" s="1511">
        <v>0</v>
      </c>
      <c r="M156" s="1511">
        <v>0</v>
      </c>
      <c r="N156" s="1232">
        <v>0</v>
      </c>
      <c r="O156" s="1511">
        <v>0</v>
      </c>
      <c r="P156" s="1802">
        <v>0</v>
      </c>
      <c r="Q156" s="1512">
        <v>0</v>
      </c>
      <c r="R156" s="1027">
        <v>0</v>
      </c>
      <c r="S156" s="1739"/>
      <c r="T156" s="76"/>
      <c r="U156" s="76"/>
      <c r="V156" s="76"/>
    </row>
    <row r="157" spans="1:24" x14ac:dyDescent="0.2">
      <c r="A157" s="2011" t="s">
        <v>145</v>
      </c>
      <c r="B157" s="2011"/>
      <c r="C157" s="2011"/>
      <c r="D157" s="1792">
        <f>D149+D150+D151+D152+D154</f>
        <v>468649.89</v>
      </c>
      <c r="E157" s="1792">
        <f>SUM(E146:E156)</f>
        <v>338092.73</v>
      </c>
      <c r="F157" s="1792">
        <f>F149+F150+F151+F152+F154</f>
        <v>468649.89</v>
      </c>
      <c r="G157" s="1792">
        <f>SUM(G146:G156)</f>
        <v>338092.73</v>
      </c>
      <c r="H157" s="1792">
        <f>H149+H150+H151+H152+H154</f>
        <v>468649.89</v>
      </c>
      <c r="I157" s="1792">
        <f>SUM(I146:I156)</f>
        <v>338092.73</v>
      </c>
      <c r="J157" s="1549">
        <f>SUM(J146:J156)</f>
        <v>2594090.77</v>
      </c>
      <c r="K157" s="1549">
        <f>K149+K150+K151+K152+K154+K153+K156+K148+K155+K147+K146</f>
        <v>2959330</v>
      </c>
      <c r="L157" s="1549">
        <f>SUM(L146:L156)</f>
        <v>1643074</v>
      </c>
      <c r="M157" s="1549">
        <f>M146+M147+M148+M149+M150+M151+M152+M153+M154+M155+M156</f>
        <v>0</v>
      </c>
      <c r="N157" s="1772">
        <f>SUM(N146,N147,N148,N149,N150,N151,N152,N153,N154,N155,N156)</f>
        <v>27000</v>
      </c>
      <c r="O157" s="1772">
        <f>SUM(O146,O147,O148,O149,O150,O151,O152,O153,O154,O155,O156)</f>
        <v>18989</v>
      </c>
      <c r="P157" s="1775">
        <f>SUM(P146,P147,P148,P149,P150,P151,P152,P153,P154,P155,P156)</f>
        <v>5000</v>
      </c>
      <c r="Q157" s="1772">
        <f>SUM(Q146,Q147,Q148,Q149,Q150,Q151,Q152,Q153,Q154,Q155,Q156)</f>
        <v>0</v>
      </c>
      <c r="R157" s="1549">
        <f>R146+R147+R148+R149+R150+R151+R152+R153+R154+R155+R156</f>
        <v>0</v>
      </c>
      <c r="S157" s="1741"/>
      <c r="T157" s="78"/>
      <c r="U157" s="78"/>
      <c r="V157" s="78"/>
    </row>
    <row r="158" spans="1:24" x14ac:dyDescent="0.2">
      <c r="A158" s="1683" t="s">
        <v>153</v>
      </c>
      <c r="B158" s="1684"/>
      <c r="C158" s="1683"/>
      <c r="D158" s="1803">
        <f>SUM(D135,D157)</f>
        <v>471649.89</v>
      </c>
      <c r="E158" s="1803">
        <f>E157+E135</f>
        <v>338092.73</v>
      </c>
      <c r="F158" s="1803">
        <f>SUM(F135,F157)</f>
        <v>471649.89</v>
      </c>
      <c r="G158" s="1803">
        <f>G157+G135</f>
        <v>338092.73</v>
      </c>
      <c r="H158" s="1803">
        <f>SUM(H135,H157)</f>
        <v>471649.89</v>
      </c>
      <c r="I158" s="1803">
        <f>I157+I135</f>
        <v>338092.73</v>
      </c>
      <c r="J158" s="1704">
        <f>J135+J157</f>
        <v>2604287.5699999998</v>
      </c>
      <c r="K158" s="1704">
        <f>SUM(K135,K157)</f>
        <v>2970920</v>
      </c>
      <c r="L158" s="1704">
        <f>L135+L157+L141</f>
        <v>1696143</v>
      </c>
      <c r="M158" s="1704">
        <f>M135+M157</f>
        <v>23000</v>
      </c>
      <c r="N158" s="1685">
        <f>SUM(N135,N157)</f>
        <v>77000</v>
      </c>
      <c r="O158" s="1685">
        <f>SUM(O135,O157)+O141</f>
        <v>25705</v>
      </c>
      <c r="P158" s="1788">
        <f>SUM(P135,P157)+P141</f>
        <v>55000</v>
      </c>
      <c r="Q158" s="1685">
        <f>SUM(Q135,Q157)</f>
        <v>30000</v>
      </c>
      <c r="R158" s="1704">
        <f>R135+R157</f>
        <v>20000</v>
      </c>
      <c r="S158" s="1742"/>
      <c r="T158" s="83"/>
      <c r="U158" s="83"/>
      <c r="V158" s="83"/>
    </row>
    <row r="159" spans="1:24" x14ac:dyDescent="0.2">
      <c r="P159" s="1311"/>
    </row>
    <row r="160" spans="1:24" hidden="1" x14ac:dyDescent="0.2">
      <c r="P160" s="1311"/>
    </row>
    <row r="161" spans="3:16" hidden="1" x14ac:dyDescent="0.2">
      <c r="P161" s="1311"/>
    </row>
    <row r="162" spans="3:16" hidden="1" x14ac:dyDescent="0.2">
      <c r="P162" s="1311"/>
    </row>
    <row r="163" spans="3:16" hidden="1" x14ac:dyDescent="0.2">
      <c r="P163" s="1311"/>
    </row>
    <row r="164" spans="3:16" hidden="1" x14ac:dyDescent="0.2">
      <c r="P164" s="1311"/>
    </row>
    <row r="165" spans="3:16" hidden="1" x14ac:dyDescent="0.2">
      <c r="P165" s="1311"/>
    </row>
    <row r="166" spans="3:16" hidden="1" x14ac:dyDescent="0.2">
      <c r="P166" s="1311"/>
    </row>
    <row r="167" spans="3:16" hidden="1" x14ac:dyDescent="0.2">
      <c r="P167" s="1311"/>
    </row>
    <row r="168" spans="3:16" hidden="1" x14ac:dyDescent="0.2">
      <c r="P168" s="1311"/>
    </row>
    <row r="169" spans="3:16" hidden="1" x14ac:dyDescent="0.2">
      <c r="P169" s="1311"/>
    </row>
    <row r="170" spans="3:16" hidden="1" x14ac:dyDescent="0.2">
      <c r="P170" s="1311"/>
    </row>
    <row r="171" spans="3:16" hidden="1" x14ac:dyDescent="0.2">
      <c r="P171" s="1311"/>
    </row>
    <row r="172" spans="3:16" hidden="1" x14ac:dyDescent="0.2">
      <c r="P172" s="1311"/>
    </row>
    <row r="173" spans="3:16" hidden="1" x14ac:dyDescent="0.2">
      <c r="P173" s="1311"/>
    </row>
    <row r="174" spans="3:16" x14ac:dyDescent="0.2">
      <c r="P174" s="1311"/>
    </row>
    <row r="175" spans="3:16" x14ac:dyDescent="0.2">
      <c r="C175" s="462" t="s">
        <v>85</v>
      </c>
      <c r="P175" s="1311"/>
    </row>
    <row r="176" spans="3:16" ht="15.75" hidden="1" x14ac:dyDescent="0.25">
      <c r="C176" s="84"/>
    </row>
    <row r="177" spans="1:22" ht="15.75" x14ac:dyDescent="0.25">
      <c r="C177" s="84"/>
      <c r="H177" s="85" t="s">
        <v>154</v>
      </c>
      <c r="I177" s="85"/>
      <c r="J177" s="86"/>
      <c r="K177" s="86"/>
      <c r="L177" s="86"/>
      <c r="M177" s="2009" t="s">
        <v>154</v>
      </c>
      <c r="N177" s="2009"/>
      <c r="O177" s="2009"/>
      <c r="P177" s="2009"/>
      <c r="Q177" s="2009"/>
      <c r="R177" s="2009"/>
      <c r="S177" s="1743"/>
      <c r="T177" s="86"/>
      <c r="U177" s="86"/>
      <c r="V177" s="86"/>
    </row>
    <row r="178" spans="1:22" ht="13.5" hidden="1" thickBot="1" x14ac:dyDescent="0.25"/>
    <row r="179" spans="1:22" ht="23.25" customHeight="1" x14ac:dyDescent="0.2">
      <c r="A179" s="1761" t="s">
        <v>85</v>
      </c>
      <c r="B179" s="1789"/>
      <c r="C179" s="1763"/>
      <c r="D179" s="1790" t="s">
        <v>147</v>
      </c>
      <c r="E179" s="1791" t="s">
        <v>148</v>
      </c>
      <c r="F179" s="1790" t="s">
        <v>147</v>
      </c>
      <c r="G179" s="1791" t="s">
        <v>148</v>
      </c>
      <c r="H179" s="1790" t="s">
        <v>147</v>
      </c>
      <c r="I179" s="1791" t="s">
        <v>148</v>
      </c>
      <c r="J179" s="1785">
        <v>2018</v>
      </c>
      <c r="K179" s="1540" t="s">
        <v>909</v>
      </c>
      <c r="L179" s="1540">
        <v>2021</v>
      </c>
      <c r="M179" s="1766">
        <v>2022</v>
      </c>
      <c r="N179" s="1767">
        <v>2023</v>
      </c>
      <c r="O179" s="1767" t="s">
        <v>981</v>
      </c>
      <c r="P179" s="1768">
        <v>2024</v>
      </c>
      <c r="Q179" s="1769">
        <v>2025</v>
      </c>
      <c r="R179" s="1769">
        <v>2026</v>
      </c>
      <c r="S179" s="1735"/>
      <c r="T179" s="54"/>
      <c r="U179" s="54"/>
      <c r="V179" s="55"/>
    </row>
    <row r="180" spans="1:22" ht="15.6" customHeight="1" x14ac:dyDescent="0.2">
      <c r="A180" s="1071">
        <v>453</v>
      </c>
      <c r="B180" s="1243"/>
      <c r="C180" s="1093" t="s">
        <v>805</v>
      </c>
      <c r="D180" s="1804"/>
      <c r="E180" s="1805"/>
      <c r="F180" s="1804"/>
      <c r="G180" s="1805"/>
      <c r="H180" s="1804"/>
      <c r="I180" s="1805"/>
      <c r="J180" s="1278">
        <v>10000</v>
      </c>
      <c r="K180" s="1672"/>
      <c r="L180" s="1511">
        <v>400</v>
      </c>
      <c r="M180" s="1234">
        <v>400</v>
      </c>
      <c r="N180" s="1234">
        <v>0</v>
      </c>
      <c r="O180" s="1234">
        <v>0</v>
      </c>
      <c r="P180" s="1770">
        <v>0</v>
      </c>
      <c r="Q180" s="1234">
        <v>0</v>
      </c>
      <c r="R180" s="1234">
        <v>0</v>
      </c>
      <c r="S180" s="1735"/>
      <c r="T180" s="54"/>
      <c r="U180" s="54"/>
      <c r="V180" s="55"/>
    </row>
    <row r="181" spans="1:22" ht="15.6" customHeight="1" x14ac:dyDescent="0.2">
      <c r="A181" s="1071">
        <v>453</v>
      </c>
      <c r="B181" s="1243"/>
      <c r="C181" s="1093" t="s">
        <v>857</v>
      </c>
      <c r="D181" s="1804"/>
      <c r="E181" s="1805"/>
      <c r="F181" s="1804"/>
      <c r="G181" s="1805"/>
      <c r="H181" s="1804"/>
      <c r="I181" s="1805"/>
      <c r="J181" s="1278"/>
      <c r="K181" s="1234"/>
      <c r="L181" s="1511">
        <v>3088</v>
      </c>
      <c r="M181" s="1234">
        <v>0</v>
      </c>
      <c r="N181" s="1234">
        <v>0</v>
      </c>
      <c r="O181" s="1234">
        <v>0</v>
      </c>
      <c r="P181" s="1770">
        <v>0</v>
      </c>
      <c r="Q181" s="1234"/>
      <c r="R181" s="1234"/>
      <c r="S181" s="1735"/>
      <c r="T181" s="54"/>
      <c r="U181" s="54"/>
      <c r="V181" s="55"/>
    </row>
    <row r="182" spans="1:22" ht="15.6" customHeight="1" x14ac:dyDescent="0.2">
      <c r="A182" s="1071"/>
      <c r="B182" s="1243"/>
      <c r="C182" s="1093" t="s">
        <v>957</v>
      </c>
      <c r="D182" s="1804"/>
      <c r="E182" s="1805"/>
      <c r="F182" s="1804"/>
      <c r="G182" s="1805"/>
      <c r="H182" s="1804"/>
      <c r="I182" s="1805"/>
      <c r="J182" s="1278"/>
      <c r="K182" s="1234"/>
      <c r="L182" s="1511">
        <v>5240</v>
      </c>
      <c r="M182" s="1234">
        <v>79686</v>
      </c>
      <c r="N182" s="1234">
        <v>0</v>
      </c>
      <c r="O182" s="1234">
        <v>0</v>
      </c>
      <c r="P182" s="1770">
        <v>0</v>
      </c>
      <c r="Q182" s="1234"/>
      <c r="R182" s="1234"/>
      <c r="S182" s="1735"/>
      <c r="T182" s="54"/>
      <c r="U182" s="54"/>
      <c r="V182" s="55"/>
    </row>
    <row r="183" spans="1:22" ht="15.6" customHeight="1" x14ac:dyDescent="0.2">
      <c r="A183" s="1071"/>
      <c r="B183" s="1243"/>
      <c r="C183" s="1093" t="s">
        <v>831</v>
      </c>
      <c r="D183" s="1804"/>
      <c r="E183" s="1805"/>
      <c r="F183" s="1804"/>
      <c r="G183" s="1805"/>
      <c r="H183" s="1804"/>
      <c r="I183" s="1805"/>
      <c r="J183" s="1278"/>
      <c r="K183" s="1234">
        <v>11712</v>
      </c>
      <c r="L183" s="1511">
        <v>20683</v>
      </c>
      <c r="M183" s="1234">
        <v>23287</v>
      </c>
      <c r="N183" s="1234">
        <v>0</v>
      </c>
      <c r="O183" s="1234">
        <v>2777</v>
      </c>
      <c r="P183" s="1770">
        <v>0</v>
      </c>
      <c r="Q183" s="1234"/>
      <c r="R183" s="1234"/>
      <c r="S183" s="1735"/>
      <c r="T183" s="54"/>
      <c r="U183" s="54"/>
      <c r="V183" s="55"/>
    </row>
    <row r="184" spans="1:22" ht="15.6" customHeight="1" x14ac:dyDescent="0.2">
      <c r="A184" s="1071"/>
      <c r="B184" s="1243"/>
      <c r="C184" s="1093" t="s">
        <v>908</v>
      </c>
      <c r="D184" s="1804"/>
      <c r="E184" s="1805"/>
      <c r="F184" s="1804"/>
      <c r="G184" s="1805"/>
      <c r="H184" s="1804"/>
      <c r="I184" s="1805"/>
      <c r="J184" s="1278"/>
      <c r="K184" s="1234">
        <v>8000</v>
      </c>
      <c r="L184" s="1531">
        <v>12539</v>
      </c>
      <c r="M184" s="1234">
        <v>0</v>
      </c>
      <c r="N184" s="1234">
        <v>0</v>
      </c>
      <c r="O184" s="1234">
        <v>301</v>
      </c>
      <c r="P184" s="1299">
        <v>0</v>
      </c>
      <c r="Q184" s="1234"/>
      <c r="R184" s="1234"/>
      <c r="S184" s="1735"/>
      <c r="T184" s="54"/>
      <c r="U184" s="54"/>
      <c r="V184" s="55"/>
    </row>
    <row r="185" spans="1:22" ht="15.6" customHeight="1" x14ac:dyDescent="0.2">
      <c r="A185" s="1071"/>
      <c r="B185" s="1243"/>
      <c r="C185" s="1093" t="s">
        <v>986</v>
      </c>
      <c r="D185" s="1804"/>
      <c r="E185" s="1805"/>
      <c r="F185" s="1804"/>
      <c r="G185" s="1805"/>
      <c r="H185" s="1804"/>
      <c r="I185" s="1805"/>
      <c r="J185" s="1278"/>
      <c r="K185" s="1234">
        <v>29961</v>
      </c>
      <c r="L185" s="1531">
        <v>0</v>
      </c>
      <c r="M185" s="1234">
        <v>0</v>
      </c>
      <c r="N185" s="1234">
        <v>0</v>
      </c>
      <c r="O185" s="1234">
        <v>4299</v>
      </c>
      <c r="P185" s="1299">
        <v>0</v>
      </c>
      <c r="Q185" s="1234"/>
      <c r="R185" s="1234"/>
      <c r="S185" s="1735"/>
      <c r="T185" s="54"/>
      <c r="U185" s="54"/>
      <c r="V185" s="55"/>
    </row>
    <row r="186" spans="1:22" ht="15.6" customHeight="1" x14ac:dyDescent="0.2">
      <c r="A186" s="1031">
        <v>411</v>
      </c>
      <c r="B186" s="1031"/>
      <c r="C186" s="1031" t="s">
        <v>985</v>
      </c>
      <c r="D186" s="1804"/>
      <c r="E186" s="1805"/>
      <c r="F186" s="1804"/>
      <c r="G186" s="1805"/>
      <c r="H186" s="1804"/>
      <c r="I186" s="1805"/>
      <c r="J186" s="1027">
        <v>3908.02</v>
      </c>
      <c r="K186" s="1232">
        <v>2970</v>
      </c>
      <c r="L186" s="1511">
        <v>1900</v>
      </c>
      <c r="M186" s="1232">
        <v>1000</v>
      </c>
      <c r="N186" s="1232">
        <v>0</v>
      </c>
      <c r="O186" s="1232">
        <v>2024</v>
      </c>
      <c r="P186" s="1770">
        <v>0</v>
      </c>
      <c r="Q186" s="1512"/>
      <c r="R186" s="1235"/>
      <c r="S186" s="1735"/>
      <c r="T186" s="54"/>
      <c r="U186" s="54"/>
      <c r="V186" s="55"/>
    </row>
    <row r="187" spans="1:22" ht="15.6" customHeight="1" x14ac:dyDescent="0.2">
      <c r="A187" s="1031">
        <v>453</v>
      </c>
      <c r="B187" s="1031"/>
      <c r="C187" s="1031" t="s">
        <v>984</v>
      </c>
      <c r="D187" s="1804"/>
      <c r="E187" s="1805"/>
      <c r="F187" s="1804"/>
      <c r="G187" s="1805"/>
      <c r="H187" s="1804"/>
      <c r="I187" s="1805"/>
      <c r="J187" s="1027"/>
      <c r="K187" s="1232">
        <v>34600</v>
      </c>
      <c r="L187" s="1511">
        <v>6103</v>
      </c>
      <c r="M187" s="1232">
        <v>40000</v>
      </c>
      <c r="N187" s="1232">
        <v>0</v>
      </c>
      <c r="O187" s="1232">
        <v>27000</v>
      </c>
      <c r="P187" s="1781">
        <v>0</v>
      </c>
      <c r="Q187" s="1232"/>
      <c r="R187" s="1235"/>
      <c r="S187" s="1735"/>
      <c r="T187" s="54"/>
      <c r="U187" s="54"/>
      <c r="V187" s="55"/>
    </row>
    <row r="188" spans="1:22" ht="15.6" customHeight="1" x14ac:dyDescent="0.2">
      <c r="A188" s="1031">
        <v>453</v>
      </c>
      <c r="B188" s="1031"/>
      <c r="C188" s="1031" t="s">
        <v>983</v>
      </c>
      <c r="D188" s="1804"/>
      <c r="E188" s="1805"/>
      <c r="F188" s="1804"/>
      <c r="G188" s="1805"/>
      <c r="H188" s="1804"/>
      <c r="I188" s="1805"/>
      <c r="J188" s="1027"/>
      <c r="K188" s="1232">
        <v>62602</v>
      </c>
      <c r="L188" s="1511">
        <v>0</v>
      </c>
      <c r="M188" s="1232">
        <v>24878</v>
      </c>
      <c r="N188" s="1232">
        <v>0</v>
      </c>
      <c r="O188" s="1232">
        <v>0</v>
      </c>
      <c r="P188" s="1781">
        <v>0</v>
      </c>
      <c r="Q188" s="1232"/>
      <c r="R188" s="1235"/>
      <c r="S188" s="1735"/>
      <c r="T188" s="54"/>
      <c r="U188" s="54"/>
      <c r="V188" s="55"/>
    </row>
    <row r="189" spans="1:22" ht="15.6" customHeight="1" x14ac:dyDescent="0.2">
      <c r="A189" s="1031">
        <v>453</v>
      </c>
      <c r="B189" s="1031"/>
      <c r="C189" s="1031" t="s">
        <v>632</v>
      </c>
      <c r="D189" s="1804"/>
      <c r="E189" s="1805"/>
      <c r="F189" s="1804"/>
      <c r="G189" s="1805"/>
      <c r="H189" s="1804"/>
      <c r="I189" s="1805"/>
      <c r="J189" s="1027"/>
      <c r="K189" s="1232"/>
      <c r="L189" s="1511">
        <v>9955</v>
      </c>
      <c r="M189" s="1232">
        <v>2316</v>
      </c>
      <c r="N189" s="1232">
        <v>0</v>
      </c>
      <c r="O189" s="1232">
        <v>2800</v>
      </c>
      <c r="P189" s="1781">
        <v>0</v>
      </c>
      <c r="Q189" s="1232"/>
      <c r="R189" s="1235"/>
      <c r="S189" s="1735"/>
      <c r="T189" s="54"/>
      <c r="U189" s="54"/>
      <c r="V189" s="55"/>
    </row>
    <row r="190" spans="1:22" ht="15.6" customHeight="1" x14ac:dyDescent="0.2">
      <c r="A190" s="1031">
        <v>454</v>
      </c>
      <c r="B190" s="1031" t="s">
        <v>94</v>
      </c>
      <c r="C190" s="1031" t="s">
        <v>982</v>
      </c>
      <c r="D190" s="1804"/>
      <c r="E190" s="1805"/>
      <c r="F190" s="1804"/>
      <c r="G190" s="1805"/>
      <c r="H190" s="1804"/>
      <c r="I190" s="1805"/>
      <c r="J190" s="1027">
        <v>0</v>
      </c>
      <c r="K190" s="1232">
        <v>0</v>
      </c>
      <c r="L190" s="1511">
        <v>37440</v>
      </c>
      <c r="M190" s="1232">
        <v>20539</v>
      </c>
      <c r="N190" s="1232">
        <v>0</v>
      </c>
      <c r="O190" s="1232">
        <v>22434</v>
      </c>
      <c r="P190" s="1781">
        <v>10000</v>
      </c>
      <c r="Q190" s="1512">
        <v>0</v>
      </c>
      <c r="R190" s="1235">
        <v>0</v>
      </c>
      <c r="S190" s="1735"/>
      <c r="T190" s="54"/>
      <c r="U190" s="54"/>
      <c r="V190" s="55"/>
    </row>
    <row r="191" spans="1:22" x14ac:dyDescent="0.2">
      <c r="A191" s="1031">
        <v>454</v>
      </c>
      <c r="B191" s="1031" t="s">
        <v>97</v>
      </c>
      <c r="C191" s="1031" t="s">
        <v>156</v>
      </c>
      <c r="D191" s="1056"/>
      <c r="E191" s="1031"/>
      <c r="F191" s="1056"/>
      <c r="G191" s="1031"/>
      <c r="H191" s="1056"/>
      <c r="I191" s="1031"/>
      <c r="J191" s="1027">
        <v>16000</v>
      </c>
      <c r="K191" s="1232">
        <v>0</v>
      </c>
      <c r="L191" s="1511">
        <v>0</v>
      </c>
      <c r="M191" s="1232">
        <v>0</v>
      </c>
      <c r="N191" s="1232">
        <v>0</v>
      </c>
      <c r="O191" s="1232">
        <v>0</v>
      </c>
      <c r="P191" s="1781">
        <v>0</v>
      </c>
      <c r="Q191" s="1512">
        <v>0</v>
      </c>
      <c r="R191" s="1235">
        <v>0</v>
      </c>
      <c r="S191" s="1739"/>
      <c r="T191" s="76"/>
      <c r="U191" s="76"/>
      <c r="V191" s="76"/>
    </row>
    <row r="192" spans="1:22" x14ac:dyDescent="0.2">
      <c r="A192" s="1031">
        <v>456</v>
      </c>
      <c r="B192" s="1031" t="s">
        <v>97</v>
      </c>
      <c r="C192" s="1031" t="s">
        <v>858</v>
      </c>
      <c r="D192" s="1056"/>
      <c r="E192" s="1031"/>
      <c r="F192" s="1056"/>
      <c r="G192" s="1031"/>
      <c r="H192" s="1056"/>
      <c r="I192" s="1031"/>
      <c r="J192" s="1027"/>
      <c r="K192" s="1234">
        <v>17000</v>
      </c>
      <c r="L192" s="1511">
        <v>0</v>
      </c>
      <c r="M192" s="1232">
        <v>0</v>
      </c>
      <c r="N192" s="1232">
        <v>0</v>
      </c>
      <c r="O192" s="1232">
        <v>10174</v>
      </c>
      <c r="P192" s="1781">
        <v>0</v>
      </c>
      <c r="Q192" s="1512">
        <v>0</v>
      </c>
      <c r="R192" s="1235">
        <v>0</v>
      </c>
      <c r="S192" s="1739"/>
      <c r="T192" s="76"/>
      <c r="U192" s="76"/>
      <c r="V192" s="76"/>
    </row>
    <row r="193" spans="1:22" x14ac:dyDescent="0.2">
      <c r="A193" s="1031">
        <v>456</v>
      </c>
      <c r="B193" s="1031" t="s">
        <v>120</v>
      </c>
      <c r="C193" s="1031" t="s">
        <v>806</v>
      </c>
      <c r="D193" s="1056"/>
      <c r="E193" s="1031"/>
      <c r="F193" s="1056"/>
      <c r="G193" s="1031"/>
      <c r="H193" s="1056"/>
      <c r="I193" s="1031"/>
      <c r="J193" s="1027">
        <v>16</v>
      </c>
      <c r="K193" s="1232">
        <v>18</v>
      </c>
      <c r="L193" s="1511">
        <v>10</v>
      </c>
      <c r="M193" s="1232">
        <v>0</v>
      </c>
      <c r="N193" s="1232">
        <v>0</v>
      </c>
      <c r="O193" s="1232">
        <v>0</v>
      </c>
      <c r="P193" s="1770">
        <v>0</v>
      </c>
      <c r="Q193" s="1512">
        <v>0</v>
      </c>
      <c r="R193" s="1235">
        <v>0</v>
      </c>
      <c r="S193" s="1739"/>
      <c r="T193" s="76"/>
      <c r="U193" s="76"/>
      <c r="V193" s="76"/>
    </row>
    <row r="194" spans="1:22" x14ac:dyDescent="0.2">
      <c r="A194" s="1806" t="s">
        <v>157</v>
      </c>
      <c r="B194" s="1806"/>
      <c r="C194" s="1806"/>
      <c r="D194" s="1792">
        <f>SUM(D191,D192,D193)</f>
        <v>0</v>
      </c>
      <c r="E194" s="1061"/>
      <c r="F194" s="1792">
        <f>SUM(F191,F192,F193)</f>
        <v>0</v>
      </c>
      <c r="G194" s="1061"/>
      <c r="H194" s="1792">
        <f>SUM(H191,H192,H193)</f>
        <v>0</v>
      </c>
      <c r="I194" s="1061"/>
      <c r="J194" s="1549">
        <f>SUM(J180:J193)</f>
        <v>29924.02</v>
      </c>
      <c r="K194" s="1549">
        <f>SUM(K180:K193)</f>
        <v>166863</v>
      </c>
      <c r="L194" s="1549">
        <f>SUM(L181:L193)+L180</f>
        <v>97358</v>
      </c>
      <c r="M194" s="1549">
        <f t="shared" ref="M194:R194" si="2">SUM(M180:M193)</f>
        <v>192106</v>
      </c>
      <c r="N194" s="1549">
        <f t="shared" si="2"/>
        <v>0</v>
      </c>
      <c r="O194" s="1549">
        <f t="shared" si="2"/>
        <v>71809</v>
      </c>
      <c r="P194" s="1775">
        <f>SUM(P180:P193)</f>
        <v>10000</v>
      </c>
      <c r="Q194" s="1549">
        <f t="shared" si="2"/>
        <v>0</v>
      </c>
      <c r="R194" s="1549">
        <f t="shared" si="2"/>
        <v>0</v>
      </c>
      <c r="S194" s="1741"/>
      <c r="T194" s="78"/>
      <c r="U194" s="78"/>
      <c r="V194" s="78"/>
    </row>
    <row r="195" spans="1:22" x14ac:dyDescent="0.2">
      <c r="A195" s="41"/>
      <c r="B195" s="41"/>
      <c r="C195" s="41"/>
      <c r="D195" s="79"/>
      <c r="E195" s="79"/>
      <c r="F195" s="79"/>
      <c r="G195" s="87"/>
      <c r="H195" s="79"/>
      <c r="I195" s="79"/>
      <c r="J195" s="79"/>
      <c r="K195" s="79"/>
      <c r="L195" s="79"/>
      <c r="M195" s="52"/>
      <c r="P195" s="1311"/>
    </row>
    <row r="196" spans="1:22" x14ac:dyDescent="0.2">
      <c r="A196" s="41"/>
      <c r="B196" s="41"/>
      <c r="C196" s="41"/>
      <c r="D196" s="79"/>
      <c r="E196" s="79"/>
      <c r="F196" s="79"/>
      <c r="G196" s="87"/>
      <c r="H196" s="79"/>
      <c r="I196" s="79"/>
      <c r="J196" s="79"/>
      <c r="K196" s="79"/>
      <c r="L196" s="79"/>
      <c r="M196" s="52"/>
      <c r="P196" s="1311"/>
    </row>
    <row r="197" spans="1:22" x14ac:dyDescent="0.2">
      <c r="A197" s="41"/>
      <c r="B197" s="41"/>
      <c r="C197" s="41"/>
      <c r="D197" s="79"/>
      <c r="E197" s="79"/>
      <c r="F197" s="79"/>
      <c r="G197" s="87"/>
      <c r="H197" s="79"/>
      <c r="I197" s="79"/>
      <c r="J197" s="79"/>
      <c r="K197" s="79"/>
      <c r="L197" s="79"/>
      <c r="M197" s="52"/>
      <c r="P197" s="1311"/>
    </row>
    <row r="198" spans="1:22" x14ac:dyDescent="0.2">
      <c r="A198" s="41"/>
      <c r="B198" s="41"/>
      <c r="C198" s="41"/>
      <c r="D198" s="832" t="s">
        <v>158</v>
      </c>
      <c r="E198" s="832"/>
      <c r="F198" s="832"/>
      <c r="G198" s="832"/>
      <c r="H198" s="832"/>
      <c r="I198" s="832"/>
      <c r="J198" s="833"/>
      <c r="K198" s="833"/>
      <c r="L198" s="833"/>
      <c r="M198" s="2009" t="s">
        <v>158</v>
      </c>
      <c r="N198" s="2009"/>
      <c r="O198" s="2009"/>
      <c r="P198" s="2009"/>
      <c r="Q198" s="2009"/>
      <c r="R198" s="2009"/>
      <c r="S198" s="1744"/>
      <c r="T198" s="88"/>
      <c r="U198" s="88"/>
      <c r="V198" s="89"/>
    </row>
    <row r="199" spans="1:22" x14ac:dyDescent="0.2">
      <c r="A199" s="41"/>
      <c r="B199" s="41"/>
      <c r="C199" s="41"/>
      <c r="D199" s="79"/>
      <c r="E199" s="79"/>
      <c r="F199" s="79"/>
      <c r="G199" s="87"/>
      <c r="H199" s="79"/>
      <c r="I199" s="79"/>
      <c r="J199" s="79"/>
      <c r="K199" s="79"/>
      <c r="L199" s="79"/>
      <c r="M199" s="52"/>
      <c r="P199" s="1311"/>
    </row>
    <row r="200" spans="1:22" ht="23.25" customHeight="1" x14ac:dyDescent="0.2">
      <c r="A200" s="1761" t="s">
        <v>85</v>
      </c>
      <c r="B200" s="1789"/>
      <c r="C200" s="1763"/>
      <c r="D200" s="1790" t="s">
        <v>147</v>
      </c>
      <c r="E200" s="1791" t="s">
        <v>148</v>
      </c>
      <c r="F200" s="1790" t="s">
        <v>147</v>
      </c>
      <c r="G200" s="1791" t="s">
        <v>148</v>
      </c>
      <c r="H200" s="1790" t="s">
        <v>147</v>
      </c>
      <c r="I200" s="1791" t="s">
        <v>148</v>
      </c>
      <c r="J200" s="1785">
        <v>2018</v>
      </c>
      <c r="K200" s="1540" t="s">
        <v>909</v>
      </c>
      <c r="L200" s="1540">
        <v>2021</v>
      </c>
      <c r="M200" s="1766">
        <v>2022</v>
      </c>
      <c r="N200" s="1767">
        <v>2023</v>
      </c>
      <c r="O200" s="1767" t="s">
        <v>981</v>
      </c>
      <c r="P200" s="1768">
        <v>2024</v>
      </c>
      <c r="Q200" s="1769">
        <v>2025</v>
      </c>
      <c r="R200" s="1769">
        <v>2026</v>
      </c>
      <c r="S200" s="1735"/>
      <c r="T200" s="54"/>
      <c r="U200" s="54"/>
      <c r="V200" s="55"/>
    </row>
    <row r="201" spans="1:22" x14ac:dyDescent="0.2">
      <c r="A201" s="1031">
        <v>513</v>
      </c>
      <c r="B201" s="1031" t="s">
        <v>97</v>
      </c>
      <c r="C201" s="1031" t="s">
        <v>86</v>
      </c>
      <c r="D201" s="1056">
        <v>310000</v>
      </c>
      <c r="E201" s="1276">
        <v>240110.47</v>
      </c>
      <c r="F201" s="1056">
        <v>310000</v>
      </c>
      <c r="G201" s="1276">
        <v>240110.47</v>
      </c>
      <c r="H201" s="1056">
        <v>310000</v>
      </c>
      <c r="I201" s="1276">
        <v>240110.47</v>
      </c>
      <c r="J201" s="1027">
        <v>3443706.4</v>
      </c>
      <c r="K201" s="1232">
        <v>2662858</v>
      </c>
      <c r="L201" s="1511">
        <v>0</v>
      </c>
      <c r="M201" s="1235">
        <v>0</v>
      </c>
      <c r="N201" s="1232">
        <v>0</v>
      </c>
      <c r="O201" s="1232">
        <v>0</v>
      </c>
      <c r="P201" s="1781">
        <v>0</v>
      </c>
      <c r="Q201" s="1807">
        <v>0</v>
      </c>
      <c r="R201" s="1028">
        <v>0</v>
      </c>
      <c r="S201" s="1739"/>
      <c r="T201" s="76"/>
      <c r="U201" s="76"/>
      <c r="V201" s="76"/>
    </row>
    <row r="202" spans="1:22" x14ac:dyDescent="0.2">
      <c r="A202" s="1031">
        <v>514</v>
      </c>
      <c r="B202" s="1031" t="s">
        <v>97</v>
      </c>
      <c r="C202" s="1031" t="s">
        <v>832</v>
      </c>
      <c r="D202" s="1056"/>
      <c r="E202" s="1027">
        <v>0</v>
      </c>
      <c r="F202" s="1056"/>
      <c r="G202" s="1027">
        <v>0</v>
      </c>
      <c r="H202" s="1056"/>
      <c r="I202" s="1027">
        <v>0</v>
      </c>
      <c r="J202" s="1027">
        <v>0</v>
      </c>
      <c r="K202" s="1232">
        <v>51231</v>
      </c>
      <c r="L202" s="1511">
        <v>0</v>
      </c>
      <c r="M202" s="1235">
        <v>0</v>
      </c>
      <c r="N202" s="1232">
        <v>0</v>
      </c>
      <c r="O202" s="1232">
        <v>0</v>
      </c>
      <c r="P202" s="1781">
        <v>0</v>
      </c>
      <c r="Q202" s="1033">
        <v>0</v>
      </c>
      <c r="R202" s="1027">
        <v>0</v>
      </c>
      <c r="S202" s="1739"/>
      <c r="T202" s="76"/>
      <c r="U202" s="76"/>
      <c r="V202" s="76"/>
    </row>
    <row r="203" spans="1:22" x14ac:dyDescent="0.2">
      <c r="A203" s="1031">
        <v>513</v>
      </c>
      <c r="B203" s="1031" t="s">
        <v>92</v>
      </c>
      <c r="C203" s="1031" t="s">
        <v>958</v>
      </c>
      <c r="D203" s="1056"/>
      <c r="E203" s="1027"/>
      <c r="F203" s="1056"/>
      <c r="G203" s="1027"/>
      <c r="H203" s="1056"/>
      <c r="I203" s="1027"/>
      <c r="J203" s="1027"/>
      <c r="K203" s="1232"/>
      <c r="L203" s="1511">
        <v>0</v>
      </c>
      <c r="M203" s="1235"/>
      <c r="N203" s="1232">
        <v>0</v>
      </c>
      <c r="O203" s="1232">
        <v>56582</v>
      </c>
      <c r="P203" s="1781"/>
      <c r="Q203" s="1033"/>
      <c r="R203" s="1027"/>
      <c r="S203" s="1739"/>
      <c r="T203" s="76"/>
      <c r="U203" s="76"/>
      <c r="V203" s="76"/>
    </row>
    <row r="204" spans="1:22" x14ac:dyDescent="0.2">
      <c r="A204" s="1031">
        <v>513</v>
      </c>
      <c r="B204" s="1031" t="s">
        <v>97</v>
      </c>
      <c r="C204" s="1031" t="s">
        <v>859</v>
      </c>
      <c r="D204" s="1056"/>
      <c r="E204" s="1027"/>
      <c r="F204" s="1056"/>
      <c r="G204" s="1027"/>
      <c r="H204" s="1056"/>
      <c r="I204" s="1027"/>
      <c r="J204" s="1027"/>
      <c r="K204" s="1232"/>
      <c r="L204" s="1235">
        <v>150000</v>
      </c>
      <c r="M204" s="1235"/>
      <c r="N204" s="1232">
        <v>0</v>
      </c>
      <c r="O204" s="1232">
        <v>0</v>
      </c>
      <c r="P204" s="1770">
        <v>0</v>
      </c>
      <c r="Q204" s="1033"/>
      <c r="R204" s="1027"/>
      <c r="S204" s="1739"/>
      <c r="T204" s="76"/>
      <c r="U204" s="76"/>
      <c r="V204" s="76"/>
    </row>
    <row r="205" spans="1:22" x14ac:dyDescent="0.2">
      <c r="A205" s="1806" t="s">
        <v>159</v>
      </c>
      <c r="B205" s="1806"/>
      <c r="C205" s="1806"/>
      <c r="D205" s="1792">
        <f>SUM(D201,D202)</f>
        <v>310000</v>
      </c>
      <c r="E205" s="1792">
        <f>E201+E202</f>
        <v>240110.47</v>
      </c>
      <c r="F205" s="1792">
        <f>SUM(F201,F202)</f>
        <v>310000</v>
      </c>
      <c r="G205" s="1792">
        <f>G201+G202</f>
        <v>240110.47</v>
      </c>
      <c r="H205" s="1792">
        <f>SUM(H201,H202)</f>
        <v>310000</v>
      </c>
      <c r="I205" s="1792">
        <f>I201+I202</f>
        <v>240110.47</v>
      </c>
      <c r="J205" s="1549">
        <f>SUM(J201:J202)</f>
        <v>3443706.4</v>
      </c>
      <c r="K205" s="1549">
        <f>SUM(K201,K202)</f>
        <v>2714089</v>
      </c>
      <c r="L205" s="1549">
        <f>SUM(L201:L202)+L204</f>
        <v>150000</v>
      </c>
      <c r="M205" s="1549">
        <f>M201+M202</f>
        <v>0</v>
      </c>
      <c r="N205" s="1549">
        <f>N201+N202+N204+N203</f>
        <v>0</v>
      </c>
      <c r="O205" s="1549">
        <f>O201+O202+O204+O203</f>
        <v>56582</v>
      </c>
      <c r="P205" s="1775">
        <f>P201+P202+P204</f>
        <v>0</v>
      </c>
      <c r="Q205" s="1549">
        <f>Q201</f>
        <v>0</v>
      </c>
      <c r="R205" s="1549">
        <f>R201+R202</f>
        <v>0</v>
      </c>
      <c r="S205" s="1741"/>
      <c r="T205" s="78"/>
      <c r="U205" s="78"/>
      <c r="V205" s="78"/>
    </row>
    <row r="206" spans="1:22" x14ac:dyDescent="0.2">
      <c r="A206" s="1683" t="s">
        <v>85</v>
      </c>
      <c r="B206" s="1684"/>
      <c r="C206" s="1683"/>
      <c r="D206" s="1803">
        <f>SUM(D194,D205)</f>
        <v>310000</v>
      </c>
      <c r="E206" s="1803">
        <f>E194+E205</f>
        <v>240110.47</v>
      </c>
      <c r="F206" s="1803">
        <f>SUM(F194,F205)</f>
        <v>310000</v>
      </c>
      <c r="G206" s="1803">
        <f>G194+G205</f>
        <v>240110.47</v>
      </c>
      <c r="H206" s="1803">
        <f>SUM(H194,H205)</f>
        <v>310000</v>
      </c>
      <c r="I206" s="1803">
        <f>I194+I205</f>
        <v>240110.47</v>
      </c>
      <c r="J206" s="1704">
        <f>J194+J205</f>
        <v>3473630.42</v>
      </c>
      <c r="K206" s="1704">
        <f>SUM(K194,K205)</f>
        <v>2880952</v>
      </c>
      <c r="L206" s="1704">
        <f>L194+L205</f>
        <v>247358</v>
      </c>
      <c r="M206" s="1704">
        <f>M194+M205</f>
        <v>192106</v>
      </c>
      <c r="N206" s="1685">
        <f>SUM(N194,N205)</f>
        <v>0</v>
      </c>
      <c r="O206" s="1685">
        <f>SUM(O194,O205)</f>
        <v>128391</v>
      </c>
      <c r="P206" s="1788">
        <f>SUM(P194,P205)</f>
        <v>10000</v>
      </c>
      <c r="Q206" s="1685">
        <f>SUM(Q194,Q205)</f>
        <v>0</v>
      </c>
      <c r="R206" s="1704">
        <f>R205+R194</f>
        <v>0</v>
      </c>
      <c r="S206" s="1742"/>
      <c r="T206" s="83"/>
      <c r="U206" s="83"/>
      <c r="V206" s="83"/>
    </row>
    <row r="207" spans="1:22" hidden="1" x14ac:dyDescent="0.2">
      <c r="A207" s="88"/>
      <c r="B207" s="20"/>
      <c r="C207" s="88"/>
      <c r="D207" s="88"/>
      <c r="E207" s="90"/>
      <c r="F207" s="88"/>
      <c r="G207" s="88"/>
      <c r="H207" s="90"/>
      <c r="I207" s="90"/>
      <c r="J207" s="90"/>
      <c r="K207" s="90"/>
      <c r="L207" s="90"/>
      <c r="M207" s="91"/>
      <c r="N207" s="20"/>
      <c r="O207" s="20"/>
      <c r="Q207" s="20"/>
      <c r="R207" s="72"/>
    </row>
    <row r="208" spans="1:22" hidden="1" x14ac:dyDescent="0.2">
      <c r="A208" s="88"/>
      <c r="B208" s="20"/>
      <c r="C208" s="88"/>
      <c r="D208" s="88"/>
      <c r="E208" s="90"/>
      <c r="F208" s="88"/>
      <c r="G208" s="88"/>
      <c r="H208" s="90"/>
      <c r="I208" s="90"/>
      <c r="J208" s="90"/>
      <c r="K208" s="90"/>
      <c r="L208" s="90"/>
      <c r="M208" s="91"/>
      <c r="N208" s="20"/>
      <c r="O208" s="20"/>
      <c r="Q208" s="20"/>
      <c r="R208" s="72"/>
    </row>
    <row r="209" spans="1:23" hidden="1" x14ac:dyDescent="0.2">
      <c r="A209" s="88"/>
      <c r="B209" s="20"/>
      <c r="C209" s="88"/>
      <c r="D209" s="88"/>
      <c r="E209" s="90"/>
      <c r="F209" s="88"/>
      <c r="G209" s="88"/>
      <c r="H209" s="90"/>
      <c r="I209" s="90"/>
      <c r="J209" s="90"/>
      <c r="K209" s="90"/>
      <c r="L209" s="90"/>
      <c r="M209" s="91"/>
      <c r="N209" s="20"/>
      <c r="O209" s="20"/>
      <c r="Q209" s="20"/>
      <c r="R209" s="72"/>
    </row>
    <row r="210" spans="1:23" x14ac:dyDescent="0.2">
      <c r="A210" s="88"/>
      <c r="B210" s="20"/>
      <c r="C210" s="88"/>
      <c r="D210" s="88"/>
      <c r="E210" s="90"/>
      <c r="F210" s="88"/>
      <c r="G210" s="88"/>
      <c r="H210" s="90"/>
      <c r="I210" s="90"/>
      <c r="J210" s="90"/>
      <c r="K210" s="90"/>
      <c r="L210" s="90"/>
      <c r="M210" s="91"/>
      <c r="N210" s="20"/>
      <c r="O210" s="20"/>
      <c r="P210" s="1311"/>
      <c r="Q210" s="20"/>
      <c r="R210" s="72"/>
    </row>
    <row r="211" spans="1:23" x14ac:dyDescent="0.2">
      <c r="A211" s="88"/>
      <c r="B211" s="20"/>
      <c r="C211" s="88"/>
      <c r="D211" s="88"/>
      <c r="E211" s="90"/>
      <c r="F211" s="88"/>
      <c r="G211" s="88"/>
      <c r="H211" s="90"/>
      <c r="I211" s="90"/>
      <c r="J211" s="90"/>
      <c r="K211" s="90"/>
      <c r="L211" s="90"/>
      <c r="M211" s="91"/>
      <c r="N211" s="20"/>
      <c r="O211" s="20"/>
      <c r="P211" s="1311"/>
      <c r="Q211" s="20"/>
      <c r="R211" s="72"/>
    </row>
    <row r="212" spans="1:23" x14ac:dyDescent="0.2">
      <c r="A212" s="88"/>
      <c r="B212" s="20"/>
      <c r="C212" s="88"/>
      <c r="D212" s="88"/>
      <c r="E212" s="90"/>
      <c r="F212" s="88"/>
      <c r="G212" s="88"/>
      <c r="H212" s="90"/>
      <c r="I212" s="90"/>
      <c r="J212" s="90"/>
      <c r="K212" s="90"/>
      <c r="L212" s="90"/>
      <c r="M212" s="91"/>
      <c r="N212" s="20"/>
      <c r="O212" s="20"/>
      <c r="P212" s="1311"/>
      <c r="Q212" s="20"/>
      <c r="R212" s="72"/>
    </row>
    <row r="213" spans="1:23" x14ac:dyDescent="0.2">
      <c r="A213" s="88"/>
      <c r="B213" s="20"/>
      <c r="C213" s="88"/>
      <c r="D213" s="88"/>
      <c r="E213" s="90"/>
      <c r="F213" s="88"/>
      <c r="G213" s="88"/>
      <c r="H213" s="90"/>
      <c r="I213" s="90"/>
      <c r="J213" s="90"/>
      <c r="K213" s="90"/>
      <c r="L213" s="90"/>
      <c r="M213" s="91"/>
      <c r="N213" s="20"/>
      <c r="O213" s="20"/>
      <c r="P213" s="1311"/>
      <c r="Q213" s="20"/>
      <c r="R213" s="72"/>
    </row>
    <row r="214" spans="1:23" x14ac:dyDescent="0.2">
      <c r="A214" s="88"/>
      <c r="B214" s="20"/>
      <c r="C214" s="88"/>
      <c r="D214" s="88"/>
      <c r="E214" s="90"/>
      <c r="F214" s="88"/>
      <c r="G214" s="88"/>
      <c r="H214" s="90"/>
      <c r="I214" s="90"/>
      <c r="J214" s="90"/>
      <c r="K214" s="90"/>
      <c r="L214" s="90"/>
      <c r="M214" s="91"/>
      <c r="N214" s="20"/>
      <c r="O214" s="20"/>
      <c r="P214" s="1311"/>
      <c r="Q214" s="20" t="s">
        <v>974</v>
      </c>
      <c r="R214" s="72"/>
    </row>
    <row r="215" spans="1:23" x14ac:dyDescent="0.2">
      <c r="A215" s="41"/>
      <c r="B215" s="41"/>
      <c r="C215" s="41"/>
      <c r="D215" s="41"/>
      <c r="E215" s="41"/>
      <c r="F215" s="41"/>
      <c r="G215" s="92"/>
      <c r="H215" s="41"/>
      <c r="I215" s="41"/>
      <c r="J215" s="41"/>
      <c r="K215" s="41"/>
      <c r="L215" s="41"/>
      <c r="M215" s="52"/>
      <c r="P215" s="1311"/>
    </row>
    <row r="216" spans="1:23" x14ac:dyDescent="0.2">
      <c r="A216" s="41"/>
      <c r="B216" s="41"/>
      <c r="C216" s="462" t="s">
        <v>160</v>
      </c>
      <c r="D216" s="665"/>
      <c r="E216" s="666"/>
      <c r="F216" s="666"/>
      <c r="G216" s="667"/>
      <c r="H216" s="666"/>
      <c r="I216" s="666"/>
      <c r="J216" s="666"/>
      <c r="K216" s="665"/>
      <c r="L216" s="665"/>
      <c r="M216" s="668"/>
      <c r="N216" s="669"/>
      <c r="O216" s="669"/>
      <c r="P216" s="1311"/>
    </row>
    <row r="217" spans="1:23" x14ac:dyDescent="0.2">
      <c r="A217" s="41"/>
      <c r="B217" s="41"/>
      <c r="C217" s="41"/>
      <c r="D217" s="41"/>
      <c r="E217" s="41"/>
      <c r="F217" s="41"/>
      <c r="G217" s="92"/>
      <c r="H217" s="41"/>
      <c r="I217" s="41"/>
      <c r="J217" s="41"/>
      <c r="K217" s="41"/>
      <c r="L217" s="41"/>
      <c r="M217" s="52"/>
      <c r="P217" s="1311"/>
    </row>
    <row r="218" spans="1:23" ht="23.25" customHeight="1" x14ac:dyDescent="0.2">
      <c r="A218" s="1761"/>
      <c r="B218" s="1789"/>
      <c r="C218" s="1763"/>
      <c r="D218" s="1790" t="s">
        <v>147</v>
      </c>
      <c r="E218" s="1791" t="s">
        <v>148</v>
      </c>
      <c r="F218" s="1790" t="s">
        <v>147</v>
      </c>
      <c r="G218" s="1791" t="s">
        <v>148</v>
      </c>
      <c r="H218" s="1790" t="s">
        <v>147</v>
      </c>
      <c r="I218" s="1791" t="s">
        <v>148</v>
      </c>
      <c r="J218" s="1785">
        <v>2018</v>
      </c>
      <c r="K218" s="1540" t="s">
        <v>909</v>
      </c>
      <c r="L218" s="1540">
        <v>2021</v>
      </c>
      <c r="M218" s="1766">
        <v>2022</v>
      </c>
      <c r="N218" s="1767">
        <v>2023</v>
      </c>
      <c r="O218" s="1767" t="s">
        <v>981</v>
      </c>
      <c r="P218" s="1768">
        <v>2024</v>
      </c>
      <c r="Q218" s="1769">
        <v>2025</v>
      </c>
      <c r="R218" s="1769">
        <v>2026</v>
      </c>
      <c r="S218" s="1735"/>
      <c r="T218" s="54"/>
      <c r="U218" s="54"/>
      <c r="V218" s="55"/>
    </row>
    <row r="219" spans="1:23" s="1086" customFormat="1" x14ac:dyDescent="0.2">
      <c r="A219" s="2010" t="s">
        <v>161</v>
      </c>
      <c r="B219" s="2010"/>
      <c r="C219" s="2010"/>
      <c r="D219" s="1808"/>
      <c r="E219" s="1513"/>
      <c r="F219" s="1808"/>
      <c r="G219" s="1513"/>
      <c r="H219" s="1808"/>
      <c r="I219" s="1513"/>
      <c r="J219" s="1513">
        <f>SUM(J220:J239)</f>
        <v>538966</v>
      </c>
      <c r="K219" s="1513">
        <f>SUM(K220:K237)+K238+K239</f>
        <v>701035.64999999991</v>
      </c>
      <c r="L219" s="1513">
        <f>SUM(L220:L240)+L241</f>
        <v>697854</v>
      </c>
      <c r="M219" s="1513">
        <f>SUM(M220:M241)</f>
        <v>684265</v>
      </c>
      <c r="N219" s="1513">
        <f>SUM(N228:N237:N220)+N238+N239+N240</f>
        <v>806053</v>
      </c>
      <c r="O219" s="1809">
        <f>SUM(O220:O241)</f>
        <v>802057</v>
      </c>
      <c r="P219" s="1810">
        <f>SUM(P220:P241)</f>
        <v>820362</v>
      </c>
      <c r="Q219" s="1513">
        <f>SUM(Q220:Q241)</f>
        <v>820044</v>
      </c>
      <c r="R219" s="1513">
        <f>SUM(R220:R241)</f>
        <v>820044</v>
      </c>
      <c r="S219" s="1745"/>
      <c r="T219" s="1032"/>
      <c r="U219" s="1032"/>
      <c r="V219" s="1032"/>
    </row>
    <row r="220" spans="1:23" s="1086" customFormat="1" x14ac:dyDescent="0.2">
      <c r="A220" s="1242"/>
      <c r="B220" s="1242"/>
      <c r="C220" s="1811" t="s">
        <v>136</v>
      </c>
      <c r="D220" s="1812"/>
      <c r="E220" s="1813"/>
      <c r="F220" s="1812"/>
      <c r="G220" s="1813"/>
      <c r="H220" s="1812"/>
      <c r="I220" s="1813"/>
      <c r="J220" s="1813">
        <v>522284</v>
      </c>
      <c r="K220" s="1233">
        <v>611019</v>
      </c>
      <c r="L220" s="1233">
        <v>619676</v>
      </c>
      <c r="M220" s="1232">
        <v>574231</v>
      </c>
      <c r="N220" s="1511">
        <v>722324</v>
      </c>
      <c r="O220" s="1232">
        <v>695902</v>
      </c>
      <c r="P220" s="1770">
        <v>733368</v>
      </c>
      <c r="Q220" s="1512">
        <v>733368</v>
      </c>
      <c r="R220" s="1235">
        <v>733368</v>
      </c>
      <c r="S220" s="1723"/>
      <c r="T220" s="1032"/>
      <c r="U220" s="1032"/>
      <c r="V220" s="1032"/>
      <c r="W220" s="1282"/>
    </row>
    <row r="221" spans="1:23" s="1086" customFormat="1" x14ac:dyDescent="0.2">
      <c r="A221" s="1242"/>
      <c r="B221" s="1242"/>
      <c r="C221" s="1752" t="s">
        <v>874</v>
      </c>
      <c r="D221" s="1812"/>
      <c r="E221" s="1813"/>
      <c r="F221" s="1812"/>
      <c r="G221" s="1813"/>
      <c r="H221" s="1812"/>
      <c r="I221" s="1813"/>
      <c r="J221" s="1813"/>
      <c r="K221" s="1233"/>
      <c r="L221" s="1233">
        <v>4100</v>
      </c>
      <c r="M221" s="1232">
        <v>0</v>
      </c>
      <c r="N221" s="1511">
        <v>0</v>
      </c>
      <c r="O221" s="1232">
        <v>5694</v>
      </c>
      <c r="P221" s="1770">
        <v>0</v>
      </c>
      <c r="Q221" s="1512"/>
      <c r="R221" s="1235"/>
      <c r="S221" s="1745"/>
      <c r="T221" s="1032"/>
      <c r="U221" s="1032"/>
      <c r="V221" s="1032"/>
    </row>
    <row r="222" spans="1:23" s="1086" customFormat="1" x14ac:dyDescent="0.2">
      <c r="A222" s="1242"/>
      <c r="B222" s="1242"/>
      <c r="C222" s="1811" t="s">
        <v>833</v>
      </c>
      <c r="D222" s="1812"/>
      <c r="E222" s="1813"/>
      <c r="F222" s="1812"/>
      <c r="G222" s="1813"/>
      <c r="H222" s="1812"/>
      <c r="I222" s="1813"/>
      <c r="J222" s="1813"/>
      <c r="K222" s="1233">
        <v>6156</v>
      </c>
      <c r="L222" s="1233">
        <v>3658</v>
      </c>
      <c r="M222" s="1232">
        <v>2439</v>
      </c>
      <c r="N222" s="1511">
        <v>0</v>
      </c>
      <c r="O222" s="1232">
        <v>51207</v>
      </c>
      <c r="P222" s="1770">
        <v>57816</v>
      </c>
      <c r="Q222" s="1512">
        <v>57816</v>
      </c>
      <c r="R222" s="1235">
        <v>57816</v>
      </c>
      <c r="S222" s="1745"/>
      <c r="T222" s="1032"/>
      <c r="U222" s="1032"/>
      <c r="V222" s="1032"/>
    </row>
    <row r="223" spans="1:23" s="1086" customFormat="1" x14ac:dyDescent="0.2">
      <c r="A223" s="1242"/>
      <c r="B223" s="1242"/>
      <c r="C223" s="1811" t="s">
        <v>903</v>
      </c>
      <c r="D223" s="1812"/>
      <c r="E223" s="1813"/>
      <c r="F223" s="1812"/>
      <c r="G223" s="1813"/>
      <c r="H223" s="1812"/>
      <c r="I223" s="1813"/>
      <c r="J223" s="1813"/>
      <c r="K223" s="1233">
        <v>3657</v>
      </c>
      <c r="L223" s="1233"/>
      <c r="M223" s="1232"/>
      <c r="N223" s="1511"/>
      <c r="O223" s="1232">
        <v>1548</v>
      </c>
      <c r="P223" s="1770">
        <v>3096</v>
      </c>
      <c r="Q223" s="1512">
        <v>3096</v>
      </c>
      <c r="R223" s="1235">
        <v>3096</v>
      </c>
      <c r="S223" s="1723"/>
      <c r="T223" s="1032"/>
      <c r="U223" s="1032"/>
      <c r="V223" s="1032"/>
    </row>
    <row r="224" spans="1:23" s="1086" customFormat="1" x14ac:dyDescent="0.2">
      <c r="A224" s="1242"/>
      <c r="B224" s="1242"/>
      <c r="C224" s="1811" t="s">
        <v>891</v>
      </c>
      <c r="D224" s="1812"/>
      <c r="E224" s="1813"/>
      <c r="F224" s="1812"/>
      <c r="G224" s="1813"/>
      <c r="H224" s="1812"/>
      <c r="I224" s="1813"/>
      <c r="J224" s="1813"/>
      <c r="K224" s="1233"/>
      <c r="L224" s="1233">
        <v>8342</v>
      </c>
      <c r="M224" s="1232">
        <v>17308</v>
      </c>
      <c r="N224" s="1511">
        <v>0</v>
      </c>
      <c r="O224" s="1232">
        <v>0</v>
      </c>
      <c r="P224" s="1781">
        <v>0</v>
      </c>
      <c r="Q224" s="1512"/>
      <c r="R224" s="1235"/>
      <c r="S224" s="1745"/>
      <c r="T224" s="1032"/>
      <c r="U224" s="1032"/>
      <c r="V224" s="1032"/>
    </row>
    <row r="225" spans="1:22" s="1086" customFormat="1" x14ac:dyDescent="0.2">
      <c r="A225" s="1242"/>
      <c r="B225" s="1242"/>
      <c r="C225" s="1811" t="s">
        <v>973</v>
      </c>
      <c r="D225" s="1812"/>
      <c r="E225" s="1813"/>
      <c r="F225" s="1812"/>
      <c r="G225" s="1813"/>
      <c r="H225" s="1812"/>
      <c r="I225" s="1813"/>
      <c r="J225" s="1813"/>
      <c r="K225" s="1233"/>
      <c r="L225" s="1233">
        <v>800</v>
      </c>
      <c r="M225" s="1232">
        <v>7200</v>
      </c>
      <c r="N225" s="1511">
        <v>7200</v>
      </c>
      <c r="O225" s="1232">
        <v>0</v>
      </c>
      <c r="P225" s="1770">
        <v>0</v>
      </c>
      <c r="Q225" s="1512">
        <v>0</v>
      </c>
      <c r="R225" s="1235">
        <v>0</v>
      </c>
      <c r="S225" s="1745"/>
      <c r="T225" s="1032"/>
      <c r="U225" s="1032"/>
      <c r="V225" s="1032"/>
    </row>
    <row r="226" spans="1:22" s="1086" customFormat="1" x14ac:dyDescent="0.2">
      <c r="A226" s="1242"/>
      <c r="B226" s="1242"/>
      <c r="C226" s="1811" t="s">
        <v>972</v>
      </c>
      <c r="D226" s="1812"/>
      <c r="E226" s="1813"/>
      <c r="F226" s="1812"/>
      <c r="G226" s="1813"/>
      <c r="H226" s="1812"/>
      <c r="I226" s="1813"/>
      <c r="J226" s="1813"/>
      <c r="K226" s="1233"/>
      <c r="L226" s="1233">
        <v>4600</v>
      </c>
      <c r="M226" s="1232">
        <v>6900</v>
      </c>
      <c r="N226" s="1511">
        <v>7900</v>
      </c>
      <c r="O226" s="1232">
        <v>0</v>
      </c>
      <c r="P226" s="1770">
        <v>0</v>
      </c>
      <c r="Q226" s="1512">
        <v>0</v>
      </c>
      <c r="R226" s="1235">
        <v>0</v>
      </c>
      <c r="S226" s="1745"/>
      <c r="T226" s="1032"/>
      <c r="U226" s="1032"/>
      <c r="V226" s="1032"/>
    </row>
    <row r="227" spans="1:22" s="1086" customFormat="1" x14ac:dyDescent="0.2">
      <c r="A227" s="1242"/>
      <c r="B227" s="1242"/>
      <c r="C227" s="1811" t="s">
        <v>971</v>
      </c>
      <c r="D227" s="1812"/>
      <c r="E227" s="1813"/>
      <c r="F227" s="1812"/>
      <c r="G227" s="1813"/>
      <c r="H227" s="1812"/>
      <c r="I227" s="1813"/>
      <c r="J227" s="1813"/>
      <c r="K227" s="1233"/>
      <c r="L227" s="1233"/>
      <c r="M227" s="1232">
        <v>23943</v>
      </c>
      <c r="N227" s="1511"/>
      <c r="O227" s="1232">
        <v>7229</v>
      </c>
      <c r="P227" s="1770"/>
      <c r="Q227" s="1512"/>
      <c r="R227" s="1235"/>
      <c r="S227" s="1723"/>
      <c r="T227" s="1032"/>
      <c r="U227" s="1032"/>
      <c r="V227" s="1032"/>
    </row>
    <row r="228" spans="1:22" x14ac:dyDescent="0.2">
      <c r="A228" s="1085"/>
      <c r="B228" s="1085"/>
      <c r="C228" s="1085" t="s">
        <v>708</v>
      </c>
      <c r="D228" s="1056"/>
      <c r="E228" s="1027"/>
      <c r="F228" s="1056"/>
      <c r="G228" s="1027"/>
      <c r="H228" s="1056"/>
      <c r="I228" s="1027"/>
      <c r="J228" s="1027"/>
      <c r="K228" s="1233">
        <v>2037.6</v>
      </c>
      <c r="L228" s="1233">
        <v>1995</v>
      </c>
      <c r="M228" s="1232">
        <v>2700</v>
      </c>
      <c r="N228" s="1511">
        <v>2700</v>
      </c>
      <c r="O228" s="1232">
        <v>2305</v>
      </c>
      <c r="P228" s="1770">
        <v>2500</v>
      </c>
      <c r="Q228" s="1512">
        <v>2500</v>
      </c>
      <c r="R228" s="1235">
        <v>2500</v>
      </c>
      <c r="S228" s="1739"/>
      <c r="T228" s="76"/>
      <c r="U228" s="76"/>
      <c r="V228" s="76"/>
    </row>
    <row r="229" spans="1:22" x14ac:dyDescent="0.2">
      <c r="A229" s="1085"/>
      <c r="B229" s="1085"/>
      <c r="C229" s="1085" t="s">
        <v>894</v>
      </c>
      <c r="D229" s="1056"/>
      <c r="E229" s="1027"/>
      <c r="F229" s="1056"/>
      <c r="G229" s="1027"/>
      <c r="H229" s="1056"/>
      <c r="I229" s="1027"/>
      <c r="J229" s="1027"/>
      <c r="K229" s="1233">
        <v>0</v>
      </c>
      <c r="L229" s="1233">
        <v>0</v>
      </c>
      <c r="M229" s="1232">
        <v>0</v>
      </c>
      <c r="N229" s="1511">
        <v>0</v>
      </c>
      <c r="O229" s="1232">
        <v>0</v>
      </c>
      <c r="P229" s="1781">
        <v>0</v>
      </c>
      <c r="Q229" s="1512">
        <v>0</v>
      </c>
      <c r="R229" s="1235">
        <v>0</v>
      </c>
      <c r="S229" s="1739"/>
      <c r="T229" s="76"/>
      <c r="U229" s="76"/>
      <c r="V229" s="76"/>
    </row>
    <row r="230" spans="1:22" x14ac:dyDescent="0.2">
      <c r="A230" s="1085"/>
      <c r="B230" s="1085"/>
      <c r="C230" s="1085" t="s">
        <v>709</v>
      </c>
      <c r="D230" s="1056"/>
      <c r="E230" s="1027"/>
      <c r="F230" s="1056"/>
      <c r="G230" s="1027"/>
      <c r="H230" s="1056"/>
      <c r="I230" s="1027"/>
      <c r="J230" s="1027"/>
      <c r="K230" s="1233">
        <v>1233</v>
      </c>
      <c r="L230" s="1233">
        <v>1408</v>
      </c>
      <c r="M230" s="1232">
        <v>2256</v>
      </c>
      <c r="N230" s="1511">
        <v>2256</v>
      </c>
      <c r="O230" s="1232">
        <v>2560</v>
      </c>
      <c r="P230" s="1770">
        <v>2740</v>
      </c>
      <c r="Q230" s="1512">
        <v>2500</v>
      </c>
      <c r="R230" s="1235">
        <v>2500</v>
      </c>
      <c r="S230" s="1739"/>
      <c r="T230" s="76"/>
      <c r="U230" s="76"/>
      <c r="V230" s="76"/>
    </row>
    <row r="231" spans="1:22" x14ac:dyDescent="0.2">
      <c r="A231" s="1085"/>
      <c r="B231" s="1085"/>
      <c r="C231" s="1085" t="s">
        <v>710</v>
      </c>
      <c r="D231" s="1056"/>
      <c r="E231" s="1027"/>
      <c r="F231" s="1056"/>
      <c r="G231" s="1027"/>
      <c r="H231" s="1056"/>
      <c r="I231" s="1027"/>
      <c r="J231" s="1027"/>
      <c r="K231" s="1233">
        <v>5000</v>
      </c>
      <c r="L231" s="1233">
        <v>0</v>
      </c>
      <c r="M231" s="1232">
        <v>5000</v>
      </c>
      <c r="N231" s="1511">
        <v>6500</v>
      </c>
      <c r="O231" s="1232">
        <v>5000</v>
      </c>
      <c r="P231" s="1770">
        <v>5000</v>
      </c>
      <c r="Q231" s="1512">
        <v>5000</v>
      </c>
      <c r="R231" s="1235">
        <v>5000</v>
      </c>
      <c r="S231" s="1739"/>
      <c r="T231" s="76"/>
      <c r="U231" s="76"/>
      <c r="V231" s="76"/>
    </row>
    <row r="232" spans="1:22" x14ac:dyDescent="0.2">
      <c r="A232" s="1085"/>
      <c r="B232" s="1085"/>
      <c r="C232" s="1085" t="s">
        <v>711</v>
      </c>
      <c r="D232" s="1056"/>
      <c r="E232" s="1027"/>
      <c r="F232" s="1056"/>
      <c r="G232" s="1027"/>
      <c r="H232" s="1056"/>
      <c r="I232" s="1027"/>
      <c r="J232" s="1027"/>
      <c r="K232" s="1233">
        <v>26</v>
      </c>
      <c r="L232" s="1233">
        <v>2842</v>
      </c>
      <c r="M232" s="1232">
        <v>7098</v>
      </c>
      <c r="N232" s="1511">
        <v>7098</v>
      </c>
      <c r="O232" s="1232">
        <v>7142</v>
      </c>
      <c r="P232" s="1770">
        <v>7232</v>
      </c>
      <c r="Q232" s="1512">
        <v>7232</v>
      </c>
      <c r="R232" s="1235">
        <v>7232</v>
      </c>
      <c r="S232" s="1739"/>
      <c r="T232" s="76"/>
      <c r="U232" s="76"/>
      <c r="V232" s="76"/>
    </row>
    <row r="233" spans="1:22" x14ac:dyDescent="0.2">
      <c r="A233" s="1085"/>
      <c r="B233" s="1085"/>
      <c r="C233" s="1085" t="s">
        <v>740</v>
      </c>
      <c r="D233" s="1056"/>
      <c r="E233" s="1027"/>
      <c r="F233" s="1056"/>
      <c r="G233" s="1027"/>
      <c r="H233" s="1056"/>
      <c r="I233" s="1027"/>
      <c r="J233" s="1027"/>
      <c r="K233" s="1233">
        <v>6936</v>
      </c>
      <c r="L233" s="1233">
        <v>4621</v>
      </c>
      <c r="M233" s="1232">
        <v>7282</v>
      </c>
      <c r="N233" s="1511">
        <v>7284</v>
      </c>
      <c r="O233" s="1232">
        <v>5578</v>
      </c>
      <c r="P233" s="1770">
        <v>5578</v>
      </c>
      <c r="Q233" s="1512">
        <v>5500</v>
      </c>
      <c r="R233" s="1235">
        <v>5500</v>
      </c>
      <c r="S233" s="1739"/>
      <c r="T233" s="76"/>
      <c r="U233" s="76"/>
      <c r="V233" s="76"/>
    </row>
    <row r="234" spans="1:22" x14ac:dyDescent="0.2">
      <c r="A234" s="1085"/>
      <c r="B234" s="1085"/>
      <c r="C234" s="1085" t="s">
        <v>855</v>
      </c>
      <c r="D234" s="1056"/>
      <c r="E234" s="1027"/>
      <c r="F234" s="1056"/>
      <c r="G234" s="1027"/>
      <c r="H234" s="1056"/>
      <c r="I234" s="1027"/>
      <c r="J234" s="1027"/>
      <c r="K234" s="1325"/>
      <c r="L234" s="1233">
        <v>17280</v>
      </c>
      <c r="M234" s="1232">
        <v>6892</v>
      </c>
      <c r="N234" s="1511">
        <v>27567</v>
      </c>
      <c r="O234" s="1232">
        <v>0</v>
      </c>
      <c r="P234" s="1781">
        <v>0</v>
      </c>
      <c r="Q234" s="1512">
        <v>0</v>
      </c>
      <c r="R234" s="1235">
        <v>0</v>
      </c>
      <c r="S234" s="1739"/>
      <c r="T234" s="76"/>
      <c r="U234" s="76"/>
      <c r="V234" s="76"/>
    </row>
    <row r="235" spans="1:22" x14ac:dyDescent="0.2">
      <c r="A235" s="1085"/>
      <c r="B235" s="1085"/>
      <c r="C235" s="1085" t="s">
        <v>712</v>
      </c>
      <c r="D235" s="1056"/>
      <c r="E235" s="1027"/>
      <c r="F235" s="1056"/>
      <c r="G235" s="1027"/>
      <c r="H235" s="1056"/>
      <c r="I235" s="1027"/>
      <c r="J235" s="1027"/>
      <c r="K235" s="1325">
        <v>4050</v>
      </c>
      <c r="L235" s="1233">
        <v>2450</v>
      </c>
      <c r="M235" s="1232">
        <v>3150</v>
      </c>
      <c r="N235" s="1511">
        <v>3150</v>
      </c>
      <c r="O235" s="1232">
        <v>2550</v>
      </c>
      <c r="P235" s="1770">
        <v>2700</v>
      </c>
      <c r="Q235" s="1512">
        <v>2700</v>
      </c>
      <c r="R235" s="1235">
        <v>2700</v>
      </c>
      <c r="S235" s="1739"/>
      <c r="T235" s="76"/>
      <c r="U235" s="76"/>
      <c r="V235" s="76"/>
    </row>
    <row r="236" spans="1:22" x14ac:dyDescent="0.2">
      <c r="A236" s="1085"/>
      <c r="B236" s="1085"/>
      <c r="C236" s="1085" t="s">
        <v>834</v>
      </c>
      <c r="D236" s="1056"/>
      <c r="E236" s="1027"/>
      <c r="F236" s="1056"/>
      <c r="G236" s="1027"/>
      <c r="H236" s="1056"/>
      <c r="I236" s="1027"/>
      <c r="J236" s="1027"/>
      <c r="K236" s="1233">
        <v>8838</v>
      </c>
      <c r="L236" s="1233">
        <v>3373</v>
      </c>
      <c r="M236" s="1232">
        <v>1518</v>
      </c>
      <c r="N236" s="1511">
        <v>0</v>
      </c>
      <c r="O236" s="1232">
        <v>6750</v>
      </c>
      <c r="P236" s="1770">
        <v>0</v>
      </c>
      <c r="Q236" s="1512">
        <v>0</v>
      </c>
      <c r="R236" s="1235">
        <v>0</v>
      </c>
      <c r="S236" s="1739"/>
      <c r="T236" s="76"/>
      <c r="U236" s="76"/>
      <c r="V236" s="76"/>
    </row>
    <row r="237" spans="1:22" x14ac:dyDescent="0.2">
      <c r="A237" s="1085"/>
      <c r="B237" s="1085"/>
      <c r="C237" s="1085" t="s">
        <v>713</v>
      </c>
      <c r="D237" s="1056"/>
      <c r="E237" s="1027"/>
      <c r="F237" s="1056"/>
      <c r="G237" s="1027"/>
      <c r="H237" s="1056"/>
      <c r="I237" s="1027"/>
      <c r="J237" s="1027">
        <v>664</v>
      </c>
      <c r="K237" s="1233">
        <v>265.60000000000002</v>
      </c>
      <c r="L237" s="1233">
        <v>299</v>
      </c>
      <c r="M237" s="1232">
        <v>582</v>
      </c>
      <c r="N237" s="1511">
        <v>382</v>
      </c>
      <c r="O237" s="1232">
        <v>249</v>
      </c>
      <c r="P237" s="1770">
        <v>332</v>
      </c>
      <c r="Q237" s="1512">
        <v>332</v>
      </c>
      <c r="R237" s="1235">
        <v>332</v>
      </c>
      <c r="S237" s="1739"/>
      <c r="T237" s="76"/>
      <c r="U237" s="76"/>
      <c r="V237" s="76"/>
    </row>
    <row r="238" spans="1:22" x14ac:dyDescent="0.2">
      <c r="A238" s="1085"/>
      <c r="B238" s="1085"/>
      <c r="C238" s="1085" t="s">
        <v>807</v>
      </c>
      <c r="D238" s="1056"/>
      <c r="E238" s="1027"/>
      <c r="F238" s="1056"/>
      <c r="G238" s="1027"/>
      <c r="H238" s="1056"/>
      <c r="I238" s="1027"/>
      <c r="J238" s="1027">
        <v>11833</v>
      </c>
      <c r="K238" s="1325">
        <v>51067</v>
      </c>
      <c r="L238" s="1233">
        <v>20856</v>
      </c>
      <c r="M238" s="1232">
        <v>14400</v>
      </c>
      <c r="N238" s="1511">
        <v>0</v>
      </c>
      <c r="O238" s="1232">
        <v>0</v>
      </c>
      <c r="P238" s="1781">
        <v>0</v>
      </c>
      <c r="Q238" s="1512">
        <v>0</v>
      </c>
      <c r="R238" s="1235">
        <v>0</v>
      </c>
      <c r="S238" s="1739"/>
      <c r="T238" s="76"/>
      <c r="U238" s="76"/>
      <c r="V238" s="76"/>
    </row>
    <row r="239" spans="1:22" x14ac:dyDescent="0.2">
      <c r="A239" s="1085"/>
      <c r="B239" s="1085"/>
      <c r="C239" s="1085" t="s">
        <v>904</v>
      </c>
      <c r="D239" s="1056"/>
      <c r="E239" s="1027"/>
      <c r="F239" s="1056"/>
      <c r="G239" s="1027"/>
      <c r="H239" s="1056"/>
      <c r="I239" s="1027"/>
      <c r="J239" s="1027">
        <v>4185</v>
      </c>
      <c r="K239" s="1233">
        <v>750.45</v>
      </c>
      <c r="L239" s="1233">
        <v>554</v>
      </c>
      <c r="M239" s="1232">
        <v>16</v>
      </c>
      <c r="N239" s="1511">
        <v>0</v>
      </c>
      <c r="O239" s="1232">
        <v>8343</v>
      </c>
      <c r="P239" s="1781">
        <v>0</v>
      </c>
      <c r="Q239" s="1512">
        <v>0</v>
      </c>
      <c r="R239" s="1235">
        <v>0</v>
      </c>
      <c r="S239" s="1739"/>
      <c r="T239" s="76"/>
      <c r="U239" s="76"/>
      <c r="V239" s="76"/>
    </row>
    <row r="240" spans="1:22" x14ac:dyDescent="0.2">
      <c r="A240" s="1085"/>
      <c r="B240" s="1085"/>
      <c r="C240" s="1085" t="s">
        <v>970</v>
      </c>
      <c r="D240" s="1056"/>
      <c r="E240" s="1027"/>
      <c r="F240" s="1056"/>
      <c r="G240" s="1027"/>
      <c r="H240" s="1056"/>
      <c r="I240" s="1027"/>
      <c r="J240" s="1027"/>
      <c r="K240" s="1233"/>
      <c r="L240" s="1233"/>
      <c r="M240" s="1232">
        <v>1150</v>
      </c>
      <c r="N240" s="1511">
        <v>11692</v>
      </c>
      <c r="O240" s="1232">
        <v>0</v>
      </c>
      <c r="P240" s="1781">
        <v>0</v>
      </c>
      <c r="Q240" s="1512">
        <v>0</v>
      </c>
      <c r="R240" s="1235">
        <v>0</v>
      </c>
      <c r="S240" s="1739"/>
      <c r="T240" s="76"/>
      <c r="U240" s="76"/>
      <c r="V240" s="76"/>
    </row>
    <row r="241" spans="1:22" x14ac:dyDescent="0.2">
      <c r="A241" s="1085"/>
      <c r="B241" s="1085"/>
      <c r="C241" s="1085" t="s">
        <v>978</v>
      </c>
      <c r="D241" s="1056"/>
      <c r="E241" s="1027"/>
      <c r="F241" s="1056"/>
      <c r="G241" s="1027"/>
      <c r="H241" s="1056"/>
      <c r="I241" s="1027"/>
      <c r="J241" s="1027"/>
      <c r="K241" s="1233"/>
      <c r="L241" s="1233">
        <v>1000</v>
      </c>
      <c r="M241" s="1232">
        <v>200</v>
      </c>
      <c r="N241" s="1511">
        <v>0</v>
      </c>
      <c r="O241" s="1232">
        <v>0</v>
      </c>
      <c r="P241" s="1781">
        <v>0</v>
      </c>
      <c r="Q241" s="1512"/>
      <c r="R241" s="1235"/>
      <c r="S241" s="1739"/>
      <c r="T241" s="76"/>
      <c r="U241" s="76"/>
      <c r="V241" s="76"/>
    </row>
    <row r="242" spans="1:22" s="1086" customFormat="1" x14ac:dyDescent="0.2">
      <c r="A242" s="2010" t="s">
        <v>162</v>
      </c>
      <c r="B242" s="2010"/>
      <c r="C242" s="2010"/>
      <c r="D242" s="1808"/>
      <c r="E242" s="1513"/>
      <c r="F242" s="1808"/>
      <c r="G242" s="1513"/>
      <c r="H242" s="1808"/>
      <c r="I242" s="1513"/>
      <c r="J242" s="1513">
        <f>SUM(J243:J254)</f>
        <v>140837</v>
      </c>
      <c r="K242" s="1513">
        <f>SUM(K243:K254)</f>
        <v>181167.57</v>
      </c>
      <c r="L242" s="1513">
        <v>206310</v>
      </c>
      <c r="M242" s="1513">
        <f>SUM(M243:M257)</f>
        <v>224939</v>
      </c>
      <c r="N242" s="1513">
        <f>SUM(N247:N254:N243)+N256+N257+N255</f>
        <v>219289</v>
      </c>
      <c r="O242" s="1809">
        <f>SUM(O243:O257)</f>
        <v>187195</v>
      </c>
      <c r="P242" s="1810">
        <f>SUM(P243:P257)</f>
        <v>124945</v>
      </c>
      <c r="Q242" s="1513">
        <f>SUM(Q247:Q254:Q243)+Q257</f>
        <v>123945</v>
      </c>
      <c r="R242" s="1513">
        <f>SUM(R247:R254:R243)+R257</f>
        <v>123945</v>
      </c>
      <c r="S242" s="1745"/>
      <c r="T242" s="1032"/>
      <c r="U242" s="1032"/>
      <c r="V242" s="1032"/>
    </row>
    <row r="243" spans="1:22" s="1086" customFormat="1" x14ac:dyDescent="0.2">
      <c r="A243" s="1242"/>
      <c r="B243" s="1242"/>
      <c r="C243" s="1811" t="s">
        <v>136</v>
      </c>
      <c r="D243" s="1812"/>
      <c r="E243" s="1813"/>
      <c r="F243" s="1812"/>
      <c r="G243" s="1813"/>
      <c r="H243" s="1812"/>
      <c r="I243" s="1813"/>
      <c r="J243" s="1813">
        <v>140259</v>
      </c>
      <c r="K243" s="1233">
        <v>171436</v>
      </c>
      <c r="L243" s="1233">
        <v>193089</v>
      </c>
      <c r="M243" s="1232">
        <v>132303</v>
      </c>
      <c r="N243" s="1511">
        <v>171983</v>
      </c>
      <c r="O243" s="1232">
        <v>106029</v>
      </c>
      <c r="P243" s="1770">
        <v>116719</v>
      </c>
      <c r="Q243" s="1512">
        <v>116719</v>
      </c>
      <c r="R243" s="1235">
        <v>116719</v>
      </c>
      <c r="S243" s="1723"/>
      <c r="T243" s="1032"/>
      <c r="U243" s="1032"/>
      <c r="V243" s="1032"/>
    </row>
    <row r="244" spans="1:22" s="1086" customFormat="1" x14ac:dyDescent="0.2">
      <c r="A244" s="1242"/>
      <c r="B244" s="1242"/>
      <c r="C244" s="1752" t="s">
        <v>874</v>
      </c>
      <c r="D244" s="1812"/>
      <c r="E244" s="1813"/>
      <c r="F244" s="1812"/>
      <c r="G244" s="1813"/>
      <c r="H244" s="1812"/>
      <c r="I244" s="1813"/>
      <c r="J244" s="1813"/>
      <c r="K244" s="1233">
        <v>1700</v>
      </c>
      <c r="L244" s="1233">
        <v>950</v>
      </c>
      <c r="M244" s="1232">
        <v>0</v>
      </c>
      <c r="N244" s="1511">
        <v>0</v>
      </c>
      <c r="O244" s="1232">
        <v>1963</v>
      </c>
      <c r="P244" s="1770">
        <v>0</v>
      </c>
      <c r="Q244" s="1512"/>
      <c r="R244" s="1235"/>
      <c r="S244" s="1745"/>
      <c r="T244" s="1032"/>
      <c r="U244" s="1032"/>
      <c r="V244" s="1032"/>
    </row>
    <row r="245" spans="1:22" s="1086" customFormat="1" x14ac:dyDescent="0.2">
      <c r="A245" s="1242"/>
      <c r="B245" s="1242"/>
      <c r="C245" s="1752" t="s">
        <v>969</v>
      </c>
      <c r="D245" s="1812"/>
      <c r="E245" s="1813"/>
      <c r="F245" s="1812"/>
      <c r="G245" s="1813"/>
      <c r="H245" s="1812"/>
      <c r="I245" s="1813"/>
      <c r="J245" s="1813"/>
      <c r="K245" s="1233"/>
      <c r="L245" s="1233"/>
      <c r="M245" s="1232">
        <v>80000</v>
      </c>
      <c r="N245" s="1511">
        <v>40000</v>
      </c>
      <c r="O245" s="1232">
        <v>70000</v>
      </c>
      <c r="P245" s="1770">
        <v>0</v>
      </c>
      <c r="Q245" s="1512">
        <v>0</v>
      </c>
      <c r="R245" s="1235">
        <v>0</v>
      </c>
      <c r="S245" s="1745"/>
      <c r="T245" s="1032"/>
      <c r="U245" s="1032"/>
      <c r="V245" s="1032"/>
    </row>
    <row r="246" spans="1:22" s="1086" customFormat="1" x14ac:dyDescent="0.2">
      <c r="A246" s="1242"/>
      <c r="B246" s="1242"/>
      <c r="C246" s="1811" t="s">
        <v>891</v>
      </c>
      <c r="D246" s="1812"/>
      <c r="E246" s="1813"/>
      <c r="F246" s="1812"/>
      <c r="G246" s="1813"/>
      <c r="H246" s="1812"/>
      <c r="I246" s="1813"/>
      <c r="J246" s="1813"/>
      <c r="K246" s="1233">
        <v>1421.37</v>
      </c>
      <c r="L246" s="1233">
        <v>3718</v>
      </c>
      <c r="M246" s="1232">
        <v>6959</v>
      </c>
      <c r="N246" s="1511">
        <v>0</v>
      </c>
      <c r="O246" s="1232">
        <v>0</v>
      </c>
      <c r="P246" s="1781">
        <v>0</v>
      </c>
      <c r="Q246" s="1512"/>
      <c r="R246" s="1235"/>
      <c r="S246" s="1723"/>
      <c r="T246" s="1032"/>
      <c r="U246" s="1032"/>
      <c r="V246" s="1032"/>
    </row>
    <row r="247" spans="1:22" x14ac:dyDescent="0.2">
      <c r="A247" s="1085"/>
      <c r="B247" s="1085"/>
      <c r="C247" s="1085" t="s">
        <v>708</v>
      </c>
      <c r="D247" s="1056"/>
      <c r="E247" s="1027"/>
      <c r="F247" s="1056"/>
      <c r="G247" s="1027"/>
      <c r="H247" s="1056"/>
      <c r="I247" s="1027"/>
      <c r="J247" s="1027">
        <v>312</v>
      </c>
      <c r="K247" s="1233">
        <v>260</v>
      </c>
      <c r="L247" s="1233">
        <v>300</v>
      </c>
      <c r="M247" s="1232">
        <v>350</v>
      </c>
      <c r="N247" s="1511">
        <v>350</v>
      </c>
      <c r="O247" s="1232">
        <v>400</v>
      </c>
      <c r="P247" s="1770">
        <v>300</v>
      </c>
      <c r="Q247" s="1512">
        <v>300</v>
      </c>
      <c r="R247" s="1235">
        <v>300</v>
      </c>
      <c r="S247" s="1739"/>
      <c r="T247" s="76"/>
      <c r="U247" s="76"/>
      <c r="V247" s="76"/>
    </row>
    <row r="248" spans="1:22" x14ac:dyDescent="0.2">
      <c r="A248" s="1085"/>
      <c r="B248" s="1085"/>
      <c r="C248" s="1085" t="s">
        <v>714</v>
      </c>
      <c r="D248" s="1056"/>
      <c r="E248" s="1027"/>
      <c r="F248" s="1056"/>
      <c r="G248" s="1027"/>
      <c r="H248" s="1056"/>
      <c r="I248" s="1027"/>
      <c r="J248" s="1027"/>
      <c r="K248" s="1233"/>
      <c r="L248" s="1233">
        <v>0</v>
      </c>
      <c r="M248" s="1232">
        <v>0</v>
      </c>
      <c r="N248" s="1511">
        <v>0</v>
      </c>
      <c r="O248" s="1232">
        <v>0</v>
      </c>
      <c r="P248" s="1781">
        <v>0</v>
      </c>
      <c r="Q248" s="1512">
        <v>0</v>
      </c>
      <c r="R248" s="1235">
        <v>0</v>
      </c>
      <c r="S248" s="1739"/>
      <c r="T248" s="76"/>
      <c r="U248" s="76"/>
      <c r="V248" s="76"/>
    </row>
    <row r="249" spans="1:22" x14ac:dyDescent="0.2">
      <c r="A249" s="1085"/>
      <c r="B249" s="1085"/>
      <c r="C249" s="1085" t="s">
        <v>709</v>
      </c>
      <c r="D249" s="1056"/>
      <c r="E249" s="1027"/>
      <c r="F249" s="1056"/>
      <c r="G249" s="1027"/>
      <c r="H249" s="1056"/>
      <c r="I249" s="1027"/>
      <c r="J249" s="1027"/>
      <c r="K249" s="1233">
        <v>1266</v>
      </c>
      <c r="L249" s="1233">
        <v>1063</v>
      </c>
      <c r="M249" s="1232">
        <v>1391</v>
      </c>
      <c r="N249" s="1511">
        <v>1390</v>
      </c>
      <c r="O249" s="1232">
        <v>1960</v>
      </c>
      <c r="P249" s="1770">
        <v>1960</v>
      </c>
      <c r="Q249" s="1512">
        <v>1960</v>
      </c>
      <c r="R249" s="1235">
        <v>1960</v>
      </c>
      <c r="S249" s="1739"/>
      <c r="T249" s="76"/>
      <c r="U249" s="76"/>
      <c r="V249" s="76"/>
    </row>
    <row r="250" spans="1:22" x14ac:dyDescent="0.2">
      <c r="A250" s="1085"/>
      <c r="B250" s="1085"/>
      <c r="C250" s="1085" t="s">
        <v>710</v>
      </c>
      <c r="D250" s="1056"/>
      <c r="E250" s="1027"/>
      <c r="F250" s="1056"/>
      <c r="G250" s="1027"/>
      <c r="H250" s="1056"/>
      <c r="I250" s="1027"/>
      <c r="J250" s="1027"/>
      <c r="K250" s="1233">
        <v>2250</v>
      </c>
      <c r="L250" s="1233">
        <v>0</v>
      </c>
      <c r="M250" s="1232">
        <v>0</v>
      </c>
      <c r="N250" s="1511">
        <v>2000</v>
      </c>
      <c r="O250" s="1232">
        <v>2015</v>
      </c>
      <c r="P250" s="1770">
        <v>2000</v>
      </c>
      <c r="Q250" s="1512">
        <v>2000</v>
      </c>
      <c r="R250" s="1235">
        <v>2000</v>
      </c>
      <c r="S250" s="1739"/>
      <c r="T250" s="76"/>
      <c r="U250" s="76"/>
      <c r="V250" s="76"/>
    </row>
    <row r="251" spans="1:22" x14ac:dyDescent="0.2">
      <c r="A251" s="1085"/>
      <c r="B251" s="1085"/>
      <c r="C251" s="1085" t="s">
        <v>711</v>
      </c>
      <c r="D251" s="1056"/>
      <c r="E251" s="1027"/>
      <c r="F251" s="1056"/>
      <c r="G251" s="1027"/>
      <c r="H251" s="1056"/>
      <c r="I251" s="1027"/>
      <c r="J251" s="1027"/>
      <c r="K251" s="1233"/>
      <c r="L251" s="1233">
        <v>538</v>
      </c>
      <c r="M251" s="1232">
        <v>1178</v>
      </c>
      <c r="N251" s="1511">
        <v>1800</v>
      </c>
      <c r="O251" s="1232">
        <v>902</v>
      </c>
      <c r="P251" s="1770">
        <v>1000</v>
      </c>
      <c r="Q251" s="1512">
        <v>1000</v>
      </c>
      <c r="R251" s="1235">
        <v>1000</v>
      </c>
      <c r="S251" s="1739"/>
      <c r="T251" s="76"/>
      <c r="U251" s="76"/>
      <c r="V251" s="76"/>
    </row>
    <row r="252" spans="1:22" x14ac:dyDescent="0.2">
      <c r="A252" s="1085"/>
      <c r="B252" s="1085"/>
      <c r="C252" s="1085" t="s">
        <v>740</v>
      </c>
      <c r="D252" s="1056"/>
      <c r="E252" s="1027"/>
      <c r="F252" s="1056"/>
      <c r="G252" s="1027"/>
      <c r="H252" s="1056"/>
      <c r="I252" s="1027"/>
      <c r="J252" s="1027"/>
      <c r="K252" s="1233">
        <v>2268</v>
      </c>
      <c r="L252" s="1233">
        <v>1352</v>
      </c>
      <c r="M252" s="1232">
        <v>1842</v>
      </c>
      <c r="N252" s="1511">
        <v>1000</v>
      </c>
      <c r="O252" s="1232">
        <v>947</v>
      </c>
      <c r="P252" s="1770">
        <v>950</v>
      </c>
      <c r="Q252" s="1512">
        <v>950</v>
      </c>
      <c r="R252" s="1235">
        <v>950</v>
      </c>
      <c r="S252" s="1739"/>
      <c r="T252" s="76"/>
      <c r="U252" s="76"/>
      <c r="V252" s="76"/>
    </row>
    <row r="253" spans="1:22" x14ac:dyDescent="0.2">
      <c r="A253" s="1085"/>
      <c r="B253" s="1085"/>
      <c r="C253" s="1085" t="s">
        <v>712</v>
      </c>
      <c r="D253" s="1056"/>
      <c r="E253" s="1027"/>
      <c r="F253" s="1056"/>
      <c r="G253" s="1027"/>
      <c r="H253" s="1056"/>
      <c r="I253" s="1027"/>
      <c r="J253" s="1027"/>
      <c r="K253" s="1233">
        <v>450</v>
      </c>
      <c r="L253" s="1233">
        <v>450</v>
      </c>
      <c r="M253" s="1232">
        <v>600</v>
      </c>
      <c r="N253" s="1511">
        <v>600</v>
      </c>
      <c r="O253" s="1232">
        <v>900</v>
      </c>
      <c r="P253" s="1781">
        <v>900</v>
      </c>
      <c r="Q253" s="1512">
        <v>900</v>
      </c>
      <c r="R253" s="1235">
        <v>900</v>
      </c>
      <c r="S253" s="1739"/>
      <c r="T253" s="76"/>
      <c r="U253" s="76"/>
      <c r="V253" s="76"/>
    </row>
    <row r="254" spans="1:22" x14ac:dyDescent="0.2">
      <c r="A254" s="1085"/>
      <c r="B254" s="1085"/>
      <c r="C254" s="1085" t="s">
        <v>713</v>
      </c>
      <c r="D254" s="1056"/>
      <c r="E254" s="1027"/>
      <c r="F254" s="1056"/>
      <c r="G254" s="1027"/>
      <c r="H254" s="1056"/>
      <c r="I254" s="1027"/>
      <c r="J254" s="1027">
        <v>266</v>
      </c>
      <c r="K254" s="1233">
        <v>116.2</v>
      </c>
      <c r="L254" s="1233">
        <v>182</v>
      </c>
      <c r="M254" s="1232">
        <v>166</v>
      </c>
      <c r="N254" s="1511">
        <v>166</v>
      </c>
      <c r="O254" s="1232">
        <v>116</v>
      </c>
      <c r="P254" s="1770">
        <v>116</v>
      </c>
      <c r="Q254" s="1512">
        <v>116</v>
      </c>
      <c r="R254" s="1235">
        <v>116</v>
      </c>
      <c r="S254" s="1739"/>
      <c r="T254" s="76"/>
      <c r="U254" s="76"/>
      <c r="V254" s="76"/>
    </row>
    <row r="255" spans="1:22" x14ac:dyDescent="0.2">
      <c r="A255" s="1085"/>
      <c r="B255" s="1085"/>
      <c r="C255" s="1085" t="s">
        <v>892</v>
      </c>
      <c r="D255" s="1056"/>
      <c r="E255" s="1027"/>
      <c r="F255" s="1056"/>
      <c r="G255" s="1027"/>
      <c r="H255" s="1056"/>
      <c r="I255" s="1027"/>
      <c r="J255" s="1027"/>
      <c r="K255" s="1233">
        <v>1500</v>
      </c>
      <c r="L255" s="1233">
        <v>2000</v>
      </c>
      <c r="M255" s="1232">
        <v>150</v>
      </c>
      <c r="N255" s="1511">
        <v>0</v>
      </c>
      <c r="O255" s="1232">
        <v>1963</v>
      </c>
      <c r="P255" s="1770">
        <v>1000</v>
      </c>
      <c r="Q255" s="1512">
        <v>1000</v>
      </c>
      <c r="R255" s="1235">
        <v>1000</v>
      </c>
      <c r="S255" s="1739"/>
      <c r="T255" s="76"/>
      <c r="U255" s="76"/>
      <c r="V255" s="76"/>
    </row>
    <row r="256" spans="1:22" x14ac:dyDescent="0.2">
      <c r="A256" s="1085"/>
      <c r="B256" s="1085"/>
      <c r="C256" s="1085" t="s">
        <v>834</v>
      </c>
      <c r="D256" s="1056"/>
      <c r="E256" s="1027"/>
      <c r="F256" s="1056"/>
      <c r="G256" s="1027"/>
      <c r="H256" s="1056"/>
      <c r="I256" s="1027"/>
      <c r="J256" s="1027"/>
      <c r="K256" s="1233"/>
      <c r="L256" s="1233">
        <v>1168</v>
      </c>
      <c r="M256" s="1232">
        <v>0</v>
      </c>
      <c r="N256" s="1511">
        <v>0</v>
      </c>
      <c r="O256" s="1232">
        <v>0</v>
      </c>
      <c r="P256" s="1770">
        <v>0</v>
      </c>
      <c r="Q256" s="1512"/>
      <c r="R256" s="1235"/>
      <c r="S256" s="1739"/>
      <c r="T256" s="76"/>
      <c r="U256" s="76"/>
      <c r="V256" s="76"/>
    </row>
    <row r="257" spans="1:22" x14ac:dyDescent="0.2">
      <c r="A257" s="1085"/>
      <c r="B257" s="1085"/>
      <c r="C257" s="1085" t="s">
        <v>895</v>
      </c>
      <c r="D257" s="1056"/>
      <c r="E257" s="1027"/>
      <c r="F257" s="1056"/>
      <c r="G257" s="1027"/>
      <c r="H257" s="1056"/>
      <c r="I257" s="1027"/>
      <c r="J257" s="1027"/>
      <c r="K257" s="1233">
        <v>79.19</v>
      </c>
      <c r="L257" s="1233">
        <v>0</v>
      </c>
      <c r="M257" s="1232">
        <v>0</v>
      </c>
      <c r="N257" s="1511">
        <v>0</v>
      </c>
      <c r="O257" s="1232">
        <v>0</v>
      </c>
      <c r="P257" s="1781">
        <v>0</v>
      </c>
      <c r="Q257" s="1232"/>
      <c r="R257" s="1233"/>
      <c r="S257" s="1739"/>
      <c r="T257" s="76"/>
      <c r="U257" s="76"/>
      <c r="V257" s="76"/>
    </row>
    <row r="258" spans="1:22" x14ac:dyDescent="0.2">
      <c r="A258" s="2010" t="s">
        <v>163</v>
      </c>
      <c r="B258" s="2010"/>
      <c r="C258" s="2010"/>
      <c r="D258" s="1808"/>
      <c r="E258" s="1513"/>
      <c r="F258" s="1808"/>
      <c r="G258" s="1513"/>
      <c r="H258" s="1808"/>
      <c r="I258" s="1513"/>
      <c r="J258" s="1513">
        <f>SUM(J259:J265)</f>
        <v>16206</v>
      </c>
      <c r="K258" s="1513">
        <f>SUM(K259:K273)</f>
        <v>47848.49</v>
      </c>
      <c r="L258" s="1513">
        <f>SUM(L259:L273)</f>
        <v>60849</v>
      </c>
      <c r="M258" s="1513">
        <f>SUM(M259:M273)</f>
        <v>70568</v>
      </c>
      <c r="N258" s="1513">
        <f>SUM(N259:N265)+N268</f>
        <v>63672</v>
      </c>
      <c r="O258" s="1809">
        <f>SUM(O259:O272)+O273</f>
        <v>94943</v>
      </c>
      <c r="P258" s="1810">
        <f>SUM(P259:P273)</f>
        <v>103544</v>
      </c>
      <c r="Q258" s="1513">
        <f>SUM(Q259:Q273)</f>
        <v>107244</v>
      </c>
      <c r="R258" s="1513">
        <f>SUM(R259:R273)</f>
        <v>107444</v>
      </c>
      <c r="S258" s="1739"/>
      <c r="T258" s="76"/>
      <c r="U258" s="76"/>
      <c r="V258" s="76"/>
    </row>
    <row r="259" spans="1:22" x14ac:dyDescent="0.2">
      <c r="A259" s="1085"/>
      <c r="B259" s="1085"/>
      <c r="C259" s="1085" t="s">
        <v>715</v>
      </c>
      <c r="D259" s="1056"/>
      <c r="E259" s="1027"/>
      <c r="F259" s="1056"/>
      <c r="G259" s="1027"/>
      <c r="H259" s="1056"/>
      <c r="I259" s="1027"/>
      <c r="J259" s="1027"/>
      <c r="K259" s="1233">
        <v>1476</v>
      </c>
      <c r="L259" s="1233">
        <v>1181</v>
      </c>
      <c r="M259" s="1232">
        <v>2000</v>
      </c>
      <c r="N259" s="1511">
        <v>2500</v>
      </c>
      <c r="O259" s="1232">
        <v>4430</v>
      </c>
      <c r="P259" s="1770">
        <v>4500</v>
      </c>
      <c r="Q259" s="1512">
        <v>4800</v>
      </c>
      <c r="R259" s="1235">
        <v>5000</v>
      </c>
      <c r="S259" s="1739"/>
      <c r="T259" s="76"/>
      <c r="U259" s="76"/>
      <c r="V259" s="76"/>
    </row>
    <row r="260" spans="1:22" x14ac:dyDescent="0.2">
      <c r="A260" s="1085"/>
      <c r="B260" s="1085"/>
      <c r="C260" s="1085" t="s">
        <v>717</v>
      </c>
      <c r="D260" s="1056"/>
      <c r="E260" s="1027"/>
      <c r="F260" s="1056"/>
      <c r="G260" s="1027"/>
      <c r="H260" s="1056"/>
      <c r="I260" s="1027"/>
      <c r="J260" s="1027">
        <v>12301</v>
      </c>
      <c r="K260" s="1233">
        <v>4970.74</v>
      </c>
      <c r="L260" s="1233">
        <v>5327</v>
      </c>
      <c r="M260" s="1232">
        <v>17000</v>
      </c>
      <c r="N260" s="1511">
        <v>21500</v>
      </c>
      <c r="O260" s="1232">
        <v>21055</v>
      </c>
      <c r="P260" s="1781">
        <v>22500</v>
      </c>
      <c r="Q260" s="1512">
        <v>23500</v>
      </c>
      <c r="R260" s="1235">
        <v>23500</v>
      </c>
      <c r="S260" s="1739"/>
      <c r="T260" s="76"/>
      <c r="U260" s="76"/>
      <c r="V260" s="76"/>
    </row>
    <row r="261" spans="1:22" x14ac:dyDescent="0.2">
      <c r="A261" s="1085"/>
      <c r="B261" s="1085"/>
      <c r="C261" s="1085" t="s">
        <v>808</v>
      </c>
      <c r="D261" s="1056"/>
      <c r="E261" s="1027"/>
      <c r="F261" s="1056"/>
      <c r="G261" s="1027"/>
      <c r="H261" s="1056"/>
      <c r="I261" s="1027"/>
      <c r="J261" s="1027"/>
      <c r="K261" s="1233">
        <v>5215.2</v>
      </c>
      <c r="L261" s="1233">
        <v>6110</v>
      </c>
      <c r="M261" s="1232">
        <v>4368</v>
      </c>
      <c r="N261" s="1511">
        <v>3900</v>
      </c>
      <c r="O261" s="1232">
        <v>7469</v>
      </c>
      <c r="P261" s="1770">
        <v>9000</v>
      </c>
      <c r="Q261" s="1512">
        <v>9000</v>
      </c>
      <c r="R261" s="1235">
        <v>9000</v>
      </c>
      <c r="S261" s="1739"/>
      <c r="T261" s="76"/>
      <c r="U261" s="76"/>
      <c r="V261" s="76"/>
    </row>
    <row r="262" spans="1:22" x14ac:dyDescent="0.2">
      <c r="A262" s="1085"/>
      <c r="B262" s="1085"/>
      <c r="C262" s="1085" t="s">
        <v>718</v>
      </c>
      <c r="D262" s="1056"/>
      <c r="E262" s="1027"/>
      <c r="F262" s="1056"/>
      <c r="G262" s="1027"/>
      <c r="H262" s="1056"/>
      <c r="I262" s="1027"/>
      <c r="J262" s="1027"/>
      <c r="K262" s="1233">
        <v>0</v>
      </c>
      <c r="L262" s="1233">
        <v>3100</v>
      </c>
      <c r="M262" s="1232">
        <v>3100</v>
      </c>
      <c r="N262" s="1511">
        <v>3100</v>
      </c>
      <c r="O262" s="1232">
        <v>2217</v>
      </c>
      <c r="P262" s="1781">
        <v>3100</v>
      </c>
      <c r="Q262" s="1512">
        <v>3500</v>
      </c>
      <c r="R262" s="1235">
        <v>3500</v>
      </c>
      <c r="S262" s="1739"/>
      <c r="T262" s="76"/>
      <c r="U262" s="76"/>
      <c r="V262" s="76"/>
    </row>
    <row r="263" spans="1:22" x14ac:dyDescent="0.2">
      <c r="A263" s="1085"/>
      <c r="B263" s="1085"/>
      <c r="C263" s="1752" t="s">
        <v>873</v>
      </c>
      <c r="D263" s="1056"/>
      <c r="E263" s="1027"/>
      <c r="F263" s="1056"/>
      <c r="G263" s="1027"/>
      <c r="H263" s="1056"/>
      <c r="I263" s="1027"/>
      <c r="J263" s="1027"/>
      <c r="K263" s="1233"/>
      <c r="L263" s="1233">
        <v>5227</v>
      </c>
      <c r="M263" s="1232">
        <v>0</v>
      </c>
      <c r="N263" s="1511">
        <v>0</v>
      </c>
      <c r="O263" s="1232">
        <v>279</v>
      </c>
      <c r="P263" s="1770">
        <v>0</v>
      </c>
      <c r="Q263" s="1512"/>
      <c r="R263" s="1235"/>
      <c r="S263" s="1739"/>
      <c r="T263" s="76"/>
      <c r="U263" s="76"/>
      <c r="V263" s="76"/>
    </row>
    <row r="264" spans="1:22" x14ac:dyDescent="0.2">
      <c r="A264" s="1085"/>
      <c r="B264" s="1085"/>
      <c r="C264" s="1085" t="s">
        <v>719</v>
      </c>
      <c r="D264" s="1056"/>
      <c r="E264" s="1027"/>
      <c r="F264" s="1056"/>
      <c r="G264" s="1027"/>
      <c r="H264" s="1056"/>
      <c r="I264" s="1027"/>
      <c r="J264" s="1027">
        <v>3805</v>
      </c>
      <c r="K264" s="1233">
        <v>4644</v>
      </c>
      <c r="L264" s="1233">
        <v>7887</v>
      </c>
      <c r="M264" s="1232">
        <v>15000</v>
      </c>
      <c r="N264" s="1511">
        <v>13000</v>
      </c>
      <c r="O264" s="1232">
        <v>22834</v>
      </c>
      <c r="P264" s="1770">
        <v>20000</v>
      </c>
      <c r="Q264" s="1512">
        <v>22000</v>
      </c>
      <c r="R264" s="1235">
        <v>22000</v>
      </c>
      <c r="S264" s="1739"/>
      <c r="T264" s="76"/>
      <c r="U264" s="76"/>
      <c r="V264" s="76"/>
    </row>
    <row r="265" spans="1:22" x14ac:dyDescent="0.2">
      <c r="A265" s="1085"/>
      <c r="B265" s="1085"/>
      <c r="C265" s="1085" t="s">
        <v>716</v>
      </c>
      <c r="D265" s="1056"/>
      <c r="E265" s="1027"/>
      <c r="F265" s="1056"/>
      <c r="G265" s="1027"/>
      <c r="H265" s="1056"/>
      <c r="I265" s="1027"/>
      <c r="J265" s="1027">
        <v>100</v>
      </c>
      <c r="K265" s="1233">
        <v>100</v>
      </c>
      <c r="L265" s="1233">
        <v>0</v>
      </c>
      <c r="M265" s="1232">
        <v>300</v>
      </c>
      <c r="N265" s="1511">
        <v>200</v>
      </c>
      <c r="O265" s="1232">
        <v>0</v>
      </c>
      <c r="P265" s="1770">
        <v>200</v>
      </c>
      <c r="Q265" s="1512">
        <v>200</v>
      </c>
      <c r="R265" s="1235">
        <v>200</v>
      </c>
      <c r="S265" s="1739"/>
      <c r="T265" s="76"/>
      <c r="U265" s="76"/>
      <c r="V265" s="76"/>
    </row>
    <row r="266" spans="1:22" x14ac:dyDescent="0.2">
      <c r="A266" s="1085"/>
      <c r="B266" s="1085"/>
      <c r="C266" s="1085" t="s">
        <v>835</v>
      </c>
      <c r="D266" s="1056"/>
      <c r="E266" s="1027"/>
      <c r="F266" s="1056"/>
      <c r="G266" s="1027"/>
      <c r="H266" s="1056"/>
      <c r="I266" s="1027"/>
      <c r="J266" s="1027"/>
      <c r="K266" s="1233">
        <v>1843.66</v>
      </c>
      <c r="L266" s="1233">
        <v>3000</v>
      </c>
      <c r="M266" s="1232">
        <v>0</v>
      </c>
      <c r="N266" s="1511">
        <v>0</v>
      </c>
      <c r="O266" s="1232">
        <v>0</v>
      </c>
      <c r="P266" s="1781">
        <v>0</v>
      </c>
      <c r="Q266" s="1512"/>
      <c r="R266" s="1235"/>
      <c r="S266" s="1739"/>
      <c r="T266" s="76"/>
      <c r="U266" s="76"/>
      <c r="V266" s="76"/>
    </row>
    <row r="267" spans="1:22" x14ac:dyDescent="0.2">
      <c r="A267" s="1085"/>
      <c r="B267" s="1085"/>
      <c r="C267" s="1085" t="s">
        <v>836</v>
      </c>
      <c r="D267" s="1056"/>
      <c r="E267" s="1027"/>
      <c r="F267" s="1056"/>
      <c r="G267" s="1027"/>
      <c r="H267" s="1056"/>
      <c r="I267" s="1027"/>
      <c r="J267" s="1027"/>
      <c r="K267" s="1233"/>
      <c r="L267" s="1233">
        <v>26598</v>
      </c>
      <c r="M267" s="1232"/>
      <c r="N267" s="1511"/>
      <c r="O267" s="1232"/>
      <c r="P267" s="1781"/>
      <c r="Q267" s="1512"/>
      <c r="R267" s="1235"/>
      <c r="S267" s="1739"/>
      <c r="T267" s="76"/>
      <c r="U267" s="76"/>
      <c r="V267" s="76"/>
    </row>
    <row r="268" spans="1:22" x14ac:dyDescent="0.2">
      <c r="A268" s="1085"/>
      <c r="B268" s="1085"/>
      <c r="C268" s="1085" t="s">
        <v>894</v>
      </c>
      <c r="D268" s="1056"/>
      <c r="E268" s="1027"/>
      <c r="F268" s="1056"/>
      <c r="G268" s="1027"/>
      <c r="H268" s="1056"/>
      <c r="I268" s="1027"/>
      <c r="J268" s="1027"/>
      <c r="K268" s="1233">
        <v>2264.5500000000002</v>
      </c>
      <c r="L268" s="1233"/>
      <c r="M268" s="1232">
        <v>28800</v>
      </c>
      <c r="N268" s="1511">
        <v>19472</v>
      </c>
      <c r="O268" s="1232">
        <v>32301</v>
      </c>
      <c r="P268" s="1781">
        <v>38544</v>
      </c>
      <c r="Q268" s="1512">
        <v>38544</v>
      </c>
      <c r="R268" s="1235">
        <v>38544</v>
      </c>
      <c r="S268" s="1739"/>
      <c r="T268" s="76"/>
      <c r="U268" s="76"/>
      <c r="V268" s="76"/>
    </row>
    <row r="269" spans="1:22" x14ac:dyDescent="0.2">
      <c r="A269" s="1085"/>
      <c r="B269" s="1085"/>
      <c r="C269" s="1085" t="s">
        <v>886</v>
      </c>
      <c r="D269" s="1056"/>
      <c r="E269" s="1027"/>
      <c r="F269" s="1056"/>
      <c r="G269" s="1027"/>
      <c r="H269" s="1056"/>
      <c r="I269" s="1027"/>
      <c r="J269" s="1027"/>
      <c r="K269" s="1233"/>
      <c r="L269" s="1233">
        <v>430</v>
      </c>
      <c r="M269" s="1232">
        <v>0</v>
      </c>
      <c r="N269" s="1511">
        <v>0</v>
      </c>
      <c r="O269" s="1232">
        <v>0</v>
      </c>
      <c r="P269" s="1781">
        <v>0</v>
      </c>
      <c r="Q269" s="1512"/>
      <c r="R269" s="1235"/>
      <c r="S269" s="1739"/>
      <c r="T269" s="76"/>
      <c r="U269" s="76"/>
      <c r="V269" s="76"/>
    </row>
    <row r="270" spans="1:22" x14ac:dyDescent="0.2">
      <c r="A270" s="1085"/>
      <c r="B270" s="1085"/>
      <c r="C270" s="1085" t="s">
        <v>887</v>
      </c>
      <c r="D270" s="1056"/>
      <c r="E270" s="1027"/>
      <c r="F270" s="1056"/>
      <c r="G270" s="1027"/>
      <c r="H270" s="1056"/>
      <c r="I270" s="1027"/>
      <c r="J270" s="1027"/>
      <c r="K270" s="1233">
        <v>100</v>
      </c>
      <c r="L270" s="1233">
        <v>100</v>
      </c>
      <c r="M270" s="1232">
        <v>0</v>
      </c>
      <c r="N270" s="1511">
        <v>0</v>
      </c>
      <c r="O270" s="1232">
        <v>0</v>
      </c>
      <c r="P270" s="1781">
        <v>0</v>
      </c>
      <c r="Q270" s="1512"/>
      <c r="R270" s="1235"/>
      <c r="S270" s="1739"/>
      <c r="T270" s="76"/>
      <c r="U270" s="76"/>
      <c r="V270" s="76"/>
    </row>
    <row r="271" spans="1:22" x14ac:dyDescent="0.2">
      <c r="A271" s="1085"/>
      <c r="B271" s="1085"/>
      <c r="C271" s="1085" t="s">
        <v>889</v>
      </c>
      <c r="D271" s="1056"/>
      <c r="E271" s="1027"/>
      <c r="F271" s="1056"/>
      <c r="G271" s="1027"/>
      <c r="H271" s="1056"/>
      <c r="I271" s="1027"/>
      <c r="J271" s="1027"/>
      <c r="K271" s="1233"/>
      <c r="L271" s="1233">
        <v>714</v>
      </c>
      <c r="M271" s="1232">
        <v>0</v>
      </c>
      <c r="N271" s="1511">
        <v>0</v>
      </c>
      <c r="O271" s="1232">
        <v>0</v>
      </c>
      <c r="P271" s="1781">
        <v>0</v>
      </c>
      <c r="Q271" s="1512"/>
      <c r="R271" s="1235"/>
      <c r="S271" s="1739"/>
      <c r="T271" s="76"/>
      <c r="U271" s="76"/>
      <c r="V271" s="76"/>
    </row>
    <row r="272" spans="1:22" x14ac:dyDescent="0.2">
      <c r="A272" s="1085"/>
      <c r="B272" s="1085"/>
      <c r="C272" s="1085" t="s">
        <v>987</v>
      </c>
      <c r="D272" s="1056"/>
      <c r="E272" s="1027"/>
      <c r="F272" s="1056"/>
      <c r="G272" s="1027"/>
      <c r="H272" s="1056"/>
      <c r="I272" s="1027"/>
      <c r="J272" s="1027"/>
      <c r="K272" s="1233"/>
      <c r="L272" s="1233"/>
      <c r="M272" s="1232"/>
      <c r="N272" s="1511"/>
      <c r="O272" s="1232">
        <v>4358</v>
      </c>
      <c r="P272" s="1781">
        <v>5700</v>
      </c>
      <c r="Q272" s="1512">
        <v>5700</v>
      </c>
      <c r="R272" s="1235">
        <v>5700</v>
      </c>
      <c r="S272" s="1739"/>
      <c r="T272" s="76"/>
      <c r="U272" s="76"/>
      <c r="V272" s="76"/>
    </row>
    <row r="273" spans="1:23" x14ac:dyDescent="0.2">
      <c r="A273" s="1085"/>
      <c r="B273" s="1085"/>
      <c r="C273" s="1085" t="s">
        <v>875</v>
      </c>
      <c r="D273" s="1056"/>
      <c r="E273" s="1027"/>
      <c r="F273" s="1056"/>
      <c r="G273" s="1027"/>
      <c r="H273" s="1056"/>
      <c r="I273" s="1027"/>
      <c r="J273" s="1027"/>
      <c r="K273" s="1233">
        <v>27234.34</v>
      </c>
      <c r="L273" s="1233">
        <v>1175</v>
      </c>
      <c r="M273" s="1232">
        <v>0</v>
      </c>
      <c r="N273" s="1511">
        <v>0</v>
      </c>
      <c r="O273" s="1232">
        <v>0</v>
      </c>
      <c r="P273" s="1770">
        <v>0</v>
      </c>
      <c r="Q273" s="1512"/>
      <c r="R273" s="1235"/>
      <c r="S273" s="1739"/>
      <c r="T273" s="76"/>
      <c r="U273" s="76"/>
      <c r="V273" s="76"/>
    </row>
    <row r="274" spans="1:23" x14ac:dyDescent="0.2">
      <c r="A274" s="1683" t="s">
        <v>160</v>
      </c>
      <c r="B274" s="1684"/>
      <c r="C274" s="1683"/>
      <c r="D274" s="1803">
        <f>SUM(D219,D242,D258)</f>
        <v>0</v>
      </c>
      <c r="E274" s="1704"/>
      <c r="F274" s="1803">
        <f>SUM(F219,F242,F258)</f>
        <v>0</v>
      </c>
      <c r="G274" s="1704"/>
      <c r="H274" s="1803">
        <f>SUM(H219,H242,H258)</f>
        <v>0</v>
      </c>
      <c r="I274" s="1704"/>
      <c r="J274" s="1704">
        <f>J219+J242+J258</f>
        <v>696009</v>
      </c>
      <c r="K274" s="1704">
        <f>SUM(K219,K242,K258)</f>
        <v>930051.71</v>
      </c>
      <c r="L274" s="1704">
        <f>L219+L242+L258</f>
        <v>965013</v>
      </c>
      <c r="M274" s="1704">
        <f>SUM(M219,M242,M258)</f>
        <v>979772</v>
      </c>
      <c r="N274" s="1704">
        <f>N219+N242+N258</f>
        <v>1089014</v>
      </c>
      <c r="O274" s="1704">
        <f>O219+O242+O258</f>
        <v>1084195</v>
      </c>
      <c r="P274" s="1788">
        <f>P219+P242+P258</f>
        <v>1048851</v>
      </c>
      <c r="Q274" s="1685">
        <f>Q219+Q242+Q258</f>
        <v>1051233</v>
      </c>
      <c r="R274" s="1686">
        <f>R219+R242+R258</f>
        <v>1051433</v>
      </c>
      <c r="S274" s="1742"/>
      <c r="T274" s="83"/>
      <c r="U274" s="83"/>
      <c r="V274" s="83"/>
    </row>
    <row r="275" spans="1:23" x14ac:dyDescent="0.2">
      <c r="A275" s="88"/>
      <c r="B275" s="20"/>
      <c r="C275" s="88"/>
      <c r="D275" s="83"/>
      <c r="E275" s="59"/>
      <c r="F275" s="83"/>
      <c r="G275" s="59"/>
      <c r="H275" s="83"/>
      <c r="I275" s="59"/>
      <c r="J275" s="59"/>
      <c r="K275" s="83"/>
      <c r="L275" s="83"/>
      <c r="M275" s="83"/>
      <c r="N275" s="83"/>
      <c r="O275" s="83"/>
      <c r="P275" s="1311"/>
      <c r="Q275" s="34"/>
      <c r="R275" s="76"/>
      <c r="S275" s="1742"/>
      <c r="T275" s="83"/>
      <c r="U275" s="83"/>
      <c r="V275" s="83"/>
    </row>
    <row r="276" spans="1:23" x14ac:dyDescent="0.2">
      <c r="A276" s="88"/>
      <c r="B276" s="20"/>
      <c r="C276" s="88"/>
      <c r="D276" s="83"/>
      <c r="E276" s="59"/>
      <c r="F276" s="83"/>
      <c r="G276" s="59"/>
      <c r="H276" s="83"/>
      <c r="I276" s="59"/>
      <c r="J276" s="59"/>
      <c r="K276" s="83"/>
      <c r="L276" s="83"/>
      <c r="M276" s="83"/>
      <c r="N276" s="83"/>
      <c r="O276" s="83"/>
      <c r="P276" s="1311"/>
      <c r="Q276" s="34"/>
      <c r="R276" s="76"/>
      <c r="S276" s="1742"/>
      <c r="T276" s="83"/>
      <c r="U276" s="83"/>
      <c r="V276" s="83"/>
    </row>
    <row r="277" spans="1:23" x14ac:dyDescent="0.2">
      <c r="A277" s="88"/>
      <c r="B277" s="20"/>
      <c r="C277" s="88"/>
      <c r="D277" s="83"/>
      <c r="E277" s="59"/>
      <c r="F277" s="83"/>
      <c r="G277" s="59"/>
      <c r="H277" s="83"/>
      <c r="I277" s="59"/>
      <c r="J277" s="59"/>
      <c r="K277" s="83"/>
      <c r="L277" s="83"/>
      <c r="M277" s="83"/>
      <c r="N277" s="83"/>
      <c r="O277" s="83"/>
      <c r="P277" s="1311"/>
      <c r="Q277" s="34"/>
      <c r="R277" s="76"/>
      <c r="S277" s="1742"/>
      <c r="T277" s="83"/>
      <c r="U277" s="83"/>
      <c r="V277" s="83"/>
    </row>
    <row r="278" spans="1:23" x14ac:dyDescent="0.2">
      <c r="A278" s="88"/>
      <c r="B278" s="20"/>
      <c r="C278" s="88"/>
      <c r="D278" s="83"/>
      <c r="E278" s="59"/>
      <c r="F278" s="83"/>
      <c r="G278" s="59"/>
      <c r="H278" s="83"/>
      <c r="I278" s="59"/>
      <c r="J278" s="59"/>
      <c r="K278" s="83"/>
      <c r="L278" s="83"/>
      <c r="M278" s="83"/>
      <c r="N278" s="83"/>
      <c r="O278" s="83"/>
      <c r="P278" s="1311"/>
      <c r="Q278" s="34"/>
      <c r="R278" s="76"/>
      <c r="S278" s="1742"/>
      <c r="T278" s="83"/>
      <c r="U278" s="83"/>
      <c r="V278" s="83"/>
    </row>
    <row r="279" spans="1:23" x14ac:dyDescent="0.2">
      <c r="A279" s="41"/>
      <c r="B279" s="41"/>
      <c r="C279" s="41"/>
      <c r="D279" s="41"/>
      <c r="E279" s="41"/>
      <c r="F279" s="41"/>
      <c r="G279" s="92"/>
      <c r="H279" s="41"/>
      <c r="I279" s="41"/>
      <c r="J279" s="41"/>
      <c r="K279" s="41"/>
      <c r="L279" s="41"/>
      <c r="M279" s="52"/>
      <c r="P279" s="1311"/>
    </row>
    <row r="280" spans="1:23" hidden="1" x14ac:dyDescent="0.2">
      <c r="A280" s="41"/>
      <c r="B280" s="41"/>
      <c r="C280" s="41"/>
      <c r="D280" s="41"/>
      <c r="E280" s="41"/>
      <c r="F280" s="41"/>
      <c r="G280" s="92"/>
      <c r="H280" s="41"/>
      <c r="I280" s="41"/>
      <c r="J280" s="41"/>
      <c r="K280" s="41"/>
      <c r="L280" s="41"/>
      <c r="M280" s="52"/>
    </row>
    <row r="281" spans="1:23" hidden="1" x14ac:dyDescent="0.2">
      <c r="A281" s="41"/>
      <c r="B281" s="41"/>
      <c r="C281" s="41"/>
      <c r="D281" s="41"/>
      <c r="E281" s="41"/>
      <c r="F281" s="41"/>
      <c r="G281" s="92"/>
      <c r="H281" s="41"/>
      <c r="I281" s="41"/>
      <c r="J281" s="41"/>
      <c r="K281" s="41"/>
      <c r="L281" s="41"/>
      <c r="M281" s="52"/>
    </row>
    <row r="282" spans="1:23" hidden="1" x14ac:dyDescent="0.2">
      <c r="A282" s="41"/>
      <c r="B282" s="41"/>
      <c r="C282" s="41"/>
      <c r="D282" s="41"/>
      <c r="E282" s="41"/>
      <c r="F282" s="41"/>
      <c r="G282" s="92"/>
      <c r="H282" s="41"/>
      <c r="I282" s="41"/>
      <c r="J282" s="41"/>
      <c r="K282" s="41"/>
      <c r="L282" s="41"/>
      <c r="M282" s="52"/>
    </row>
    <row r="283" spans="1:23" hidden="1" x14ac:dyDescent="0.2">
      <c r="A283" s="41"/>
      <c r="B283" s="41"/>
      <c r="C283" s="41"/>
      <c r="D283" s="41"/>
      <c r="E283" s="41"/>
      <c r="F283" s="41"/>
      <c r="G283" s="92"/>
      <c r="H283" s="41"/>
      <c r="I283" s="41"/>
      <c r="J283" s="41"/>
      <c r="K283" s="41"/>
      <c r="L283" s="41"/>
      <c r="M283" s="52"/>
    </row>
    <row r="284" spans="1:23" hidden="1" x14ac:dyDescent="0.2">
      <c r="A284" s="41"/>
      <c r="B284" s="41"/>
      <c r="C284" s="41"/>
      <c r="D284" s="41"/>
      <c r="E284" s="41"/>
      <c r="F284" s="41"/>
      <c r="G284" s="92"/>
      <c r="H284" s="41"/>
      <c r="I284" s="41"/>
      <c r="J284" s="41"/>
      <c r="K284" s="41"/>
      <c r="L284" s="41"/>
      <c r="M284" s="52"/>
    </row>
    <row r="285" spans="1:23" ht="13.5" hidden="1" thickBot="1" x14ac:dyDescent="0.25">
      <c r="A285" s="41"/>
      <c r="B285" s="41"/>
      <c r="C285" s="41"/>
      <c r="D285" s="41"/>
      <c r="E285" s="41"/>
      <c r="F285" s="41"/>
      <c r="G285" s="92"/>
      <c r="H285" s="41"/>
      <c r="I285" s="41"/>
      <c r="J285" s="41"/>
      <c r="K285" s="41"/>
      <c r="L285" s="41"/>
      <c r="M285" s="52"/>
    </row>
    <row r="286" spans="1:23" ht="26.25" customHeight="1" x14ac:dyDescent="0.2">
      <c r="A286" s="1761" t="s">
        <v>164</v>
      </c>
      <c r="B286" s="1789"/>
      <c r="C286" s="1763"/>
      <c r="D286" s="1790" t="s">
        <v>147</v>
      </c>
      <c r="E286" s="1791" t="s">
        <v>148</v>
      </c>
      <c r="F286" s="1790" t="s">
        <v>147</v>
      </c>
      <c r="G286" s="1791" t="s">
        <v>148</v>
      </c>
      <c r="H286" s="1790" t="s">
        <v>147</v>
      </c>
      <c r="I286" s="1791" t="s">
        <v>148</v>
      </c>
      <c r="J286" s="1765">
        <v>2018</v>
      </c>
      <c r="K286" s="1540" t="s">
        <v>909</v>
      </c>
      <c r="L286" s="1540">
        <v>2021</v>
      </c>
      <c r="M286" s="1766">
        <v>2022</v>
      </c>
      <c r="N286" s="1767">
        <v>2023</v>
      </c>
      <c r="O286" s="1767" t="s">
        <v>981</v>
      </c>
      <c r="P286" s="1768">
        <v>2024</v>
      </c>
      <c r="Q286" s="1769">
        <v>2025</v>
      </c>
      <c r="R286" s="1769">
        <v>2026</v>
      </c>
      <c r="S286" s="1735"/>
      <c r="T286" s="54"/>
      <c r="U286" s="54"/>
      <c r="V286" s="55"/>
    </row>
    <row r="287" spans="1:23" x14ac:dyDescent="0.2">
      <c r="A287" s="1714" t="s">
        <v>1</v>
      </c>
      <c r="B287" s="1714"/>
      <c r="C287" s="1714"/>
      <c r="D287" s="1056">
        <f t="shared" ref="D287:P287" si="3">D121</f>
        <v>0</v>
      </c>
      <c r="E287" s="1056">
        <f t="shared" si="3"/>
        <v>0</v>
      </c>
      <c r="F287" s="1056">
        <f t="shared" si="3"/>
        <v>0</v>
      </c>
      <c r="G287" s="1056">
        <f t="shared" si="3"/>
        <v>0</v>
      </c>
      <c r="H287" s="1056">
        <f t="shared" si="3"/>
        <v>0</v>
      </c>
      <c r="I287" s="1056">
        <f t="shared" si="3"/>
        <v>0</v>
      </c>
      <c r="J287" s="1027">
        <f t="shared" si="3"/>
        <v>1379071.67</v>
      </c>
      <c r="K287" s="1027">
        <f t="shared" si="3"/>
        <v>1575644</v>
      </c>
      <c r="L287" s="1027">
        <f t="shared" si="3"/>
        <v>1587130</v>
      </c>
      <c r="M287" s="1027">
        <f t="shared" si="3"/>
        <v>1610436</v>
      </c>
      <c r="N287" s="1510">
        <f t="shared" si="3"/>
        <v>1621629</v>
      </c>
      <c r="O287" s="1510">
        <f t="shared" si="3"/>
        <v>1823324</v>
      </c>
      <c r="P287" s="1810">
        <f t="shared" si="3"/>
        <v>1765829</v>
      </c>
      <c r="Q287" s="1033">
        <f>SUM(Q121)</f>
        <v>1835434</v>
      </c>
      <c r="R287" s="1027">
        <f>SUM(R121)</f>
        <v>1955631</v>
      </c>
      <c r="S287" s="1739"/>
      <c r="T287" s="76"/>
      <c r="U287" s="76"/>
      <c r="V287" s="76"/>
      <c r="W287" s="93"/>
    </row>
    <row r="288" spans="1:23" x14ac:dyDescent="0.2">
      <c r="A288" s="1714" t="s">
        <v>79</v>
      </c>
      <c r="B288" s="1714"/>
      <c r="C288" s="1714"/>
      <c r="D288" s="1056">
        <f t="shared" ref="D288:P288" si="4">D158</f>
        <v>471649.89</v>
      </c>
      <c r="E288" s="1056">
        <f t="shared" si="4"/>
        <v>338092.73</v>
      </c>
      <c r="F288" s="1056">
        <f t="shared" si="4"/>
        <v>471649.89</v>
      </c>
      <c r="G288" s="1056">
        <f t="shared" si="4"/>
        <v>338092.73</v>
      </c>
      <c r="H288" s="1056">
        <f t="shared" si="4"/>
        <v>471649.89</v>
      </c>
      <c r="I288" s="1056">
        <f t="shared" si="4"/>
        <v>338092.73</v>
      </c>
      <c r="J288" s="1027">
        <f t="shared" si="4"/>
        <v>2604287.5699999998</v>
      </c>
      <c r="K288" s="1027">
        <f t="shared" si="4"/>
        <v>2970920</v>
      </c>
      <c r="L288" s="1027">
        <f t="shared" si="4"/>
        <v>1696143</v>
      </c>
      <c r="M288" s="1027">
        <f t="shared" si="4"/>
        <v>23000</v>
      </c>
      <c r="N288" s="1510">
        <f t="shared" si="4"/>
        <v>77000</v>
      </c>
      <c r="O288" s="1510">
        <f t="shared" si="4"/>
        <v>25705</v>
      </c>
      <c r="P288" s="1810">
        <f t="shared" si="4"/>
        <v>55000</v>
      </c>
      <c r="Q288" s="1033">
        <f>SUM(Q158)</f>
        <v>30000</v>
      </c>
      <c r="R288" s="1027">
        <f>SUM(R158)</f>
        <v>20000</v>
      </c>
      <c r="S288" s="1739"/>
      <c r="T288" s="76"/>
      <c r="U288" s="76"/>
      <c r="V288" s="76"/>
    </row>
    <row r="289" spans="1:23" x14ac:dyDescent="0.2">
      <c r="A289" s="1714" t="s">
        <v>85</v>
      </c>
      <c r="B289" s="1714"/>
      <c r="C289" s="1714"/>
      <c r="D289" s="1056">
        <f t="shared" ref="D289:P289" si="5">D206</f>
        <v>310000</v>
      </c>
      <c r="E289" s="1056">
        <f t="shared" si="5"/>
        <v>240110.47</v>
      </c>
      <c r="F289" s="1056">
        <f t="shared" si="5"/>
        <v>310000</v>
      </c>
      <c r="G289" s="1056">
        <f t="shared" si="5"/>
        <v>240110.47</v>
      </c>
      <c r="H289" s="1056">
        <f t="shared" si="5"/>
        <v>310000</v>
      </c>
      <c r="I289" s="1056">
        <f t="shared" si="5"/>
        <v>240110.47</v>
      </c>
      <c r="J289" s="1027">
        <f t="shared" si="5"/>
        <v>3473630.42</v>
      </c>
      <c r="K289" s="1027">
        <f t="shared" si="5"/>
        <v>2880952</v>
      </c>
      <c r="L289" s="1027">
        <f t="shared" si="5"/>
        <v>247358</v>
      </c>
      <c r="M289" s="1027">
        <f t="shared" si="5"/>
        <v>192106</v>
      </c>
      <c r="N289" s="1510">
        <f t="shared" si="5"/>
        <v>0</v>
      </c>
      <c r="O289" s="1510">
        <f t="shared" si="5"/>
        <v>128391</v>
      </c>
      <c r="P289" s="1810">
        <f t="shared" si="5"/>
        <v>10000</v>
      </c>
      <c r="Q289" s="1033">
        <f>SUM(Q206)</f>
        <v>0</v>
      </c>
      <c r="R289" s="1027">
        <f>SUM(R206)</f>
        <v>0</v>
      </c>
      <c r="S289" s="1739"/>
      <c r="T289" s="76"/>
      <c r="U289" s="76"/>
      <c r="V289" s="76"/>
      <c r="W289" s="94"/>
    </row>
    <row r="290" spans="1:23" x14ac:dyDescent="0.2">
      <c r="A290" s="1714" t="s">
        <v>160</v>
      </c>
      <c r="B290" s="1714"/>
      <c r="C290" s="1714"/>
      <c r="D290" s="1056">
        <f t="shared" ref="D290:N290" si="6">D274</f>
        <v>0</v>
      </c>
      <c r="E290" s="1056">
        <f t="shared" si="6"/>
        <v>0</v>
      </c>
      <c r="F290" s="1056">
        <f t="shared" si="6"/>
        <v>0</v>
      </c>
      <c r="G290" s="1056">
        <f t="shared" si="6"/>
        <v>0</v>
      </c>
      <c r="H290" s="1056">
        <f t="shared" si="6"/>
        <v>0</v>
      </c>
      <c r="I290" s="1056">
        <f t="shared" si="6"/>
        <v>0</v>
      </c>
      <c r="J290" s="1027">
        <f>J274</f>
        <v>696009</v>
      </c>
      <c r="K290" s="1027">
        <f t="shared" si="6"/>
        <v>930051.71</v>
      </c>
      <c r="L290" s="1027">
        <f>L274</f>
        <v>965013</v>
      </c>
      <c r="M290" s="1027">
        <f t="shared" si="6"/>
        <v>979772</v>
      </c>
      <c r="N290" s="1510">
        <f t="shared" si="6"/>
        <v>1089014</v>
      </c>
      <c r="O290" s="1510">
        <f>O274</f>
        <v>1084195</v>
      </c>
      <c r="P290" s="1810">
        <f>P274</f>
        <v>1048851</v>
      </c>
      <c r="Q290" s="1033">
        <f>Q274</f>
        <v>1051233</v>
      </c>
      <c r="R290" s="1027">
        <f>R274</f>
        <v>1051433</v>
      </c>
      <c r="S290" s="1739"/>
      <c r="T290" s="76"/>
      <c r="U290" s="76"/>
      <c r="V290" s="76"/>
    </row>
    <row r="291" spans="1:23" x14ac:dyDescent="0.2">
      <c r="A291" s="1814" t="s">
        <v>165</v>
      </c>
      <c r="B291" s="1814"/>
      <c r="C291" s="1814"/>
      <c r="D291" s="1815">
        <f>SUM(D287,D288,D289,D290)</f>
        <v>781649.89</v>
      </c>
      <c r="E291" s="1815">
        <f>E287+E288+E289+E290</f>
        <v>578203.19999999995</v>
      </c>
      <c r="F291" s="1815">
        <f>SUM(F287,F288,F289,F290)</f>
        <v>781649.89</v>
      </c>
      <c r="G291" s="1815">
        <f>G287+G288+G289+G290</f>
        <v>578203.19999999995</v>
      </c>
      <c r="H291" s="1815">
        <f>SUM(H287,H288,H289,H290)</f>
        <v>781649.89</v>
      </c>
      <c r="I291" s="1815">
        <f>I287+I288+I289+I290</f>
        <v>578203.19999999995</v>
      </c>
      <c r="J291" s="1584">
        <f>SUM(J287:J290)</f>
        <v>8152998.6600000001</v>
      </c>
      <c r="K291" s="1584">
        <f>SUM(K287,K288,K289,K290)</f>
        <v>8357567.71</v>
      </c>
      <c r="L291" s="1584">
        <f>SUM(L287:L290)</f>
        <v>4495644</v>
      </c>
      <c r="M291" s="1584">
        <f>SUM(M287,M288,M289,M290)</f>
        <v>2805314</v>
      </c>
      <c r="N291" s="1584">
        <f>N287+N288+N289+N290</f>
        <v>2787643</v>
      </c>
      <c r="O291" s="1584">
        <f>O287+O288+O289+O290</f>
        <v>3061615</v>
      </c>
      <c r="P291" s="1775">
        <f>P287+P288+P289+P290</f>
        <v>2879680</v>
      </c>
      <c r="Q291" s="1717">
        <f>SUM(Q287,Q288,Q289,Q290)</f>
        <v>2916667</v>
      </c>
      <c r="R291" s="1584">
        <f>SUM(R287,R288,R289,R290)</f>
        <v>3027064</v>
      </c>
      <c r="S291" s="1739"/>
      <c r="T291" s="76"/>
      <c r="U291" s="76"/>
      <c r="V291" s="76"/>
    </row>
    <row r="292" spans="1:23" x14ac:dyDescent="0.2">
      <c r="P292" s="1311"/>
    </row>
    <row r="293" spans="1:23" x14ac:dyDescent="0.2">
      <c r="P293" s="1311"/>
    </row>
    <row r="294" spans="1:23" x14ac:dyDescent="0.2">
      <c r="P294" s="1311"/>
    </row>
    <row r="295" spans="1:23" x14ac:dyDescent="0.2">
      <c r="P295" s="1311"/>
    </row>
    <row r="296" spans="1:23" x14ac:dyDescent="0.2">
      <c r="P296" s="1311"/>
    </row>
    <row r="297" spans="1:23" x14ac:dyDescent="0.2">
      <c r="P297" s="1311"/>
    </row>
    <row r="298" spans="1:23" x14ac:dyDescent="0.2">
      <c r="P298" s="1311"/>
    </row>
  </sheetData>
  <mergeCells count="18">
    <mergeCell ref="A69:C69"/>
    <mergeCell ref="A2:R2"/>
    <mergeCell ref="A5:E5"/>
    <mergeCell ref="M5:R5"/>
    <mergeCell ref="A32:C32"/>
    <mergeCell ref="M35:R35"/>
    <mergeCell ref="M81:R81"/>
    <mergeCell ref="A120:C120"/>
    <mergeCell ref="M130:R130"/>
    <mergeCell ref="A135:C135"/>
    <mergeCell ref="M143:R143"/>
    <mergeCell ref="W142:Y142"/>
    <mergeCell ref="M198:R198"/>
    <mergeCell ref="A258:C258"/>
    <mergeCell ref="M177:R177"/>
    <mergeCell ref="A219:C219"/>
    <mergeCell ref="A242:C242"/>
    <mergeCell ref="A157:C157"/>
  </mergeCells>
  <phoneticPr fontId="44" type="noConversion"/>
  <printOptions horizontalCentered="1"/>
  <pageMargins left="0.43307086614173229" right="0.23622047244094491" top="0.74803149606299213" bottom="0.74803149606299213" header="0.31496062992125984" footer="0.31496062992125984"/>
  <pageSetup paperSize="9" scale="83" firstPageNumber="0" fitToHeight="0" orientation="portrait" r:id="rId1"/>
  <headerFooter alignWithMargins="0">
    <oddFooter>&amp;CStrana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8"/>
  <sheetViews>
    <sheetView zoomScaleNormal="100" workbookViewId="0">
      <selection activeCell="K37" sqref="K37"/>
    </sheetView>
  </sheetViews>
  <sheetFormatPr defaultRowHeight="12.75" x14ac:dyDescent="0.2"/>
  <cols>
    <col min="1" max="1" width="3.5703125" style="95" customWidth="1"/>
    <col min="2" max="2" width="4.140625" style="1" customWidth="1"/>
    <col min="4" max="4" width="3.42578125" customWidth="1"/>
    <col min="5" max="5" width="31.140625" customWidth="1"/>
    <col min="6" max="6" width="11.85546875" style="96" customWidth="1"/>
    <col min="7" max="7" width="0" style="97" hidden="1" customWidth="1"/>
    <col min="8" max="9" width="9.140625" style="97"/>
    <col min="10" max="10" width="9.7109375" style="97" bestFit="1" customWidth="1"/>
    <col min="11" max="11" width="9.140625" style="97"/>
    <col min="12" max="12" width="8.42578125" style="98" customWidth="1"/>
    <col min="13" max="14" width="8.42578125" customWidth="1"/>
  </cols>
  <sheetData>
    <row r="1" spans="1:14" ht="15.75" x14ac:dyDescent="0.25">
      <c r="B1" s="99" t="s">
        <v>166</v>
      </c>
      <c r="E1" s="99" t="s">
        <v>167</v>
      </c>
      <c r="G1" s="100" t="e">
        <f>#REF!-G7</f>
        <v>#REF!</v>
      </c>
      <c r="H1" s="100"/>
      <c r="I1" s="100"/>
      <c r="J1" s="100"/>
      <c r="K1" s="100"/>
      <c r="L1" s="101"/>
      <c r="M1" s="101"/>
      <c r="N1" s="101"/>
    </row>
    <row r="2" spans="1:14" ht="13.5" thickBot="1" x14ac:dyDescent="0.25">
      <c r="A2" s="102"/>
      <c r="B2" s="103"/>
      <c r="C2" s="104"/>
      <c r="D2" s="104"/>
      <c r="E2" s="105"/>
      <c r="F2" s="106"/>
      <c r="G2" s="100" t="e">
        <f>SUM(G8:G10)</f>
        <v>#REF!</v>
      </c>
      <c r="H2" s="100"/>
      <c r="I2" s="100"/>
      <c r="J2" s="100"/>
      <c r="K2" s="100"/>
      <c r="L2" s="107">
        <f>SUM(L8:L10)</f>
        <v>502124</v>
      </c>
      <c r="M2" s="107">
        <f>SUM(M8:M10)</f>
        <v>491637</v>
      </c>
      <c r="N2" s="107">
        <f>SUM(N8:N10)</f>
        <v>482537</v>
      </c>
    </row>
    <row r="3" spans="1:14" ht="16.5" customHeight="1" thickBot="1" x14ac:dyDescent="0.3">
      <c r="A3" s="108"/>
      <c r="B3" s="109"/>
      <c r="C3" s="110"/>
      <c r="D3" s="110"/>
      <c r="E3" s="111"/>
      <c r="F3" s="112"/>
      <c r="G3" s="2017" t="s">
        <v>168</v>
      </c>
      <c r="H3" s="2017"/>
      <c r="I3" s="2017"/>
      <c r="J3" s="2017"/>
      <c r="K3" s="2017"/>
      <c r="L3" s="2018"/>
      <c r="M3" s="2017"/>
      <c r="N3" s="2017"/>
    </row>
    <row r="4" spans="1:14" ht="12" customHeight="1" thickBot="1" x14ac:dyDescent="0.25">
      <c r="A4" s="113"/>
      <c r="B4" s="114" t="s">
        <v>169</v>
      </c>
      <c r="C4" s="115" t="s">
        <v>170</v>
      </c>
      <c r="D4" s="2019" t="s">
        <v>171</v>
      </c>
      <c r="E4" s="2019"/>
      <c r="F4" s="2019"/>
      <c r="G4" s="116"/>
      <c r="H4" s="672">
        <v>2021</v>
      </c>
      <c r="I4" s="117">
        <v>2022</v>
      </c>
      <c r="J4" s="117" t="s">
        <v>998</v>
      </c>
      <c r="K4" s="117" t="s">
        <v>999</v>
      </c>
      <c r="L4" s="117">
        <v>2024</v>
      </c>
      <c r="M4" s="117">
        <v>2025</v>
      </c>
      <c r="N4" s="117">
        <v>2026</v>
      </c>
    </row>
    <row r="5" spans="1:14" ht="12" customHeight="1" x14ac:dyDescent="0.2">
      <c r="A5" s="113"/>
      <c r="B5" s="114" t="s">
        <v>172</v>
      </c>
      <c r="C5" s="115" t="s">
        <v>173</v>
      </c>
      <c r="D5" s="2019"/>
      <c r="E5" s="2019"/>
      <c r="F5" s="2019"/>
      <c r="G5" s="118" t="s">
        <v>174</v>
      </c>
      <c r="H5" s="255" t="s">
        <v>175</v>
      </c>
      <c r="I5" s="119" t="s">
        <v>175</v>
      </c>
      <c r="J5" s="119" t="s">
        <v>175</v>
      </c>
      <c r="K5" s="375" t="s">
        <v>175</v>
      </c>
      <c r="L5" s="827" t="s">
        <v>175</v>
      </c>
      <c r="M5" s="120" t="s">
        <v>176</v>
      </c>
      <c r="N5" s="120" t="s">
        <v>176</v>
      </c>
    </row>
    <row r="6" spans="1:14" ht="15" customHeight="1" x14ac:dyDescent="0.2">
      <c r="A6" s="113"/>
      <c r="B6" s="114" t="s">
        <v>177</v>
      </c>
      <c r="C6" s="115" t="s">
        <v>178</v>
      </c>
      <c r="D6" s="2019"/>
      <c r="E6" s="2019"/>
      <c r="F6" s="2019"/>
      <c r="G6" s="121">
        <v>1</v>
      </c>
      <c r="H6" s="121">
        <v>-3</v>
      </c>
      <c r="I6" s="121">
        <v>-2</v>
      </c>
      <c r="J6" s="121">
        <v>-1</v>
      </c>
      <c r="K6" s="121">
        <v>-1</v>
      </c>
      <c r="L6" s="694">
        <v>0</v>
      </c>
      <c r="M6" s="123">
        <v>1</v>
      </c>
      <c r="N6" s="123">
        <v>2</v>
      </c>
    </row>
    <row r="7" spans="1:14" ht="15" x14ac:dyDescent="0.25">
      <c r="A7" s="124">
        <v>1</v>
      </c>
      <c r="B7" s="125" t="s">
        <v>179</v>
      </c>
      <c r="C7" s="126"/>
      <c r="D7" s="127"/>
      <c r="E7" s="127" t="s">
        <v>167</v>
      </c>
      <c r="F7" s="128"/>
      <c r="G7" s="129" t="e">
        <f>G11+#REF!+#REF!+#REF!+#REF!+#REF!+#REF!</f>
        <v>#REF!</v>
      </c>
      <c r="H7" s="1171">
        <f>SUM(H8:H10)</f>
        <v>1450212</v>
      </c>
      <c r="I7" s="1172">
        <f>SUM(I8:I10)</f>
        <v>542756</v>
      </c>
      <c r="J7" s="1174">
        <f>J11+J36+J41+J55+J64</f>
        <v>470349</v>
      </c>
      <c r="K7" s="1173">
        <f>SUM(K8:K10)</f>
        <v>530408</v>
      </c>
      <c r="L7" s="1052">
        <f>SUM(L8:L10)</f>
        <v>502124</v>
      </c>
      <c r="M7" s="1053">
        <f>SUM(M8:M10)</f>
        <v>491637</v>
      </c>
      <c r="N7" s="1158">
        <f>SUM(N8:N10)</f>
        <v>482537</v>
      </c>
    </row>
    <row r="8" spans="1:14" x14ac:dyDescent="0.2">
      <c r="A8" s="131">
        <f t="shared" ref="A8:A23" si="0">A7+1</f>
        <v>2</v>
      </c>
      <c r="B8" s="132" t="s">
        <v>180</v>
      </c>
      <c r="C8" s="626" t="s">
        <v>181</v>
      </c>
      <c r="D8" s="627"/>
      <c r="E8" s="628"/>
      <c r="F8" s="629"/>
      <c r="G8" s="719" t="e">
        <f>G44+G47+#REF!+#REF!+#REF!+#REF!+#REF!+#REF!+G49</f>
        <v>#REF!</v>
      </c>
      <c r="H8" s="807">
        <f>H13+H29+H37+H42+H56+H65</f>
        <v>337548</v>
      </c>
      <c r="I8" s="720">
        <f>SUM(I13,I29,I37,I42,I56,I65)</f>
        <v>396499</v>
      </c>
      <c r="J8" s="721">
        <f>J13+J29+J37+J42+J56+J65</f>
        <v>335345</v>
      </c>
      <c r="K8" s="814">
        <f>SUM(K13,K29,K37,K42,K56,K65)</f>
        <v>376904</v>
      </c>
      <c r="L8" s="807">
        <f>SUM(L13,L29,L37,L42,L56,L65)</f>
        <v>348620</v>
      </c>
      <c r="M8" s="720">
        <f>SUM(M13,M29,M37,M42,M56,M65)</f>
        <v>350530</v>
      </c>
      <c r="N8" s="721">
        <f>SUM(N13,N29,N37,N42,N56,N65)</f>
        <v>351430</v>
      </c>
    </row>
    <row r="9" spans="1:14" x14ac:dyDescent="0.2">
      <c r="A9" s="131">
        <f t="shared" si="0"/>
        <v>3</v>
      </c>
      <c r="B9" s="132" t="s">
        <v>182</v>
      </c>
      <c r="C9" s="722" t="s">
        <v>183</v>
      </c>
      <c r="D9" s="723"/>
      <c r="E9" s="724"/>
      <c r="F9" s="725"/>
      <c r="G9" s="726" t="e">
        <f>#REF!</f>
        <v>#REF!</v>
      </c>
      <c r="H9" s="808">
        <f>H25</f>
        <v>1000</v>
      </c>
      <c r="I9" s="727">
        <f>SUM(I25)</f>
        <v>6756</v>
      </c>
      <c r="J9" s="728">
        <f>J25</f>
        <v>0</v>
      </c>
      <c r="K9" s="815">
        <f>SUM(K25)</f>
        <v>0</v>
      </c>
      <c r="L9" s="808">
        <f>SUM(L25)</f>
        <v>0</v>
      </c>
      <c r="M9" s="727">
        <f>SUM(M25)</f>
        <v>0</v>
      </c>
      <c r="N9" s="728">
        <f>SUM(N25)</f>
        <v>0</v>
      </c>
    </row>
    <row r="10" spans="1:14" ht="13.5" thickBot="1" x14ac:dyDescent="0.25">
      <c r="A10" s="131">
        <f t="shared" si="0"/>
        <v>4</v>
      </c>
      <c r="B10" s="135"/>
      <c r="C10" s="650" t="s">
        <v>184</v>
      </c>
      <c r="D10" s="651"/>
      <c r="E10" s="652"/>
      <c r="F10" s="653"/>
      <c r="G10" s="654">
        <v>0</v>
      </c>
      <c r="H10" s="809">
        <f t="shared" ref="H10:N10" si="1">H50</f>
        <v>1111664</v>
      </c>
      <c r="I10" s="674">
        <f t="shared" si="1"/>
        <v>139501</v>
      </c>
      <c r="J10" s="655">
        <f t="shared" si="1"/>
        <v>135004</v>
      </c>
      <c r="K10" s="816">
        <f t="shared" si="1"/>
        <v>153504</v>
      </c>
      <c r="L10" s="1050">
        <f t="shared" si="1"/>
        <v>153504</v>
      </c>
      <c r="M10" s="1051">
        <f t="shared" si="1"/>
        <v>141107</v>
      </c>
      <c r="N10" s="656">
        <f t="shared" si="1"/>
        <v>131107</v>
      </c>
    </row>
    <row r="11" spans="1:14" ht="13.5" thickTop="1" x14ac:dyDescent="0.2">
      <c r="A11" s="131">
        <f t="shared" si="0"/>
        <v>5</v>
      </c>
      <c r="B11" s="136">
        <v>1</v>
      </c>
      <c r="C11" s="137" t="s">
        <v>185</v>
      </c>
      <c r="D11" s="138"/>
      <c r="E11" s="138"/>
      <c r="F11" s="139"/>
      <c r="G11" s="140">
        <f>G12+G46+G48</f>
        <v>0</v>
      </c>
      <c r="H11" s="614">
        <f>H12+H28</f>
        <v>298308</v>
      </c>
      <c r="I11" s="339">
        <f>SUM(I12+I28)</f>
        <v>332295</v>
      </c>
      <c r="J11" s="141">
        <f>J12+J28</f>
        <v>287700</v>
      </c>
      <c r="K11" s="778">
        <f>SUM(K12+K28)</f>
        <v>314743</v>
      </c>
      <c r="L11" s="828">
        <f>SUM(L12+L28)</f>
        <v>299750</v>
      </c>
      <c r="M11" s="310">
        <f>SUM(M12+M28)</f>
        <v>303460</v>
      </c>
      <c r="N11" s="142">
        <f>SUM(N12+N28)</f>
        <v>304860</v>
      </c>
    </row>
    <row r="12" spans="1:14" s="150" customFormat="1" x14ac:dyDescent="0.2">
      <c r="A12" s="131">
        <f t="shared" si="0"/>
        <v>6</v>
      </c>
      <c r="B12" s="143"/>
      <c r="C12" s="144" t="s">
        <v>186</v>
      </c>
      <c r="D12" s="145" t="s">
        <v>187</v>
      </c>
      <c r="E12" s="146"/>
      <c r="F12" s="147"/>
      <c r="G12" s="148">
        <f>G45</f>
        <v>0</v>
      </c>
      <c r="H12" s="803">
        <f>H13+H25</f>
        <v>282248</v>
      </c>
      <c r="I12" s="675">
        <f>SUM(I13+I25)</f>
        <v>315995</v>
      </c>
      <c r="J12" s="149">
        <f>J13+J25</f>
        <v>269400</v>
      </c>
      <c r="K12" s="817">
        <f>SUM(K13+K25)</f>
        <v>295723</v>
      </c>
      <c r="L12" s="803">
        <f>SUM(L13+L25)</f>
        <v>279650</v>
      </c>
      <c r="M12" s="675">
        <f>SUM(M13+M25)</f>
        <v>283060</v>
      </c>
      <c r="N12" s="149">
        <f>SUM(N13+N25)</f>
        <v>284060</v>
      </c>
    </row>
    <row r="13" spans="1:14" x14ac:dyDescent="0.2">
      <c r="A13" s="131">
        <f t="shared" si="0"/>
        <v>7</v>
      </c>
      <c r="B13" s="151"/>
      <c r="C13" s="152"/>
      <c r="D13" s="133" t="s">
        <v>181</v>
      </c>
      <c r="E13" s="153"/>
      <c r="F13" s="154"/>
      <c r="G13" s="155">
        <f t="shared" ref="G13:N13" si="2">G14</f>
        <v>18213.000000000004</v>
      </c>
      <c r="H13" s="583">
        <f>H14</f>
        <v>281248</v>
      </c>
      <c r="I13" s="307">
        <f t="shared" si="2"/>
        <v>309239</v>
      </c>
      <c r="J13" s="156">
        <f>J14</f>
        <v>269400</v>
      </c>
      <c r="K13" s="410">
        <f t="shared" si="2"/>
        <v>295723</v>
      </c>
      <c r="L13" s="583">
        <f t="shared" si="2"/>
        <v>279650</v>
      </c>
      <c r="M13" s="307">
        <f t="shared" si="2"/>
        <v>283060</v>
      </c>
      <c r="N13" s="156">
        <f t="shared" si="2"/>
        <v>284060</v>
      </c>
    </row>
    <row r="14" spans="1:14" x14ac:dyDescent="0.2">
      <c r="A14" s="131">
        <f t="shared" si="0"/>
        <v>8</v>
      </c>
      <c r="B14" s="157"/>
      <c r="C14" s="158" t="s">
        <v>188</v>
      </c>
      <c r="D14" s="159" t="s">
        <v>189</v>
      </c>
      <c r="E14" s="160"/>
      <c r="F14" s="161"/>
      <c r="G14" s="162">
        <f>SUM(G15:G37)</f>
        <v>18213.000000000004</v>
      </c>
      <c r="H14" s="584">
        <f t="shared" ref="H14:J14" si="3">SUM(H15:H23)</f>
        <v>281248</v>
      </c>
      <c r="I14" s="340">
        <f>SUM(I15:I23)</f>
        <v>309239</v>
      </c>
      <c r="J14" s="163">
        <f t="shared" si="3"/>
        <v>269400</v>
      </c>
      <c r="K14" s="278">
        <f>SUM(K15:K24)</f>
        <v>295723</v>
      </c>
      <c r="L14" s="584">
        <f>SUM(L15:L24)</f>
        <v>279650</v>
      </c>
      <c r="M14" s="340">
        <f>SUM(M15:M24)</f>
        <v>283060</v>
      </c>
      <c r="N14" s="163">
        <f>SUM(N15:N24)</f>
        <v>284060</v>
      </c>
    </row>
    <row r="15" spans="1:14" x14ac:dyDescent="0.2">
      <c r="A15" s="131">
        <f t="shared" si="0"/>
        <v>9</v>
      </c>
      <c r="B15" s="164"/>
      <c r="C15" s="165" t="s">
        <v>190</v>
      </c>
      <c r="D15" s="166">
        <v>1</v>
      </c>
      <c r="E15" s="167" t="s">
        <v>191</v>
      </c>
      <c r="F15" s="168"/>
      <c r="G15" s="169">
        <f t="shared" ref="G15:G23" si="4">ROUND(M15/30.126,1)</f>
        <v>3817.3</v>
      </c>
      <c r="H15" s="585">
        <f>výdavky!F8+výdavky!F9</f>
        <v>105500</v>
      </c>
      <c r="I15" s="170">
        <f>výdavky!G8+výdavky!G9</f>
        <v>107000</v>
      </c>
      <c r="J15" s="170">
        <f>výdavky!H8+výdavky!H9</f>
        <v>107000</v>
      </c>
      <c r="K15" s="577">
        <f>výdavky!I8+výdavky!I9</f>
        <v>111360</v>
      </c>
      <c r="L15" s="585">
        <f>výdavky!J8+výdavky!J9</f>
        <v>115000</v>
      </c>
      <c r="M15" s="308">
        <f>výdavky!K8</f>
        <v>115000</v>
      </c>
      <c r="N15" s="170">
        <f>výdavky!L8</f>
        <v>115000</v>
      </c>
    </row>
    <row r="16" spans="1:14" x14ac:dyDescent="0.2">
      <c r="A16" s="131">
        <f t="shared" si="0"/>
        <v>10</v>
      </c>
      <c r="B16" s="164"/>
      <c r="C16" s="165" t="s">
        <v>192</v>
      </c>
      <c r="D16" s="171">
        <f t="shared" ref="D16:D23" si="5">D15+1</f>
        <v>2</v>
      </c>
      <c r="E16" s="172" t="s">
        <v>193</v>
      </c>
      <c r="F16" s="173"/>
      <c r="G16" s="174">
        <f t="shared" si="4"/>
        <v>1347.7</v>
      </c>
      <c r="H16" s="586">
        <f>výdavky!F12</f>
        <v>39340</v>
      </c>
      <c r="I16" s="175">
        <f>výdavky!G12</f>
        <v>40600</v>
      </c>
      <c r="J16" s="175">
        <f>výdavky!H12</f>
        <v>40600</v>
      </c>
      <c r="K16" s="415">
        <f>výdavky!I12+výdavky!I77</f>
        <v>40600</v>
      </c>
      <c r="L16" s="586">
        <f>výdavky!J12</f>
        <v>40600</v>
      </c>
      <c r="M16" s="309">
        <f>výdavky!K12</f>
        <v>40600</v>
      </c>
      <c r="N16" s="175">
        <f>výdavky!L12</f>
        <v>40600</v>
      </c>
    </row>
    <row r="17" spans="1:14" x14ac:dyDescent="0.2">
      <c r="A17" s="131">
        <f t="shared" si="0"/>
        <v>11</v>
      </c>
      <c r="B17" s="164"/>
      <c r="C17" s="165" t="s">
        <v>194</v>
      </c>
      <c r="D17" s="166">
        <f t="shared" si="5"/>
        <v>3</v>
      </c>
      <c r="E17" s="167" t="s">
        <v>195</v>
      </c>
      <c r="F17" s="168"/>
      <c r="G17" s="169">
        <f t="shared" si="4"/>
        <v>0</v>
      </c>
      <c r="H17" s="585">
        <f>výdavky!F14</f>
        <v>100</v>
      </c>
      <c r="I17" s="170">
        <f>výdavky!G14</f>
        <v>100</v>
      </c>
      <c r="J17" s="170">
        <f>výdavky!H14</f>
        <v>100</v>
      </c>
      <c r="K17" s="577">
        <f>výdavky!I14</f>
        <v>0</v>
      </c>
      <c r="L17" s="585">
        <f>výdavky!J14</f>
        <v>0</v>
      </c>
      <c r="M17" s="308">
        <f>výdavky!K14</f>
        <v>0</v>
      </c>
      <c r="N17" s="170">
        <f>výdavky!L14</f>
        <v>0</v>
      </c>
    </row>
    <row r="18" spans="1:14" x14ac:dyDescent="0.2">
      <c r="A18" s="131">
        <f t="shared" si="0"/>
        <v>12</v>
      </c>
      <c r="B18" s="164"/>
      <c r="C18" s="165" t="s">
        <v>196</v>
      </c>
      <c r="D18" s="171">
        <f t="shared" si="5"/>
        <v>4</v>
      </c>
      <c r="E18" s="176" t="s">
        <v>197</v>
      </c>
      <c r="F18" s="177"/>
      <c r="G18" s="174">
        <f t="shared" si="4"/>
        <v>995.8</v>
      </c>
      <c r="H18" s="586">
        <f>výdavky!F15</f>
        <v>15450</v>
      </c>
      <c r="I18" s="175">
        <f>výdavky!G15</f>
        <v>25000</v>
      </c>
      <c r="J18" s="175">
        <f>výdavky!H15</f>
        <v>25000</v>
      </c>
      <c r="K18" s="415">
        <f>výdavky!I15</f>
        <v>31400</v>
      </c>
      <c r="L18" s="586">
        <f>výdavky!J15</f>
        <v>30000</v>
      </c>
      <c r="M18" s="309">
        <f>výdavky!K15</f>
        <v>30000</v>
      </c>
      <c r="N18" s="175">
        <f>výdavky!L15</f>
        <v>30000</v>
      </c>
    </row>
    <row r="19" spans="1:14" x14ac:dyDescent="0.2">
      <c r="A19" s="131">
        <f t="shared" si="0"/>
        <v>13</v>
      </c>
      <c r="B19" s="164"/>
      <c r="C19" s="165" t="s">
        <v>198</v>
      </c>
      <c r="D19" s="171">
        <f t="shared" si="5"/>
        <v>5</v>
      </c>
      <c r="E19" s="167" t="s">
        <v>199</v>
      </c>
      <c r="F19" s="168"/>
      <c r="G19" s="169">
        <f t="shared" si="4"/>
        <v>886.3</v>
      </c>
      <c r="H19" s="585">
        <f>výdavky!F17</f>
        <v>26800</v>
      </c>
      <c r="I19" s="170">
        <f>výdavky!G17</f>
        <v>46042</v>
      </c>
      <c r="J19" s="170">
        <f>výdavky!H17</f>
        <v>26800</v>
      </c>
      <c r="K19" s="577">
        <f>výdavky!I17</f>
        <v>29958</v>
      </c>
      <c r="L19" s="585">
        <f>výdavky!J17</f>
        <v>24700</v>
      </c>
      <c r="M19" s="308">
        <f>výdavky!K17</f>
        <v>26700</v>
      </c>
      <c r="N19" s="170">
        <f>výdavky!L17</f>
        <v>26700</v>
      </c>
    </row>
    <row r="20" spans="1:14" x14ac:dyDescent="0.2">
      <c r="A20" s="131">
        <f t="shared" si="0"/>
        <v>14</v>
      </c>
      <c r="B20" s="164"/>
      <c r="C20" s="165" t="s">
        <v>200</v>
      </c>
      <c r="D20" s="166">
        <f t="shared" si="5"/>
        <v>6</v>
      </c>
      <c r="E20" s="178" t="s">
        <v>201</v>
      </c>
      <c r="F20" s="179"/>
      <c r="G20" s="180">
        <f t="shared" si="4"/>
        <v>509.5</v>
      </c>
      <c r="H20" s="589">
        <f>výdavky!F30</f>
        <v>11100</v>
      </c>
      <c r="I20" s="181">
        <f>výdavky!G30</f>
        <v>15750</v>
      </c>
      <c r="J20" s="181">
        <f>výdavky!H30</f>
        <v>14100</v>
      </c>
      <c r="K20" s="579">
        <f>výdavky!I30</f>
        <v>16110</v>
      </c>
      <c r="L20" s="589">
        <f>výdavky!J30</f>
        <v>14340</v>
      </c>
      <c r="M20" s="350">
        <f>výdavky!K30</f>
        <v>15350</v>
      </c>
      <c r="N20" s="181">
        <f>výdavky!L30</f>
        <v>16350</v>
      </c>
    </row>
    <row r="21" spans="1:14" x14ac:dyDescent="0.2">
      <c r="A21" s="131">
        <f t="shared" si="0"/>
        <v>15</v>
      </c>
      <c r="B21" s="164"/>
      <c r="C21" s="165" t="s">
        <v>202</v>
      </c>
      <c r="D21" s="171">
        <f t="shared" si="5"/>
        <v>7</v>
      </c>
      <c r="E21" s="176" t="s">
        <v>203</v>
      </c>
      <c r="F21" s="177"/>
      <c r="G21" s="174">
        <f t="shared" si="4"/>
        <v>139.4</v>
      </c>
      <c r="H21" s="586">
        <f>výdavky!F37</f>
        <v>1300</v>
      </c>
      <c r="I21" s="175">
        <f>výdavky!G37</f>
        <v>5300</v>
      </c>
      <c r="J21" s="175">
        <f>výdavky!H37</f>
        <v>5300</v>
      </c>
      <c r="K21" s="415">
        <f>výdavky!I37</f>
        <v>800</v>
      </c>
      <c r="L21" s="586">
        <f>výdavky!J37</f>
        <v>3300</v>
      </c>
      <c r="M21" s="309">
        <f>výdavky!K37</f>
        <v>4200</v>
      </c>
      <c r="N21" s="175">
        <f>výdavky!L37</f>
        <v>4200</v>
      </c>
    </row>
    <row r="22" spans="1:14" x14ac:dyDescent="0.2">
      <c r="A22" s="131">
        <f t="shared" si="0"/>
        <v>16</v>
      </c>
      <c r="B22" s="164"/>
      <c r="C22" s="165" t="s">
        <v>204</v>
      </c>
      <c r="D22" s="171">
        <f t="shared" si="5"/>
        <v>8</v>
      </c>
      <c r="E22" s="176" t="s">
        <v>205</v>
      </c>
      <c r="F22" s="177"/>
      <c r="G22" s="174">
        <f t="shared" si="4"/>
        <v>0.3</v>
      </c>
      <c r="H22" s="586">
        <f>výdavky!F41</f>
        <v>2900</v>
      </c>
      <c r="I22" s="175">
        <f>výdavky!G41</f>
        <v>215</v>
      </c>
      <c r="J22" s="175">
        <f>výdavky!H41</f>
        <v>2200</v>
      </c>
      <c r="K22" s="415">
        <f>výdavky!I41</f>
        <v>437</v>
      </c>
      <c r="L22" s="586">
        <f>výdavky!J41</f>
        <v>10</v>
      </c>
      <c r="M22" s="309">
        <f>výdavky!K41</f>
        <v>10</v>
      </c>
      <c r="N22" s="175">
        <f>výdavky!L41</f>
        <v>10</v>
      </c>
    </row>
    <row r="23" spans="1:14" x14ac:dyDescent="0.2">
      <c r="A23" s="131">
        <f t="shared" si="0"/>
        <v>17</v>
      </c>
      <c r="B23" s="164"/>
      <c r="C23" s="165" t="s">
        <v>206</v>
      </c>
      <c r="D23" s="1827">
        <f t="shared" si="5"/>
        <v>9</v>
      </c>
      <c r="E23" s="178" t="s">
        <v>207</v>
      </c>
      <c r="F23" s="179"/>
      <c r="G23" s="180">
        <f t="shared" si="4"/>
        <v>1102</v>
      </c>
      <c r="H23" s="589">
        <f>výdavky!F49</f>
        <v>78758</v>
      </c>
      <c r="I23" s="181">
        <f>výdavky!G49+výdavky!G73-výdavky!G59</f>
        <v>69232</v>
      </c>
      <c r="J23" s="181">
        <f>výdavky!H49+výdavky!H73-výdavky!H59</f>
        <v>48300</v>
      </c>
      <c r="K23" s="579">
        <f>výdavky!I49</f>
        <v>46558</v>
      </c>
      <c r="L23" s="589">
        <f>výdavky!J49+výdavky!J73</f>
        <v>33700</v>
      </c>
      <c r="M23" s="350">
        <f>výdavky!K49+výdavky!K73</f>
        <v>33200</v>
      </c>
      <c r="N23" s="181">
        <f>výdavky!L49+výdavky!L73</f>
        <v>33200</v>
      </c>
    </row>
    <row r="24" spans="1:14" s="1826" customFormat="1" x14ac:dyDescent="0.2">
      <c r="A24" s="131"/>
      <c r="B24" s="164"/>
      <c r="C24" s="165" t="s">
        <v>214</v>
      </c>
      <c r="D24" s="1201">
        <v>10</v>
      </c>
      <c r="E24" s="1828" t="s">
        <v>1000</v>
      </c>
      <c r="F24" s="1828"/>
      <c r="G24" s="1387"/>
      <c r="H24" s="590"/>
      <c r="I24" s="797"/>
      <c r="J24" s="575"/>
      <c r="K24" s="580">
        <f>výdavky!I78</f>
        <v>18500</v>
      </c>
      <c r="L24" s="590">
        <f>výdavky!J78</f>
        <v>18000</v>
      </c>
      <c r="M24" s="797">
        <f>výdavky!K78</f>
        <v>18000</v>
      </c>
      <c r="N24" s="575">
        <f>výdavky!L78</f>
        <v>18000</v>
      </c>
    </row>
    <row r="25" spans="1:14" x14ac:dyDescent="0.2">
      <c r="A25" s="131">
        <v>18</v>
      </c>
      <c r="B25" s="157"/>
      <c r="C25" s="165"/>
      <c r="D25" s="645" t="s">
        <v>183</v>
      </c>
      <c r="E25" s="646"/>
      <c r="F25" s="647"/>
      <c r="G25" s="648">
        <f t="shared" ref="G25:N25" si="6">G26</f>
        <v>2441.1999999999998</v>
      </c>
      <c r="H25" s="804">
        <f>H26</f>
        <v>1000</v>
      </c>
      <c r="I25" s="676">
        <f t="shared" si="6"/>
        <v>6756</v>
      </c>
      <c r="J25" s="649">
        <f>J26</f>
        <v>0</v>
      </c>
      <c r="K25" s="818">
        <f t="shared" si="6"/>
        <v>0</v>
      </c>
      <c r="L25" s="804">
        <f t="shared" si="6"/>
        <v>0</v>
      </c>
      <c r="M25" s="676">
        <f t="shared" si="6"/>
        <v>0</v>
      </c>
      <c r="N25" s="649">
        <f t="shared" si="6"/>
        <v>0</v>
      </c>
    </row>
    <row r="26" spans="1:14" x14ac:dyDescent="0.2">
      <c r="A26" s="131">
        <f>A25+1</f>
        <v>19</v>
      </c>
      <c r="B26" s="164"/>
      <c r="C26" s="158" t="s">
        <v>188</v>
      </c>
      <c r="D26" s="159" t="s">
        <v>189</v>
      </c>
      <c r="E26" s="160"/>
      <c r="F26" s="161"/>
      <c r="G26" s="162">
        <f>SUM(G27:G29)</f>
        <v>2441.1999999999998</v>
      </c>
      <c r="H26" s="782">
        <f>H27</f>
        <v>1000</v>
      </c>
      <c r="I26" s="340">
        <f>SUM(I27:I27)</f>
        <v>6756</v>
      </c>
      <c r="J26" s="163">
        <f>J27</f>
        <v>0</v>
      </c>
      <c r="K26" s="278">
        <f>SUM(K27:K27)</f>
        <v>0</v>
      </c>
      <c r="L26" s="584">
        <f>SUM(L27:L27)</f>
        <v>0</v>
      </c>
      <c r="M26" s="340">
        <f>SUM(M27:M27)</f>
        <v>0</v>
      </c>
      <c r="N26" s="163">
        <f>SUM(N27:N27)</f>
        <v>0</v>
      </c>
    </row>
    <row r="27" spans="1:14" x14ac:dyDescent="0.2">
      <c r="A27" s="131">
        <f>A26+1</f>
        <v>20</v>
      </c>
      <c r="B27" s="157"/>
      <c r="C27" s="165" t="s">
        <v>208</v>
      </c>
      <c r="D27" s="171">
        <v>1</v>
      </c>
      <c r="E27" s="176" t="s">
        <v>799</v>
      </c>
      <c r="F27" s="182"/>
      <c r="G27" s="183">
        <v>18.2</v>
      </c>
      <c r="H27" s="586">
        <f>výdavky!F674</f>
        <v>1000</v>
      </c>
      <c r="I27" s="309">
        <f>výdavky!G674</f>
        <v>6756</v>
      </c>
      <c r="J27" s="175">
        <f>výdavky!H674</f>
        <v>0</v>
      </c>
      <c r="K27" s="415">
        <f>výdavky!I674</f>
        <v>0</v>
      </c>
      <c r="L27" s="586">
        <f>výdavky!J674</f>
        <v>0</v>
      </c>
      <c r="M27" s="309">
        <f>výdavky!K674</f>
        <v>0</v>
      </c>
      <c r="N27" s="175">
        <f>výdavky!L674</f>
        <v>0</v>
      </c>
    </row>
    <row r="28" spans="1:14" x14ac:dyDescent="0.2">
      <c r="A28" s="131">
        <v>21</v>
      </c>
      <c r="B28" s="184"/>
      <c r="C28" s="144" t="s">
        <v>209</v>
      </c>
      <c r="D28" s="145" t="s">
        <v>210</v>
      </c>
      <c r="E28" s="185"/>
      <c r="F28" s="186"/>
      <c r="G28" s="187">
        <f>G30</f>
        <v>1211.5</v>
      </c>
      <c r="H28" s="805">
        <f>H30</f>
        <v>16060</v>
      </c>
      <c r="I28" s="677">
        <f t="shared" ref="I28:N29" si="7">I29</f>
        <v>16300</v>
      </c>
      <c r="J28" s="188">
        <f>J29</f>
        <v>18300</v>
      </c>
      <c r="K28" s="819">
        <f t="shared" si="7"/>
        <v>19020</v>
      </c>
      <c r="L28" s="805">
        <f t="shared" si="7"/>
        <v>20100</v>
      </c>
      <c r="M28" s="677">
        <f t="shared" si="7"/>
        <v>20400</v>
      </c>
      <c r="N28" s="188">
        <f t="shared" si="7"/>
        <v>20800</v>
      </c>
    </row>
    <row r="29" spans="1:14" s="190" customFormat="1" x14ac:dyDescent="0.2">
      <c r="A29" s="131">
        <f>A28+1</f>
        <v>22</v>
      </c>
      <c r="B29" s="189"/>
      <c r="C29" s="152"/>
      <c r="D29" s="134" t="s">
        <v>181</v>
      </c>
      <c r="E29" s="153"/>
      <c r="F29" s="154"/>
      <c r="G29" s="155">
        <f>G30</f>
        <v>1211.5</v>
      </c>
      <c r="H29" s="583">
        <f>H30</f>
        <v>16060</v>
      </c>
      <c r="I29" s="307">
        <f t="shared" si="7"/>
        <v>16300</v>
      </c>
      <c r="J29" s="156">
        <f>J30</f>
        <v>18300</v>
      </c>
      <c r="K29" s="410">
        <f t="shared" si="7"/>
        <v>19020</v>
      </c>
      <c r="L29" s="583">
        <f t="shared" si="7"/>
        <v>20100</v>
      </c>
      <c r="M29" s="307">
        <f t="shared" si="7"/>
        <v>20400</v>
      </c>
      <c r="N29" s="156">
        <f t="shared" si="7"/>
        <v>20800</v>
      </c>
    </row>
    <row r="30" spans="1:14" s="190" customFormat="1" x14ac:dyDescent="0.2">
      <c r="A30" s="131">
        <f>A29+1</f>
        <v>23</v>
      </c>
      <c r="B30" s="189"/>
      <c r="C30" s="191" t="s">
        <v>188</v>
      </c>
      <c r="D30" s="192" t="s">
        <v>189</v>
      </c>
      <c r="E30" s="160"/>
      <c r="F30" s="193"/>
      <c r="G30" s="194">
        <f>SUM(G35:G38)</f>
        <v>1211.5</v>
      </c>
      <c r="H30" s="584">
        <f>SUM(H31:H35)</f>
        <v>16060</v>
      </c>
      <c r="I30" s="340">
        <f>SUM(I31,I32,I33,I34,I35)</f>
        <v>16300</v>
      </c>
      <c r="J30" s="163">
        <f>SUM(J31:J35)</f>
        <v>18300</v>
      </c>
      <c r="K30" s="278">
        <f>SUM(K31,K32,K33,K34,K35)</f>
        <v>19020</v>
      </c>
      <c r="L30" s="584">
        <f>SUM(L31,L32,L33,L34,L35)</f>
        <v>20100</v>
      </c>
      <c r="M30" s="340">
        <f>SUM(M31,M32,M33,M34,M35)</f>
        <v>20400</v>
      </c>
      <c r="N30" s="163">
        <f>SUM(N31,N32,N33,N34,N35)</f>
        <v>20800</v>
      </c>
    </row>
    <row r="31" spans="1:14" s="190" customFormat="1" x14ac:dyDescent="0.2">
      <c r="A31" s="131">
        <v>24</v>
      </c>
      <c r="B31" s="189"/>
      <c r="C31" s="195" t="s">
        <v>190</v>
      </c>
      <c r="D31" s="196">
        <v>1</v>
      </c>
      <c r="E31" s="197" t="s">
        <v>191</v>
      </c>
      <c r="F31" s="198" t="s">
        <v>211</v>
      </c>
      <c r="G31" s="199"/>
      <c r="H31" s="585">
        <f>výdavky!F84</f>
        <v>8800</v>
      </c>
      <c r="I31" s="308">
        <f>výdavky!G84</f>
        <v>9000</v>
      </c>
      <c r="J31" s="170">
        <f>výdavky!H84</f>
        <v>9000</v>
      </c>
      <c r="K31" s="577">
        <f>výdavky!I84</f>
        <v>9550</v>
      </c>
      <c r="L31" s="585">
        <f>výdavky!J84</f>
        <v>9500</v>
      </c>
      <c r="M31" s="308">
        <f>výdavky!K84</f>
        <v>9700</v>
      </c>
      <c r="N31" s="170">
        <f>výdavky!L84</f>
        <v>10000</v>
      </c>
    </row>
    <row r="32" spans="1:14" s="190" customFormat="1" x14ac:dyDescent="0.2">
      <c r="A32" s="131">
        <v>25</v>
      </c>
      <c r="B32" s="189"/>
      <c r="C32" s="195" t="s">
        <v>192</v>
      </c>
      <c r="D32" s="200">
        <v>2</v>
      </c>
      <c r="E32" s="201" t="s">
        <v>193</v>
      </c>
      <c r="F32" s="202" t="s">
        <v>211</v>
      </c>
      <c r="G32" s="203"/>
      <c r="H32" s="586">
        <f>výdavky!F85</f>
        <v>3160</v>
      </c>
      <c r="I32" s="309">
        <f>výdavky!G85</f>
        <v>3200</v>
      </c>
      <c r="J32" s="175">
        <f>výdavky!H85</f>
        <v>3200</v>
      </c>
      <c r="K32" s="415">
        <f>výdavky!I85</f>
        <v>3370</v>
      </c>
      <c r="L32" s="586">
        <f>výdavky!J85</f>
        <v>3500</v>
      </c>
      <c r="M32" s="309">
        <f>výdavky!K85</f>
        <v>3600</v>
      </c>
      <c r="N32" s="175">
        <f>výdavky!L85</f>
        <v>3700</v>
      </c>
    </row>
    <row r="33" spans="1:14" s="190" customFormat="1" x14ac:dyDescent="0.2">
      <c r="A33" s="131">
        <v>26</v>
      </c>
      <c r="B33" s="189"/>
      <c r="C33" s="195" t="s">
        <v>206</v>
      </c>
      <c r="D33" s="196">
        <v>3</v>
      </c>
      <c r="E33" s="197" t="s">
        <v>207</v>
      </c>
      <c r="F33" s="198" t="s">
        <v>211</v>
      </c>
      <c r="G33" s="199"/>
      <c r="H33" s="585">
        <f>výdavky!F88</f>
        <v>500</v>
      </c>
      <c r="I33" s="308">
        <f>výdavky!G88</f>
        <v>500</v>
      </c>
      <c r="J33" s="170">
        <f>výdavky!H88</f>
        <v>500</v>
      </c>
      <c r="K33" s="577">
        <f>výdavky!I88</f>
        <v>500</v>
      </c>
      <c r="L33" s="585">
        <f>výdavky!J88</f>
        <v>500</v>
      </c>
      <c r="M33" s="308">
        <f>výdavky!K88</f>
        <v>500</v>
      </c>
      <c r="N33" s="170">
        <f>výdavky!L88</f>
        <v>500</v>
      </c>
    </row>
    <row r="34" spans="1:14" s="190" customFormat="1" x14ac:dyDescent="0.2">
      <c r="A34" s="131">
        <v>27</v>
      </c>
      <c r="B34" s="189"/>
      <c r="C34" s="195" t="s">
        <v>206</v>
      </c>
      <c r="D34" s="200">
        <v>4</v>
      </c>
      <c r="E34" s="201" t="s">
        <v>512</v>
      </c>
      <c r="F34" s="204"/>
      <c r="G34" s="203"/>
      <c r="H34" s="586">
        <f>výdavky!F86</f>
        <v>100</v>
      </c>
      <c r="I34" s="309">
        <f>výdavky!G86</f>
        <v>100</v>
      </c>
      <c r="J34" s="175">
        <f>výdavky!H86</f>
        <v>100</v>
      </c>
      <c r="K34" s="415">
        <f>výdavky!I86</f>
        <v>100</v>
      </c>
      <c r="L34" s="586">
        <f>výdavky!J86</f>
        <v>100</v>
      </c>
      <c r="M34" s="309">
        <f>výdavky!K86</f>
        <v>100</v>
      </c>
      <c r="N34" s="175">
        <f>výdavky!L86</f>
        <v>100</v>
      </c>
    </row>
    <row r="35" spans="1:14" s="190" customFormat="1" x14ac:dyDescent="0.2">
      <c r="A35" s="131">
        <v>28</v>
      </c>
      <c r="B35" s="189"/>
      <c r="C35" s="195" t="s">
        <v>206</v>
      </c>
      <c r="D35" s="171">
        <v>5</v>
      </c>
      <c r="E35" s="201" t="s">
        <v>212</v>
      </c>
      <c r="F35" s="204"/>
      <c r="G35" s="205">
        <f>ROUND(M35/30.126,1)</f>
        <v>215.8</v>
      </c>
      <c r="H35" s="616">
        <f>výdavky!F89</f>
        <v>3500</v>
      </c>
      <c r="I35" s="678">
        <f>výdavky!G89</f>
        <v>3500</v>
      </c>
      <c r="J35" s="206">
        <f>výdavky!H89+výdavky!H77</f>
        <v>5500</v>
      </c>
      <c r="K35" s="820">
        <f>výdavky!I89</f>
        <v>5500</v>
      </c>
      <c r="L35" s="616">
        <f>výdavky!J89</f>
        <v>6500</v>
      </c>
      <c r="M35" s="678">
        <f>výdavky!K89</f>
        <v>6500</v>
      </c>
      <c r="N35" s="206">
        <f>výdavky!L89</f>
        <v>6500</v>
      </c>
    </row>
    <row r="36" spans="1:14" x14ac:dyDescent="0.2">
      <c r="A36" s="131">
        <f t="shared" ref="A36:A52" si="8">A35+1</f>
        <v>29</v>
      </c>
      <c r="B36" s="136">
        <v>2</v>
      </c>
      <c r="C36" s="137" t="s">
        <v>213</v>
      </c>
      <c r="D36" s="138"/>
      <c r="E36" s="138"/>
      <c r="F36" s="139"/>
      <c r="G36" s="140">
        <f>G38</f>
        <v>331.9</v>
      </c>
      <c r="H36" s="582">
        <f>H37</f>
        <v>5800</v>
      </c>
      <c r="I36" s="310">
        <f t="shared" ref="I36:N37" si="9">I37</f>
        <v>23616</v>
      </c>
      <c r="J36" s="142">
        <f>J37</f>
        <v>10000</v>
      </c>
      <c r="K36" s="408">
        <f t="shared" si="9"/>
        <v>17137</v>
      </c>
      <c r="L36" s="582">
        <f t="shared" si="9"/>
        <v>10000</v>
      </c>
      <c r="M36" s="310">
        <f t="shared" si="9"/>
        <v>10000</v>
      </c>
      <c r="N36" s="142">
        <f t="shared" si="9"/>
        <v>10000</v>
      </c>
    </row>
    <row r="37" spans="1:14" x14ac:dyDescent="0.2">
      <c r="A37" s="131">
        <f t="shared" si="8"/>
        <v>30</v>
      </c>
      <c r="B37" s="151"/>
      <c r="C37" s="152"/>
      <c r="D37" s="133" t="s">
        <v>181</v>
      </c>
      <c r="E37" s="153"/>
      <c r="F37" s="154"/>
      <c r="G37" s="155">
        <f>G38</f>
        <v>331.9</v>
      </c>
      <c r="H37" s="583">
        <f>H38</f>
        <v>5800</v>
      </c>
      <c r="I37" s="307">
        <f t="shared" si="9"/>
        <v>23616</v>
      </c>
      <c r="J37" s="156">
        <f>J38</f>
        <v>10000</v>
      </c>
      <c r="K37" s="410">
        <f t="shared" si="9"/>
        <v>17137</v>
      </c>
      <c r="L37" s="583">
        <f t="shared" si="9"/>
        <v>10000</v>
      </c>
      <c r="M37" s="307">
        <f t="shared" si="9"/>
        <v>10000</v>
      </c>
      <c r="N37" s="156">
        <f t="shared" si="9"/>
        <v>10000</v>
      </c>
    </row>
    <row r="38" spans="1:14" x14ac:dyDescent="0.2">
      <c r="A38" s="131">
        <f t="shared" si="8"/>
        <v>31</v>
      </c>
      <c r="B38" s="184"/>
      <c r="C38" s="191" t="s">
        <v>188</v>
      </c>
      <c r="D38" s="192" t="s">
        <v>189</v>
      </c>
      <c r="E38" s="160"/>
      <c r="F38" s="161"/>
      <c r="G38" s="207">
        <f>SUM(G39)</f>
        <v>331.9</v>
      </c>
      <c r="H38" s="588">
        <f>H39+H40</f>
        <v>5800</v>
      </c>
      <c r="I38" s="679">
        <f>SUM(I39:I40)</f>
        <v>23616</v>
      </c>
      <c r="J38" s="208">
        <f>J39+J40</f>
        <v>10000</v>
      </c>
      <c r="K38" s="578">
        <f>SUM(K39:K40)</f>
        <v>17137</v>
      </c>
      <c r="L38" s="588">
        <f>SUM(L39:L40)</f>
        <v>10000</v>
      </c>
      <c r="M38" s="679">
        <f>SUM(M39:M40)</f>
        <v>10000</v>
      </c>
      <c r="N38" s="208">
        <f>SUM(N39:N40)</f>
        <v>10000</v>
      </c>
    </row>
    <row r="39" spans="1:14" x14ac:dyDescent="0.2">
      <c r="A39" s="131">
        <f t="shared" si="8"/>
        <v>32</v>
      </c>
      <c r="B39" s="189"/>
      <c r="C39" s="195" t="s">
        <v>214</v>
      </c>
      <c r="D39" s="209" t="s">
        <v>215</v>
      </c>
      <c r="E39" s="167" t="s">
        <v>216</v>
      </c>
      <c r="F39" s="210"/>
      <c r="G39" s="211">
        <f>ROUND(M39/30.126,1)</f>
        <v>331.9</v>
      </c>
      <c r="H39" s="793">
        <f>výdavky!F76</f>
        <v>5800</v>
      </c>
      <c r="I39" s="680">
        <f>výdavky!G76</f>
        <v>9400</v>
      </c>
      <c r="J39" s="212">
        <f>výdavky!H76</f>
        <v>10000</v>
      </c>
      <c r="K39" s="821">
        <f>výdavky!I76</f>
        <v>12277</v>
      </c>
      <c r="L39" s="793">
        <f>výdavky!J76</f>
        <v>10000</v>
      </c>
      <c r="M39" s="680">
        <f>výdavky!K76</f>
        <v>10000</v>
      </c>
      <c r="N39" s="212">
        <f>výdavky!L76</f>
        <v>10000</v>
      </c>
    </row>
    <row r="40" spans="1:14" x14ac:dyDescent="0.2">
      <c r="A40" s="131">
        <f t="shared" si="8"/>
        <v>33</v>
      </c>
      <c r="B40" s="189"/>
      <c r="C40" s="213" t="s">
        <v>214</v>
      </c>
      <c r="D40" s="214" t="s">
        <v>217</v>
      </c>
      <c r="E40" s="176" t="s">
        <v>218</v>
      </c>
      <c r="F40" s="182"/>
      <c r="G40" s="205"/>
      <c r="H40" s="616">
        <f>výdavky!F74+výdavky!F75</f>
        <v>0</v>
      </c>
      <c r="I40" s="678">
        <f>výdavky!G75+výdavky!G77</f>
        <v>14216</v>
      </c>
      <c r="J40" s="206">
        <f>výdavky!H74+výdavky!H75</f>
        <v>0</v>
      </c>
      <c r="K40" s="820">
        <f>výdavky!I74+výdavky!I75</f>
        <v>4860</v>
      </c>
      <c r="L40" s="616">
        <f>výdavky!J74+výdavky!J75</f>
        <v>0</v>
      </c>
      <c r="M40" s="678">
        <f>výdavky!K74+výdavky!K75</f>
        <v>0</v>
      </c>
      <c r="N40" s="206">
        <f>výdavky!L74+výdavky!L75</f>
        <v>0</v>
      </c>
    </row>
    <row r="41" spans="1:14" x14ac:dyDescent="0.2">
      <c r="A41" s="131">
        <f t="shared" si="8"/>
        <v>34</v>
      </c>
      <c r="B41" s="136">
        <v>3</v>
      </c>
      <c r="C41" s="137" t="s">
        <v>219</v>
      </c>
      <c r="D41" s="138"/>
      <c r="E41" s="138"/>
      <c r="F41" s="139"/>
      <c r="G41" s="140">
        <f>G43</f>
        <v>265.60000000000002</v>
      </c>
      <c r="H41" s="582">
        <f>H42+H50</f>
        <v>1127964</v>
      </c>
      <c r="I41" s="310">
        <f>SUM(I42+I50)</f>
        <v>156401</v>
      </c>
      <c r="J41" s="142">
        <f>J42+J50</f>
        <v>149879</v>
      </c>
      <c r="K41" s="408">
        <f>SUM(K42+K50)</f>
        <v>170793</v>
      </c>
      <c r="L41" s="1048">
        <f>SUM(L42+L50)</f>
        <v>168004</v>
      </c>
      <c r="M41" s="1049">
        <f>SUM(M42+M50)</f>
        <v>155107</v>
      </c>
      <c r="N41" s="142">
        <f>SUM(N42+N50)</f>
        <v>144107</v>
      </c>
    </row>
    <row r="42" spans="1:14" x14ac:dyDescent="0.2">
      <c r="A42" s="131">
        <f t="shared" si="8"/>
        <v>35</v>
      </c>
      <c r="B42" s="151"/>
      <c r="C42" s="152"/>
      <c r="D42" s="133" t="s">
        <v>181</v>
      </c>
      <c r="E42" s="153"/>
      <c r="F42" s="154"/>
      <c r="G42" s="155">
        <f>G43</f>
        <v>265.60000000000002</v>
      </c>
      <c r="H42" s="583">
        <f>H43+H45</f>
        <v>16300</v>
      </c>
      <c r="I42" s="307">
        <f>SUM(I43+I45)</f>
        <v>16900</v>
      </c>
      <c r="J42" s="156">
        <f>J43+J45</f>
        <v>14875</v>
      </c>
      <c r="K42" s="410">
        <f>SUM(K43+K45)</f>
        <v>17289</v>
      </c>
      <c r="L42" s="583">
        <f>SUM(L43+L45)</f>
        <v>14500</v>
      </c>
      <c r="M42" s="307">
        <f>SUM(M43+M45)</f>
        <v>14000</v>
      </c>
      <c r="N42" s="156">
        <f>SUM(N43+N45)</f>
        <v>13000</v>
      </c>
    </row>
    <row r="43" spans="1:14" x14ac:dyDescent="0.2">
      <c r="A43" s="131">
        <f t="shared" si="8"/>
        <v>36</v>
      </c>
      <c r="B43" s="157"/>
      <c r="C43" s="158" t="s">
        <v>220</v>
      </c>
      <c r="D43" s="159" t="s">
        <v>221</v>
      </c>
      <c r="E43" s="160"/>
      <c r="F43" s="161"/>
      <c r="G43" s="162">
        <f>SUM(G44:G44)</f>
        <v>265.60000000000002</v>
      </c>
      <c r="H43" s="584">
        <f t="shared" ref="H43:N43" si="10">H44</f>
        <v>10000</v>
      </c>
      <c r="I43" s="340">
        <f t="shared" si="10"/>
        <v>11000</v>
      </c>
      <c r="J43" s="163">
        <f t="shared" si="10"/>
        <v>10000</v>
      </c>
      <c r="K43" s="278">
        <f t="shared" si="10"/>
        <v>12000</v>
      </c>
      <c r="L43" s="584">
        <f t="shared" si="10"/>
        <v>9000</v>
      </c>
      <c r="M43" s="340">
        <f t="shared" si="10"/>
        <v>8000</v>
      </c>
      <c r="N43" s="163">
        <f t="shared" si="10"/>
        <v>7000</v>
      </c>
    </row>
    <row r="44" spans="1:14" x14ac:dyDescent="0.2">
      <c r="A44" s="131">
        <f t="shared" si="8"/>
        <v>37</v>
      </c>
      <c r="B44" s="157"/>
      <c r="C44" s="215" t="s">
        <v>222</v>
      </c>
      <c r="D44" s="209" t="s">
        <v>215</v>
      </c>
      <c r="E44" s="197" t="s">
        <v>223</v>
      </c>
      <c r="F44" s="198"/>
      <c r="G44" s="216">
        <f>ROUND(M44/30.126,1)</f>
        <v>265.60000000000002</v>
      </c>
      <c r="H44" s="585">
        <f>výdavky!F81</f>
        <v>10000</v>
      </c>
      <c r="I44" s="308">
        <f>výdavky!G81</f>
        <v>11000</v>
      </c>
      <c r="J44" s="170">
        <f>výdavky!H81</f>
        <v>10000</v>
      </c>
      <c r="K44" s="577">
        <f>výdavky!I81</f>
        <v>12000</v>
      </c>
      <c r="L44" s="585">
        <f>výdavky!J81</f>
        <v>9000</v>
      </c>
      <c r="M44" s="308">
        <f>výdavky!K81</f>
        <v>8000</v>
      </c>
      <c r="N44" s="170">
        <f>výdavky!L81</f>
        <v>7000</v>
      </c>
    </row>
    <row r="45" spans="1:14" x14ac:dyDescent="0.2">
      <c r="A45" s="131">
        <f t="shared" si="8"/>
        <v>38</v>
      </c>
      <c r="B45" s="157"/>
      <c r="C45" s="158" t="s">
        <v>224</v>
      </c>
      <c r="D45" s="159" t="s">
        <v>225</v>
      </c>
      <c r="E45" s="160"/>
      <c r="F45" s="161"/>
      <c r="G45" s="162">
        <f>SUM(G46:G46)</f>
        <v>0</v>
      </c>
      <c r="H45" s="782">
        <f t="shared" ref="H45:N45" si="11">SUM(H46:H49)</f>
        <v>6300</v>
      </c>
      <c r="I45" s="340">
        <f t="shared" si="11"/>
        <v>5900</v>
      </c>
      <c r="J45" s="163">
        <f t="shared" si="11"/>
        <v>4875</v>
      </c>
      <c r="K45" s="278">
        <f t="shared" si="11"/>
        <v>5289</v>
      </c>
      <c r="L45" s="584">
        <f t="shared" si="11"/>
        <v>5500</v>
      </c>
      <c r="M45" s="340">
        <f t="shared" si="11"/>
        <v>6000</v>
      </c>
      <c r="N45" s="163">
        <f t="shared" si="11"/>
        <v>6000</v>
      </c>
    </row>
    <row r="46" spans="1:14" x14ac:dyDescent="0.2">
      <c r="A46" s="131">
        <f t="shared" si="8"/>
        <v>39</v>
      </c>
      <c r="B46" s="157"/>
      <c r="C46" s="215" t="s">
        <v>226</v>
      </c>
      <c r="D46" s="209" t="s">
        <v>217</v>
      </c>
      <c r="E46" s="167" t="s">
        <v>227</v>
      </c>
      <c r="F46" s="210"/>
      <c r="G46" s="216">
        <f>ROUND(M46/30.126,1)</f>
        <v>0</v>
      </c>
      <c r="H46" s="585">
        <f>výdavky!F82</f>
        <v>800</v>
      </c>
      <c r="I46" s="308">
        <f>výdavky!G59</f>
        <v>600</v>
      </c>
      <c r="J46" s="170">
        <f>výdavky!H59</f>
        <v>375</v>
      </c>
      <c r="K46" s="577">
        <v>0</v>
      </c>
      <c r="L46" s="585">
        <v>0</v>
      </c>
      <c r="M46" s="308">
        <v>0</v>
      </c>
      <c r="N46" s="170">
        <v>0</v>
      </c>
    </row>
    <row r="47" spans="1:14" x14ac:dyDescent="0.2">
      <c r="A47" s="131">
        <f t="shared" si="8"/>
        <v>40</v>
      </c>
      <c r="B47" s="157"/>
      <c r="C47" s="215" t="s">
        <v>226</v>
      </c>
      <c r="D47" s="214" t="s">
        <v>228</v>
      </c>
      <c r="E47" s="176" t="s">
        <v>229</v>
      </c>
      <c r="F47" s="182"/>
      <c r="G47" s="183">
        <f>ROUND(M47/30.126,1)</f>
        <v>182.6</v>
      </c>
      <c r="H47" s="586">
        <f>výdavky!F90</f>
        <v>5500</v>
      </c>
      <c r="I47" s="309">
        <f>SUM(výdavky!G90)</f>
        <v>4500</v>
      </c>
      <c r="J47" s="175">
        <f>výdavky!H90</f>
        <v>4500</v>
      </c>
      <c r="K47" s="415">
        <f>výdavky!I90</f>
        <v>4800</v>
      </c>
      <c r="L47" s="586">
        <f>výdavky!J90</f>
        <v>5000</v>
      </c>
      <c r="M47" s="309">
        <f>výdavky!K90</f>
        <v>5500</v>
      </c>
      <c r="N47" s="175">
        <f>výdavky!L90</f>
        <v>5500</v>
      </c>
    </row>
    <row r="48" spans="1:14" s="220" customFormat="1" ht="11.25" x14ac:dyDescent="0.2">
      <c r="A48" s="131">
        <f t="shared" si="8"/>
        <v>41</v>
      </c>
      <c r="B48" s="217"/>
      <c r="C48" s="215" t="s">
        <v>226</v>
      </c>
      <c r="D48" s="209" t="s">
        <v>230</v>
      </c>
      <c r="E48" s="218" t="s">
        <v>231</v>
      </c>
      <c r="F48" s="217"/>
      <c r="G48" s="217"/>
      <c r="H48" s="806">
        <v>0</v>
      </c>
      <c r="I48" s="323">
        <v>0</v>
      </c>
      <c r="J48" s="219">
        <v>0</v>
      </c>
      <c r="K48" s="822">
        <v>0</v>
      </c>
      <c r="L48" s="686">
        <v>0</v>
      </c>
      <c r="M48" s="323">
        <v>0</v>
      </c>
      <c r="N48" s="219">
        <v>0</v>
      </c>
    </row>
    <row r="49" spans="1:14" s="220" customFormat="1" ht="11.25" x14ac:dyDescent="0.2">
      <c r="A49" s="131">
        <f t="shared" si="8"/>
        <v>42</v>
      </c>
      <c r="B49" s="217"/>
      <c r="C49" s="215" t="s">
        <v>226</v>
      </c>
      <c r="D49" s="214" t="s">
        <v>232</v>
      </c>
      <c r="E49" s="221" t="s">
        <v>233</v>
      </c>
      <c r="F49" s="222"/>
      <c r="G49" s="222"/>
      <c r="H49" s="787">
        <f>výdavky!E82</f>
        <v>0</v>
      </c>
      <c r="I49" s="690">
        <f>výdavky!G82</f>
        <v>800</v>
      </c>
      <c r="J49" s="664">
        <f>výdavky!H82</f>
        <v>0</v>
      </c>
      <c r="K49" s="1360">
        <f>výdavky!I82</f>
        <v>489</v>
      </c>
      <c r="L49" s="687">
        <f>výdavky!J82</f>
        <v>500</v>
      </c>
      <c r="M49" s="356">
        <f>výdavky!K82</f>
        <v>500</v>
      </c>
      <c r="N49" s="223">
        <f>výdavky!L82</f>
        <v>500</v>
      </c>
    </row>
    <row r="50" spans="1:14" x14ac:dyDescent="0.2">
      <c r="A50" s="131">
        <f t="shared" si="8"/>
        <v>43</v>
      </c>
      <c r="B50" s="157"/>
      <c r="C50" s="224"/>
      <c r="D50" s="657" t="s">
        <v>234</v>
      </c>
      <c r="E50" s="658"/>
      <c r="F50" s="659"/>
      <c r="G50" s="660" t="e">
        <f t="shared" ref="G50:N50" si="12">G51</f>
        <v>#REF!</v>
      </c>
      <c r="H50" s="799">
        <f>H51</f>
        <v>1111664</v>
      </c>
      <c r="I50" s="681">
        <f t="shared" si="12"/>
        <v>139501</v>
      </c>
      <c r="J50" s="661">
        <f>J51</f>
        <v>135004</v>
      </c>
      <c r="K50" s="823">
        <f t="shared" si="12"/>
        <v>153504</v>
      </c>
      <c r="L50" s="799">
        <f t="shared" si="12"/>
        <v>153504</v>
      </c>
      <c r="M50" s="681">
        <f t="shared" si="12"/>
        <v>141107</v>
      </c>
      <c r="N50" s="661">
        <f t="shared" si="12"/>
        <v>131107</v>
      </c>
    </row>
    <row r="51" spans="1:14" x14ac:dyDescent="0.2">
      <c r="A51" s="131">
        <f t="shared" si="8"/>
        <v>44</v>
      </c>
      <c r="B51" s="157"/>
      <c r="C51" s="158" t="s">
        <v>188</v>
      </c>
      <c r="D51" s="159" t="s">
        <v>225</v>
      </c>
      <c r="E51" s="160"/>
      <c r="F51" s="161"/>
      <c r="G51" s="225" t="e">
        <f>SUM(#REF!)</f>
        <v>#REF!</v>
      </c>
      <c r="H51" s="812">
        <f>H52+H54</f>
        <v>1111664</v>
      </c>
      <c r="I51" s="682">
        <f>SUM(I52:I54)</f>
        <v>139501</v>
      </c>
      <c r="J51" s="226">
        <f>J52+J54+J53</f>
        <v>135004</v>
      </c>
      <c r="K51" s="414">
        <f>SUM(K52:K54)</f>
        <v>153504</v>
      </c>
      <c r="L51" s="812">
        <f>SUM(L52:L54)</f>
        <v>153504</v>
      </c>
      <c r="M51" s="682">
        <f>SUM(M52:M54)</f>
        <v>141107</v>
      </c>
      <c r="N51" s="226">
        <f>SUM(N52:N54)</f>
        <v>131107</v>
      </c>
    </row>
    <row r="52" spans="1:14" s="220" customFormat="1" ht="11.25" x14ac:dyDescent="0.2">
      <c r="A52" s="131">
        <f t="shared" si="8"/>
        <v>45</v>
      </c>
      <c r="B52" s="157"/>
      <c r="C52" s="165" t="s">
        <v>235</v>
      </c>
      <c r="D52" s="1225" t="s">
        <v>236</v>
      </c>
      <c r="E52" s="640" t="s">
        <v>940</v>
      </c>
      <c r="F52" s="1226"/>
      <c r="G52" s="1227"/>
      <c r="H52" s="1228">
        <f>výdavky!F785+výdavky!F786+výdavky!F784</f>
        <v>410</v>
      </c>
      <c r="I52" s="1229">
        <f>výdavky!G785+výdavky!G784</f>
        <v>5999</v>
      </c>
      <c r="J52" s="1230">
        <f>výdavky!H785</f>
        <v>0</v>
      </c>
      <c r="K52" s="1231">
        <f>výdavky!I785</f>
        <v>0</v>
      </c>
      <c r="L52" s="1228">
        <f>výdavky!J785</f>
        <v>0</v>
      </c>
      <c r="M52" s="1229">
        <f>výdavky!K785</f>
        <v>0</v>
      </c>
      <c r="N52" s="1230">
        <f>výdavky!L785</f>
        <v>0</v>
      </c>
    </row>
    <row r="53" spans="1:14" s="220" customFormat="1" ht="11.25" x14ac:dyDescent="0.2">
      <c r="A53" s="131">
        <v>46</v>
      </c>
      <c r="B53" s="157"/>
      <c r="C53" s="165" t="s">
        <v>800</v>
      </c>
      <c r="D53" s="209" t="s">
        <v>238</v>
      </c>
      <c r="E53" s="197" t="s">
        <v>801</v>
      </c>
      <c r="F53" s="227"/>
      <c r="G53" s="228"/>
      <c r="H53" s="810">
        <f>výdavky!F787</f>
        <v>38700</v>
      </c>
      <c r="I53" s="683">
        <f>výdavky!G787+výdavky!G786</f>
        <v>46910</v>
      </c>
      <c r="J53" s="229">
        <f>výdavky!H787</f>
        <v>40000</v>
      </c>
      <c r="K53" s="824">
        <f>výdavky!I787</f>
        <v>55200</v>
      </c>
      <c r="L53" s="810">
        <f>výdavky!J787</f>
        <v>55200</v>
      </c>
      <c r="M53" s="683">
        <f>výdavky!K787</f>
        <v>30000</v>
      </c>
      <c r="N53" s="229">
        <f>výdavky!L787</f>
        <v>20000</v>
      </c>
    </row>
    <row r="54" spans="1:14" s="220" customFormat="1" ht="11.25" x14ac:dyDescent="0.2">
      <c r="A54" s="131">
        <v>47</v>
      </c>
      <c r="B54" s="157"/>
      <c r="C54" s="165" t="s">
        <v>237</v>
      </c>
      <c r="D54" s="214" t="s">
        <v>266</v>
      </c>
      <c r="E54" s="201" t="s">
        <v>239</v>
      </c>
      <c r="F54" s="204"/>
      <c r="G54" s="230"/>
      <c r="H54" s="811">
        <f>výdavky!F791+výdavky!F789+výdavky!F788</f>
        <v>1111254</v>
      </c>
      <c r="I54" s="684">
        <f>výdavky!G791+výdavky!G789</f>
        <v>86592</v>
      </c>
      <c r="J54" s="231">
        <f>výdavky!H791+výdavky!H789</f>
        <v>95004</v>
      </c>
      <c r="K54" s="825">
        <f>výdavky!I791+výdavky!I788+výdavky!I784</f>
        <v>98304</v>
      </c>
      <c r="L54" s="811">
        <f>výdavky!J791+výdavky!J788</f>
        <v>98304</v>
      </c>
      <c r="M54" s="684">
        <f>výdavky!K791+výdavky!K788</f>
        <v>111107</v>
      </c>
      <c r="N54" s="231">
        <f>výdavky!L791+výdavky!L788</f>
        <v>111107</v>
      </c>
    </row>
    <row r="55" spans="1:14" x14ac:dyDescent="0.2">
      <c r="A55" s="131">
        <v>48</v>
      </c>
      <c r="B55" s="232">
        <v>4</v>
      </c>
      <c r="C55" s="233" t="s">
        <v>240</v>
      </c>
      <c r="D55" s="138"/>
      <c r="E55" s="138"/>
      <c r="F55" s="139"/>
      <c r="G55" s="140">
        <f>SUM(G57)</f>
        <v>765.9000000000002</v>
      </c>
      <c r="H55" s="582">
        <f>H56</f>
        <v>18140</v>
      </c>
      <c r="I55" s="310">
        <f>SUM(I56)</f>
        <v>27444</v>
      </c>
      <c r="J55" s="142">
        <f>J56</f>
        <v>21270</v>
      </c>
      <c r="K55" s="408">
        <f>SUM(K56)</f>
        <v>20570</v>
      </c>
      <c r="L55" s="582">
        <f>SUM(L56)</f>
        <v>21370</v>
      </c>
      <c r="M55" s="310">
        <f>SUM(M56)</f>
        <v>23070</v>
      </c>
      <c r="N55" s="142">
        <f>SUM(N56)</f>
        <v>23570</v>
      </c>
    </row>
    <row r="56" spans="1:14" x14ac:dyDescent="0.2">
      <c r="A56" s="131">
        <v>49</v>
      </c>
      <c r="B56" s="234"/>
      <c r="C56" s="224"/>
      <c r="D56" s="133" t="s">
        <v>181</v>
      </c>
      <c r="E56" s="153"/>
      <c r="F56" s="154"/>
      <c r="G56" s="155">
        <f t="shared" ref="G56:N56" si="13">G57</f>
        <v>765.9000000000002</v>
      </c>
      <c r="H56" s="583">
        <f>H57</f>
        <v>18140</v>
      </c>
      <c r="I56" s="307">
        <f t="shared" si="13"/>
        <v>27444</v>
      </c>
      <c r="J56" s="156">
        <f>J57</f>
        <v>21270</v>
      </c>
      <c r="K56" s="410">
        <f t="shared" si="13"/>
        <v>20570</v>
      </c>
      <c r="L56" s="583">
        <f t="shared" si="13"/>
        <v>21370</v>
      </c>
      <c r="M56" s="307">
        <f t="shared" si="13"/>
        <v>23070</v>
      </c>
      <c r="N56" s="156">
        <f t="shared" si="13"/>
        <v>23570</v>
      </c>
    </row>
    <row r="57" spans="1:14" x14ac:dyDescent="0.2">
      <c r="A57" s="131">
        <f t="shared" ref="A57:A63" si="14">A56+1</f>
        <v>50</v>
      </c>
      <c r="B57" s="157"/>
      <c r="C57" s="235" t="s">
        <v>241</v>
      </c>
      <c r="D57" s="192" t="s">
        <v>242</v>
      </c>
      <c r="E57" s="160"/>
      <c r="F57" s="161"/>
      <c r="G57" s="194">
        <f>SUM(G58:G63)</f>
        <v>765.9000000000002</v>
      </c>
      <c r="H57" s="584">
        <f>SUM(H58:H63)</f>
        <v>18140</v>
      </c>
      <c r="I57" s="340">
        <f>I58+I59+I60+I61+I62+I63</f>
        <v>27444</v>
      </c>
      <c r="J57" s="163">
        <f>SUM(J58:J63)</f>
        <v>21270</v>
      </c>
      <c r="K57" s="278">
        <f>SUM(K58:K63)</f>
        <v>20570</v>
      </c>
      <c r="L57" s="584">
        <f>SUM(L58:L63)</f>
        <v>21370</v>
      </c>
      <c r="M57" s="340">
        <f>SUM(M58:M63)</f>
        <v>23070</v>
      </c>
      <c r="N57" s="163">
        <f>SUM(N58:N63)</f>
        <v>23570</v>
      </c>
    </row>
    <row r="58" spans="1:14" x14ac:dyDescent="0.2">
      <c r="A58" s="131">
        <f t="shared" si="14"/>
        <v>51</v>
      </c>
      <c r="B58" s="157"/>
      <c r="C58" s="215" t="s">
        <v>190</v>
      </c>
      <c r="D58" s="209" t="s">
        <v>215</v>
      </c>
      <c r="E58" s="167" t="s">
        <v>243</v>
      </c>
      <c r="F58" s="210"/>
      <c r="G58" s="216">
        <f t="shared" ref="G58:G63" si="15">ROUND(M58/30.126,1)</f>
        <v>547.70000000000005</v>
      </c>
      <c r="H58" s="585">
        <f>výdavky!F93</f>
        <v>13400</v>
      </c>
      <c r="I58" s="308">
        <f>výdavky!G93+výdavky!G103</f>
        <v>20574</v>
      </c>
      <c r="J58" s="170">
        <f>výdavky!H93+výdavky!H103</f>
        <v>16200</v>
      </c>
      <c r="K58" s="577">
        <f>výdavky!I93+výdavky!I103</f>
        <v>14400</v>
      </c>
      <c r="L58" s="585">
        <f>výdavky!J93+výdavky!J103</f>
        <v>15000</v>
      </c>
      <c r="M58" s="308">
        <f>výdavky!K93</f>
        <v>16500</v>
      </c>
      <c r="N58" s="170">
        <f>výdavky!L93</f>
        <v>17000</v>
      </c>
    </row>
    <row r="59" spans="1:14" x14ac:dyDescent="0.2">
      <c r="A59" s="131">
        <f t="shared" si="14"/>
        <v>52</v>
      </c>
      <c r="B59" s="157"/>
      <c r="C59" s="215" t="s">
        <v>192</v>
      </c>
      <c r="D59" s="214" t="s">
        <v>217</v>
      </c>
      <c r="E59" s="176" t="s">
        <v>244</v>
      </c>
      <c r="F59" s="182"/>
      <c r="G59" s="183">
        <f t="shared" si="15"/>
        <v>199.2</v>
      </c>
      <c r="H59" s="586">
        <f>výdavky!F95+výdavky!F96</f>
        <v>4170</v>
      </c>
      <c r="I59" s="309">
        <f>výdavky!G95</f>
        <v>6250</v>
      </c>
      <c r="J59" s="175">
        <f>výdavky!H95+výdavky!H96</f>
        <v>4500</v>
      </c>
      <c r="K59" s="415">
        <f>výdavky!I95</f>
        <v>5600</v>
      </c>
      <c r="L59" s="586">
        <f>výdavky!J95</f>
        <v>5800</v>
      </c>
      <c r="M59" s="309">
        <f>výdavky!K95</f>
        <v>6000</v>
      </c>
      <c r="N59" s="175">
        <f>výdavky!L95</f>
        <v>6000</v>
      </c>
    </row>
    <row r="60" spans="1:14" x14ac:dyDescent="0.2">
      <c r="A60" s="131">
        <f t="shared" si="14"/>
        <v>53</v>
      </c>
      <c r="B60" s="157"/>
      <c r="C60" s="215" t="s">
        <v>226</v>
      </c>
      <c r="D60" s="209" t="s">
        <v>228</v>
      </c>
      <c r="E60" s="167" t="s">
        <v>245</v>
      </c>
      <c r="F60" s="210"/>
      <c r="G60" s="216">
        <f t="shared" si="15"/>
        <v>0.7</v>
      </c>
      <c r="H60" s="585">
        <f>výdavky!F97</f>
        <v>20</v>
      </c>
      <c r="I60" s="308">
        <f>výdavky!G97</f>
        <v>20</v>
      </c>
      <c r="J60" s="170">
        <f>výdavky!H97</f>
        <v>20</v>
      </c>
      <c r="K60" s="577">
        <f>výdavky!I97</f>
        <v>20</v>
      </c>
      <c r="L60" s="585">
        <f>výdavky!J97</f>
        <v>20</v>
      </c>
      <c r="M60" s="308">
        <f>výdavky!K97</f>
        <v>20</v>
      </c>
      <c r="N60" s="170">
        <f>výdavky!L97</f>
        <v>20</v>
      </c>
    </row>
    <row r="61" spans="1:14" x14ac:dyDescent="0.2">
      <c r="A61" s="131">
        <f t="shared" si="14"/>
        <v>54</v>
      </c>
      <c r="B61" s="157"/>
      <c r="C61" s="215" t="s">
        <v>226</v>
      </c>
      <c r="D61" s="214" t="s">
        <v>230</v>
      </c>
      <c r="E61" s="172" t="s">
        <v>246</v>
      </c>
      <c r="F61" s="202"/>
      <c r="G61" s="183">
        <f t="shared" si="15"/>
        <v>10</v>
      </c>
      <c r="H61" s="586">
        <f>výdavky!F98</f>
        <v>300</v>
      </c>
      <c r="I61" s="309">
        <f>výdavky!G98</f>
        <v>350</v>
      </c>
      <c r="J61" s="175">
        <f>výdavky!H98</f>
        <v>300</v>
      </c>
      <c r="K61" s="415">
        <f>výdavky!I98</f>
        <v>300</v>
      </c>
      <c r="L61" s="586">
        <f>výdavky!J98</f>
        <v>300</v>
      </c>
      <c r="M61" s="309">
        <f>výdavky!K98</f>
        <v>300</v>
      </c>
      <c r="N61" s="175">
        <f>výdavky!L98</f>
        <v>300</v>
      </c>
    </row>
    <row r="62" spans="1:14" x14ac:dyDescent="0.2">
      <c r="A62" s="131">
        <f t="shared" si="14"/>
        <v>55</v>
      </c>
      <c r="B62" s="157"/>
      <c r="C62" s="215" t="s">
        <v>226</v>
      </c>
      <c r="D62" s="209" t="s">
        <v>232</v>
      </c>
      <c r="E62" s="236" t="s">
        <v>482</v>
      </c>
      <c r="F62" s="198"/>
      <c r="G62" s="216">
        <f t="shared" si="15"/>
        <v>1.7</v>
      </c>
      <c r="H62" s="585">
        <f>výdavky!F104</f>
        <v>50</v>
      </c>
      <c r="I62" s="308">
        <f>výdavky!G104</f>
        <v>50</v>
      </c>
      <c r="J62" s="170">
        <f>výdavky!H104</f>
        <v>50</v>
      </c>
      <c r="K62" s="577">
        <f>výdavky!I104</f>
        <v>50</v>
      </c>
      <c r="L62" s="585">
        <f>výdavky!J104</f>
        <v>50</v>
      </c>
      <c r="M62" s="308">
        <f>výdavky!K104</f>
        <v>50</v>
      </c>
      <c r="N62" s="170">
        <f>výdavky!L104</f>
        <v>50</v>
      </c>
    </row>
    <row r="63" spans="1:14" x14ac:dyDescent="0.2">
      <c r="A63" s="131">
        <f t="shared" si="14"/>
        <v>56</v>
      </c>
      <c r="B63" s="157"/>
      <c r="C63" s="215" t="s">
        <v>226</v>
      </c>
      <c r="D63" s="214" t="s">
        <v>236</v>
      </c>
      <c r="E63" s="172" t="s">
        <v>207</v>
      </c>
      <c r="F63" s="202"/>
      <c r="G63" s="183">
        <f t="shared" si="15"/>
        <v>6.6</v>
      </c>
      <c r="H63" s="586">
        <f>výdavky!F102</f>
        <v>200</v>
      </c>
      <c r="I63" s="309">
        <f>výdavky!G102</f>
        <v>200</v>
      </c>
      <c r="J63" s="175">
        <f>výdavky!H102</f>
        <v>200</v>
      </c>
      <c r="K63" s="415">
        <f>výdavky!I102</f>
        <v>200</v>
      </c>
      <c r="L63" s="586">
        <f>výdavky!J102</f>
        <v>200</v>
      </c>
      <c r="M63" s="309">
        <f>výdavky!K102</f>
        <v>200</v>
      </c>
      <c r="N63" s="175">
        <f>výdavky!L102</f>
        <v>200</v>
      </c>
    </row>
    <row r="64" spans="1:14" x14ac:dyDescent="0.2">
      <c r="A64" s="131">
        <v>57</v>
      </c>
      <c r="B64" s="136">
        <v>5</v>
      </c>
      <c r="C64" s="237" t="s">
        <v>247</v>
      </c>
      <c r="D64" s="138"/>
      <c r="E64" s="138"/>
      <c r="F64" s="238"/>
      <c r="G64" s="140">
        <v>0</v>
      </c>
      <c r="H64" s="582">
        <f>H65</f>
        <v>0</v>
      </c>
      <c r="I64" s="310">
        <f t="shared" ref="I64:N65" si="16">I65</f>
        <v>3000</v>
      </c>
      <c r="J64" s="142">
        <f>J65</f>
        <v>1500</v>
      </c>
      <c r="K64" s="408">
        <f t="shared" si="16"/>
        <v>7165</v>
      </c>
      <c r="L64" s="582">
        <f t="shared" si="16"/>
        <v>3000</v>
      </c>
      <c r="M64" s="310">
        <f t="shared" si="16"/>
        <v>0</v>
      </c>
      <c r="N64" s="142">
        <f t="shared" si="16"/>
        <v>0</v>
      </c>
    </row>
    <row r="65" spans="1:14" x14ac:dyDescent="0.2">
      <c r="A65" s="131">
        <f>A64+1</f>
        <v>58</v>
      </c>
      <c r="B65" s="151"/>
      <c r="C65" s="152"/>
      <c r="D65" s="134" t="s">
        <v>181</v>
      </c>
      <c r="E65" s="153"/>
      <c r="F65" s="154"/>
      <c r="G65" s="155">
        <f>G66</f>
        <v>0</v>
      </c>
      <c r="H65" s="583">
        <f>H66</f>
        <v>0</v>
      </c>
      <c r="I65" s="307">
        <f t="shared" si="16"/>
        <v>3000</v>
      </c>
      <c r="J65" s="156">
        <f>J66</f>
        <v>1500</v>
      </c>
      <c r="K65" s="410">
        <f t="shared" si="16"/>
        <v>7165</v>
      </c>
      <c r="L65" s="583">
        <f t="shared" si="16"/>
        <v>3000</v>
      </c>
      <c r="M65" s="307">
        <f t="shared" si="16"/>
        <v>0</v>
      </c>
      <c r="N65" s="156">
        <f t="shared" si="16"/>
        <v>0</v>
      </c>
    </row>
    <row r="66" spans="1:14" x14ac:dyDescent="0.2">
      <c r="A66" s="131">
        <f>A65+1</f>
        <v>59</v>
      </c>
      <c r="B66" s="151"/>
      <c r="C66" s="239" t="s">
        <v>248</v>
      </c>
      <c r="D66" s="192" t="s">
        <v>249</v>
      </c>
      <c r="E66" s="160"/>
      <c r="F66" s="193"/>
      <c r="G66" s="194">
        <f>SUM(G67:G67)</f>
        <v>0</v>
      </c>
      <c r="H66" s="584">
        <f>H67+H68</f>
        <v>0</v>
      </c>
      <c r="I66" s="340">
        <f>SUM(I67:I68)</f>
        <v>3000</v>
      </c>
      <c r="J66" s="163">
        <f>J67+J68</f>
        <v>1500</v>
      </c>
      <c r="K66" s="278">
        <f>SUM(K67:K68)</f>
        <v>7165</v>
      </c>
      <c r="L66" s="584">
        <f>SUM(L67:L68)</f>
        <v>3000</v>
      </c>
      <c r="M66" s="340">
        <f>SUM(M67:M68)</f>
        <v>0</v>
      </c>
      <c r="N66" s="163">
        <f>SUM(N67:N68)</f>
        <v>0</v>
      </c>
    </row>
    <row r="67" spans="1:14" x14ac:dyDescent="0.2">
      <c r="A67" s="131">
        <f>A66+1</f>
        <v>60</v>
      </c>
      <c r="B67" s="151"/>
      <c r="C67" s="240">
        <v>630</v>
      </c>
      <c r="D67" s="200">
        <v>1</v>
      </c>
      <c r="E67" s="241" t="s">
        <v>250</v>
      </c>
      <c r="F67" s="242"/>
      <c r="G67" s="243"/>
      <c r="H67" s="811">
        <f>výdavky!F10+výdavky!F11</f>
        <v>0</v>
      </c>
      <c r="I67" s="684">
        <f>SUM(výdavky!G10)+výdavky!G11+výdavky!G16</f>
        <v>3000</v>
      </c>
      <c r="J67" s="231">
        <f>výdavky!H10</f>
        <v>1500</v>
      </c>
      <c r="K67" s="825">
        <f>SUM(výdavky!I10,výdavky!I11,výdavky!I16)</f>
        <v>7165</v>
      </c>
      <c r="L67" s="811">
        <v>0</v>
      </c>
      <c r="M67" s="684">
        <v>0</v>
      </c>
      <c r="N67" s="231">
        <v>0</v>
      </c>
    </row>
    <row r="68" spans="1:14" ht="13.5" thickBot="1" x14ac:dyDescent="0.25">
      <c r="A68" s="244">
        <f>A67+1</f>
        <v>61</v>
      </c>
      <c r="B68" s="245"/>
      <c r="C68" s="246">
        <v>630</v>
      </c>
      <c r="D68" s="247">
        <v>2</v>
      </c>
      <c r="E68" s="248" t="s">
        <v>250</v>
      </c>
      <c r="F68" s="249"/>
      <c r="G68" s="250"/>
      <c r="H68" s="813"/>
      <c r="I68" s="685">
        <v>0</v>
      </c>
      <c r="J68" s="251"/>
      <c r="K68" s="826">
        <v>0</v>
      </c>
      <c r="L68" s="813">
        <f>výdavky!J10</f>
        <v>3000</v>
      </c>
      <c r="M68" s="1157">
        <f>výdavky!K10</f>
        <v>0</v>
      </c>
      <c r="N68" s="251">
        <f>výdavky!L10</f>
        <v>0</v>
      </c>
    </row>
  </sheetData>
  <mergeCells count="2">
    <mergeCell ref="G3:N3"/>
    <mergeCell ref="D4:F6"/>
  </mergeCells>
  <phoneticPr fontId="44" type="noConversion"/>
  <pageMargins left="0.25" right="0.25" top="0.75" bottom="0.75" header="0.3" footer="0.3"/>
  <pageSetup paperSize="9" scale="80" firstPageNumber="0" fitToHeight="0" orientation="portrait" horizontalDpi="300" verticalDpi="300" r:id="rId1"/>
  <headerFooter alignWithMargins="0">
    <oddHeader>&amp;C&amp;"Tahoma,Tučné"&amp;14&amp;KFF0000V Ý D A V K O V Á   Č A S Ť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workbookViewId="0">
      <selection activeCell="K14" sqref="K14"/>
    </sheetView>
  </sheetViews>
  <sheetFormatPr defaultRowHeight="12.75" x14ac:dyDescent="0.2"/>
  <cols>
    <col min="1" max="1" width="3.5703125" customWidth="1"/>
    <col min="2" max="2" width="4.140625" customWidth="1"/>
    <col min="3" max="3" width="7.5703125" customWidth="1"/>
    <col min="4" max="4" width="3.42578125" customWidth="1"/>
    <col min="5" max="5" width="31.140625" customWidth="1"/>
    <col min="6" max="6" width="11.85546875" customWidth="1"/>
    <col min="7" max="7" width="0" hidden="1" customWidth="1"/>
    <col min="12" max="12" width="8.42578125" customWidth="1"/>
  </cols>
  <sheetData>
    <row r="1" spans="1:14" ht="15.75" x14ac:dyDescent="0.25">
      <c r="A1" s="95"/>
      <c r="B1" s="99" t="s">
        <v>251</v>
      </c>
      <c r="E1" s="99" t="s">
        <v>252</v>
      </c>
      <c r="F1" s="97"/>
      <c r="G1" s="252" t="e">
        <f>G2-G7</f>
        <v>#REF!</v>
      </c>
      <c r="H1" s="252"/>
      <c r="I1" s="252"/>
      <c r="J1" s="252"/>
      <c r="K1" s="252"/>
      <c r="L1" s="253">
        <f>L2-L7</f>
        <v>0</v>
      </c>
      <c r="M1" s="253">
        <f>M2-M7</f>
        <v>0</v>
      </c>
      <c r="N1" s="253">
        <f>N2-N7</f>
        <v>0</v>
      </c>
    </row>
    <row r="2" spans="1:14" ht="15.75" x14ac:dyDescent="0.25">
      <c r="A2" s="95"/>
      <c r="B2" s="99"/>
      <c r="G2" s="254" t="e">
        <f>SUM(G8:G10)</f>
        <v>#REF!</v>
      </c>
      <c r="H2" s="254"/>
      <c r="I2" s="254"/>
      <c r="J2" s="254"/>
      <c r="K2" s="254"/>
      <c r="L2" s="107">
        <f>SUM(L8:L10)</f>
        <v>1290</v>
      </c>
      <c r="M2" s="107">
        <f>SUM(M8:M10)</f>
        <v>1290</v>
      </c>
      <c r="N2" s="107">
        <f>SUM(N8:N10)</f>
        <v>1590</v>
      </c>
    </row>
    <row r="3" spans="1:14" ht="16.5" thickBot="1" x14ac:dyDescent="0.3">
      <c r="A3" s="108"/>
      <c r="B3" s="109"/>
      <c r="C3" s="110"/>
      <c r="D3" s="110"/>
      <c r="E3" s="111"/>
      <c r="F3" s="112"/>
      <c r="G3" s="2017" t="s">
        <v>168</v>
      </c>
      <c r="H3" s="2017"/>
      <c r="I3" s="2017"/>
      <c r="J3" s="2017"/>
      <c r="K3" s="2017"/>
      <c r="L3" s="2017"/>
      <c r="M3" s="2017"/>
      <c r="N3" s="2017"/>
    </row>
    <row r="4" spans="1:14" ht="13.5" thickBot="1" x14ac:dyDescent="0.25">
      <c r="A4" s="113"/>
      <c r="B4" s="114" t="s">
        <v>169</v>
      </c>
      <c r="C4" s="115" t="s">
        <v>170</v>
      </c>
      <c r="D4" s="2020" t="s">
        <v>171</v>
      </c>
      <c r="E4" s="2020"/>
      <c r="F4" s="2020"/>
      <c r="G4" s="116"/>
      <c r="H4" s="672">
        <v>2021</v>
      </c>
      <c r="I4" s="117">
        <v>2022</v>
      </c>
      <c r="J4" s="117" t="s">
        <v>998</v>
      </c>
      <c r="K4" s="117" t="s">
        <v>999</v>
      </c>
      <c r="L4" s="117">
        <v>2024</v>
      </c>
      <c r="M4" s="117">
        <v>2025</v>
      </c>
      <c r="N4" s="117">
        <v>2026</v>
      </c>
    </row>
    <row r="5" spans="1:14" ht="13.5" thickBot="1" x14ac:dyDescent="0.25">
      <c r="A5" s="113"/>
      <c r="B5" s="114" t="s">
        <v>172</v>
      </c>
      <c r="C5" s="115" t="s">
        <v>173</v>
      </c>
      <c r="D5" s="2020"/>
      <c r="E5" s="2020"/>
      <c r="F5" s="2020"/>
      <c r="G5" s="118" t="s">
        <v>174</v>
      </c>
      <c r="H5" s="255" t="s">
        <v>175</v>
      </c>
      <c r="I5" s="255" t="s">
        <v>175</v>
      </c>
      <c r="J5" s="255" t="s">
        <v>175</v>
      </c>
      <c r="K5" s="119" t="s">
        <v>176</v>
      </c>
      <c r="L5" s="119" t="s">
        <v>176</v>
      </c>
      <c r="M5" s="119" t="s">
        <v>176</v>
      </c>
      <c r="N5" s="119" t="s">
        <v>176</v>
      </c>
    </row>
    <row r="6" spans="1:14" ht="13.5" thickBot="1" x14ac:dyDescent="0.25">
      <c r="A6" s="256"/>
      <c r="B6" s="257" t="s">
        <v>177</v>
      </c>
      <c r="C6" s="258" t="s">
        <v>178</v>
      </c>
      <c r="D6" s="2020"/>
      <c r="E6" s="2020"/>
      <c r="F6" s="2020"/>
      <c r="G6" s="259">
        <v>1</v>
      </c>
      <c r="H6" s="121">
        <v>-3</v>
      </c>
      <c r="I6" s="259">
        <v>-2</v>
      </c>
      <c r="J6" s="121">
        <v>-1</v>
      </c>
      <c r="K6" s="260">
        <v>-1</v>
      </c>
      <c r="L6" s="260">
        <v>0</v>
      </c>
      <c r="M6" s="260">
        <v>1</v>
      </c>
      <c r="N6" s="260">
        <v>2</v>
      </c>
    </row>
    <row r="7" spans="1:14" ht="15" x14ac:dyDescent="0.25">
      <c r="A7" s="131">
        <v>1</v>
      </c>
      <c r="B7" s="261" t="s">
        <v>251</v>
      </c>
      <c r="C7" s="262"/>
      <c r="D7" s="263"/>
      <c r="E7" s="264" t="s">
        <v>252</v>
      </c>
      <c r="F7" s="265"/>
      <c r="G7" s="266" t="e">
        <f>G11+#REF!</f>
        <v>#REF!</v>
      </c>
      <c r="H7" s="581">
        <f>H8+H9+H10</f>
        <v>26220</v>
      </c>
      <c r="I7" s="267">
        <f>SUM(I8:I10)</f>
        <v>2280</v>
      </c>
      <c r="J7" s="581">
        <f>J8+J9+J10</f>
        <v>1220</v>
      </c>
      <c r="K7" s="673">
        <f>SUM(K8:K10)</f>
        <v>1274</v>
      </c>
      <c r="L7" s="130">
        <f>SUM(L8:L10)</f>
        <v>1290</v>
      </c>
      <c r="M7" s="130">
        <f>SUM(M8:M10)</f>
        <v>1290</v>
      </c>
      <c r="N7" s="130">
        <f>SUM(N8:N10)</f>
        <v>1590</v>
      </c>
    </row>
    <row r="8" spans="1:14" x14ac:dyDescent="0.2">
      <c r="A8" s="131">
        <f t="shared" ref="A8:A14" si="0">A7+1</f>
        <v>2</v>
      </c>
      <c r="B8" s="268" t="s">
        <v>180</v>
      </c>
      <c r="C8" s="626" t="s">
        <v>181</v>
      </c>
      <c r="D8" s="627"/>
      <c r="E8" s="628"/>
      <c r="F8" s="629"/>
      <c r="G8" s="630" t="e">
        <f>G12+#REF!</f>
        <v>#REF!</v>
      </c>
      <c r="H8" s="711">
        <f>H12</f>
        <v>26220</v>
      </c>
      <c r="I8" s="709">
        <f>SUM(I12)</f>
        <v>2280</v>
      </c>
      <c r="J8" s="711">
        <f>J12</f>
        <v>1220</v>
      </c>
      <c r="K8" s="693">
        <f>SUM(K12)</f>
        <v>1274</v>
      </c>
      <c r="L8" s="631">
        <f>SUM(L12)</f>
        <v>1290</v>
      </c>
      <c r="M8" s="631">
        <f>SUM(M12)</f>
        <v>1290</v>
      </c>
      <c r="N8" s="631">
        <f>SUM(N12)</f>
        <v>1590</v>
      </c>
    </row>
    <row r="9" spans="1:14" x14ac:dyDescent="0.2">
      <c r="A9" s="131">
        <f t="shared" si="0"/>
        <v>3</v>
      </c>
      <c r="B9" s="268" t="s">
        <v>182</v>
      </c>
      <c r="C9" s="701" t="s">
        <v>183</v>
      </c>
      <c r="D9" s="702"/>
      <c r="E9" s="703"/>
      <c r="F9" s="704"/>
      <c r="G9" s="705" t="e">
        <f>#REF!</f>
        <v>#REF!</v>
      </c>
      <c r="H9" s="718">
        <v>0</v>
      </c>
      <c r="I9" s="708">
        <v>0</v>
      </c>
      <c r="J9" s="718">
        <v>0</v>
      </c>
      <c r="K9" s="706">
        <v>0</v>
      </c>
      <c r="L9" s="707">
        <v>0</v>
      </c>
      <c r="M9" s="707">
        <v>0</v>
      </c>
      <c r="N9" s="707">
        <v>0</v>
      </c>
    </row>
    <row r="10" spans="1:14" ht="13.5" thickBot="1" x14ac:dyDescent="0.25">
      <c r="A10" s="131">
        <f t="shared" si="0"/>
        <v>4</v>
      </c>
      <c r="B10" s="269"/>
      <c r="C10" s="650" t="s">
        <v>184</v>
      </c>
      <c r="D10" s="651"/>
      <c r="E10" s="652"/>
      <c r="F10" s="653"/>
      <c r="G10" s="729">
        <v>0</v>
      </c>
      <c r="H10" s="731">
        <v>0</v>
      </c>
      <c r="I10" s="730">
        <v>0</v>
      </c>
      <c r="J10" s="731">
        <v>0</v>
      </c>
      <c r="K10" s="732">
        <v>0</v>
      </c>
      <c r="L10" s="733">
        <v>0</v>
      </c>
      <c r="M10" s="733">
        <v>0</v>
      </c>
      <c r="N10" s="733">
        <v>0</v>
      </c>
    </row>
    <row r="11" spans="1:14" ht="13.5" thickTop="1" x14ac:dyDescent="0.2">
      <c r="A11" s="131">
        <f t="shared" si="0"/>
        <v>5</v>
      </c>
      <c r="B11" s="270">
        <v>1</v>
      </c>
      <c r="C11" s="237" t="s">
        <v>253</v>
      </c>
      <c r="D11" s="138"/>
      <c r="E11" s="138"/>
      <c r="F11" s="139"/>
      <c r="G11" s="140" t="e">
        <f>SUM(G13)+#REF!</f>
        <v>#REF!</v>
      </c>
      <c r="H11" s="582">
        <f>H12</f>
        <v>26220</v>
      </c>
      <c r="I11" s="271">
        <f t="shared" ref="I11:N12" si="1">I12</f>
        <v>2280</v>
      </c>
      <c r="J11" s="582">
        <f>J12</f>
        <v>1220</v>
      </c>
      <c r="K11" s="310">
        <f t="shared" si="1"/>
        <v>1274</v>
      </c>
      <c r="L11" s="142">
        <f t="shared" si="1"/>
        <v>1290</v>
      </c>
      <c r="M11" s="142">
        <f t="shared" si="1"/>
        <v>1290</v>
      </c>
      <c r="N11" s="142">
        <f t="shared" si="1"/>
        <v>1590</v>
      </c>
    </row>
    <row r="12" spans="1:14" x14ac:dyDescent="0.2">
      <c r="A12" s="131">
        <f t="shared" si="0"/>
        <v>6</v>
      </c>
      <c r="B12" s="272"/>
      <c r="C12" s="152"/>
      <c r="D12" s="134" t="s">
        <v>181</v>
      </c>
      <c r="E12" s="153"/>
      <c r="F12" s="154"/>
      <c r="G12" s="155" t="e">
        <f>G13</f>
        <v>#REF!</v>
      </c>
      <c r="H12" s="583">
        <f>H13</f>
        <v>26220</v>
      </c>
      <c r="I12" s="273">
        <f t="shared" si="1"/>
        <v>2280</v>
      </c>
      <c r="J12" s="583">
        <f>J13</f>
        <v>1220</v>
      </c>
      <c r="K12" s="307">
        <f t="shared" si="1"/>
        <v>1274</v>
      </c>
      <c r="L12" s="156">
        <f t="shared" si="1"/>
        <v>1290</v>
      </c>
      <c r="M12" s="156">
        <f t="shared" si="1"/>
        <v>1290</v>
      </c>
      <c r="N12" s="156">
        <f t="shared" si="1"/>
        <v>1590</v>
      </c>
    </row>
    <row r="13" spans="1:14" x14ac:dyDescent="0.2">
      <c r="A13" s="131">
        <f t="shared" si="0"/>
        <v>7</v>
      </c>
      <c r="B13" s="274"/>
      <c r="C13" s="275" t="s">
        <v>254</v>
      </c>
      <c r="D13" s="192" t="s">
        <v>253</v>
      </c>
      <c r="E13" s="276"/>
      <c r="F13" s="277"/>
      <c r="G13" s="194" t="e">
        <f>SUM(#REF!)</f>
        <v>#REF!</v>
      </c>
      <c r="H13" s="584">
        <f t="shared" ref="H13:N13" si="2">SUM(H14:H17)</f>
        <v>26220</v>
      </c>
      <c r="I13" s="387">
        <f t="shared" si="2"/>
        <v>2280</v>
      </c>
      <c r="J13" s="584">
        <f t="shared" si="2"/>
        <v>1220</v>
      </c>
      <c r="K13" s="340">
        <f t="shared" si="2"/>
        <v>1274</v>
      </c>
      <c r="L13" s="163">
        <f t="shared" si="2"/>
        <v>1290</v>
      </c>
      <c r="M13" s="163">
        <f t="shared" si="2"/>
        <v>1290</v>
      </c>
      <c r="N13" s="163">
        <f t="shared" si="2"/>
        <v>1590</v>
      </c>
    </row>
    <row r="14" spans="1:14" x14ac:dyDescent="0.2">
      <c r="A14" s="131">
        <f t="shared" si="0"/>
        <v>8</v>
      </c>
      <c r="B14" s="274"/>
      <c r="C14" s="213" t="s">
        <v>196</v>
      </c>
      <c r="D14" s="214" t="s">
        <v>215</v>
      </c>
      <c r="E14" s="172" t="s">
        <v>255</v>
      </c>
      <c r="F14" s="202"/>
      <c r="G14" s="203"/>
      <c r="H14" s="781">
        <f>výdavky!F118</f>
        <v>200</v>
      </c>
      <c r="I14" s="279">
        <f>výdavky!G118</f>
        <v>150</v>
      </c>
      <c r="J14" s="586">
        <f>výdavky!H118</f>
        <v>200</v>
      </c>
      <c r="K14" s="309">
        <f>výdavky!I118</f>
        <v>200</v>
      </c>
      <c r="L14" s="175">
        <f>výdavky!J118</f>
        <v>200</v>
      </c>
      <c r="M14" s="175">
        <f>výdavky!K118</f>
        <v>200</v>
      </c>
      <c r="N14" s="175">
        <f>výdavky!L118</f>
        <v>200</v>
      </c>
    </row>
    <row r="15" spans="1:14" x14ac:dyDescent="0.2">
      <c r="A15" s="131">
        <v>9</v>
      </c>
      <c r="B15" s="274"/>
      <c r="C15" s="213" t="s">
        <v>206</v>
      </c>
      <c r="D15" s="214" t="s">
        <v>217</v>
      </c>
      <c r="E15" s="172" t="s">
        <v>207</v>
      </c>
      <c r="F15" s="202"/>
      <c r="G15" s="203"/>
      <c r="H15" s="781">
        <f>výdavky!F119</f>
        <v>640</v>
      </c>
      <c r="I15" s="279">
        <f>SUM(výdavky!G119)</f>
        <v>1730</v>
      </c>
      <c r="J15" s="586">
        <f>výdavky!H119</f>
        <v>640</v>
      </c>
      <c r="K15" s="309">
        <f>výdavky!I119</f>
        <v>640</v>
      </c>
      <c r="L15" s="175">
        <f>výdavky!J119</f>
        <v>640</v>
      </c>
      <c r="M15" s="175">
        <f>výdavky!K119</f>
        <v>640</v>
      </c>
      <c r="N15" s="175">
        <f>výdavky!L119</f>
        <v>940</v>
      </c>
    </row>
    <row r="16" spans="1:14" s="1357" customFormat="1" ht="13.5" thickBot="1" x14ac:dyDescent="0.25">
      <c r="A16" s="131">
        <v>10</v>
      </c>
      <c r="B16" s="274"/>
      <c r="C16" s="281" t="s">
        <v>206</v>
      </c>
      <c r="D16" s="282" t="s">
        <v>228</v>
      </c>
      <c r="E16" s="283" t="s">
        <v>256</v>
      </c>
      <c r="F16" s="284"/>
      <c r="G16" s="285"/>
      <c r="H16" s="802">
        <f>výdavky!F120</f>
        <v>380</v>
      </c>
      <c r="I16" s="286">
        <f>výdavky!G120</f>
        <v>400</v>
      </c>
      <c r="J16" s="688">
        <f>výdavky!H120</f>
        <v>380</v>
      </c>
      <c r="K16" s="337">
        <f>výdavky!I120</f>
        <v>434</v>
      </c>
      <c r="L16" s="287">
        <f>výdavky!J120</f>
        <v>450</v>
      </c>
      <c r="M16" s="287">
        <f>výdavky!K120</f>
        <v>450</v>
      </c>
      <c r="N16" s="287">
        <f>výdavky!L120</f>
        <v>450</v>
      </c>
    </row>
    <row r="17" spans="1:14" ht="13.5" thickBot="1" x14ac:dyDescent="0.25">
      <c r="A17" s="244">
        <v>11</v>
      </c>
      <c r="B17" s="280"/>
      <c r="C17" s="281" t="s">
        <v>206</v>
      </c>
      <c r="D17" s="282" t="s">
        <v>230</v>
      </c>
      <c r="E17" s="283" t="s">
        <v>941</v>
      </c>
      <c r="F17" s="284"/>
      <c r="G17" s="285"/>
      <c r="H17" s="802">
        <f>výdavky!F121</f>
        <v>25000</v>
      </c>
      <c r="I17" s="286">
        <f>výdavky!G121</f>
        <v>0</v>
      </c>
      <c r="J17" s="688">
        <f>výdavky!H121</f>
        <v>0</v>
      </c>
      <c r="K17" s="337">
        <f>výdavky!I121</f>
        <v>0</v>
      </c>
      <c r="L17" s="287">
        <f>výdavky!J121</f>
        <v>0</v>
      </c>
      <c r="M17" s="287">
        <f>výdavky!K121</f>
        <v>0</v>
      </c>
      <c r="N17" s="287">
        <f>výdavky!L121</f>
        <v>0</v>
      </c>
    </row>
  </sheetData>
  <mergeCells count="2">
    <mergeCell ref="G3:N3"/>
    <mergeCell ref="D4:F6"/>
  </mergeCells>
  <phoneticPr fontId="44" type="noConversion"/>
  <pageMargins left="0.25" right="0.25" top="0.75" bottom="0.75" header="0.3" footer="0.3"/>
  <pageSetup paperSize="9" scale="80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5"/>
  <sheetViews>
    <sheetView topLeftCell="A5" workbookViewId="0">
      <selection activeCell="J46" sqref="J46"/>
    </sheetView>
  </sheetViews>
  <sheetFormatPr defaultRowHeight="12.75" x14ac:dyDescent="0.2"/>
  <cols>
    <col min="1" max="1" width="3.5703125" style="95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15.5703125" customWidth="1"/>
    <col min="7" max="7" width="0" hidden="1" customWidth="1"/>
    <col min="8" max="8" width="8.42578125" customWidth="1"/>
    <col min="9" max="9" width="8.28515625" customWidth="1"/>
    <col min="10" max="10" width="7.7109375" customWidth="1"/>
    <col min="11" max="11" width="7.140625" customWidth="1"/>
    <col min="12" max="12" width="8.5703125" customWidth="1"/>
    <col min="13" max="14" width="7.28515625" customWidth="1"/>
  </cols>
  <sheetData>
    <row r="1" spans="1:14" ht="15.75" x14ac:dyDescent="0.25">
      <c r="A1" s="157"/>
      <c r="B1" s="288" t="s">
        <v>257</v>
      </c>
      <c r="C1" s="96"/>
      <c r="D1" s="96"/>
      <c r="E1" s="289" t="s">
        <v>258</v>
      </c>
      <c r="F1" s="96"/>
      <c r="G1" s="290" t="e">
        <f>G2-G7</f>
        <v>#REF!</v>
      </c>
      <c r="H1" s="290"/>
      <c r="I1" s="290"/>
      <c r="J1" s="290"/>
      <c r="K1" s="290"/>
      <c r="L1" s="291">
        <f>L2-L7</f>
        <v>0</v>
      </c>
      <c r="M1" s="291">
        <f>M2-M7</f>
        <v>0</v>
      </c>
      <c r="N1" s="291">
        <f>N2-N7</f>
        <v>0</v>
      </c>
    </row>
    <row r="2" spans="1:14" ht="16.5" thickBot="1" x14ac:dyDescent="0.3">
      <c r="A2" s="157"/>
      <c r="B2" s="288"/>
      <c r="C2" s="96"/>
      <c r="D2" s="96"/>
      <c r="E2" s="96"/>
      <c r="F2" s="96"/>
      <c r="G2" s="252" t="e">
        <f>SUM(G8:G10)</f>
        <v>#REF!</v>
      </c>
      <c r="H2" s="252"/>
      <c r="I2" s="252"/>
      <c r="J2" s="252"/>
      <c r="K2" s="252"/>
      <c r="L2" s="292">
        <f>SUM(L8:L10)</f>
        <v>122280</v>
      </c>
      <c r="M2" s="292">
        <f>SUM(M8:M10)</f>
        <v>129030</v>
      </c>
      <c r="N2" s="292">
        <f>SUM(N8:N10)</f>
        <v>129530</v>
      </c>
    </row>
    <row r="3" spans="1:14" ht="16.5" thickBot="1" x14ac:dyDescent="0.3">
      <c r="A3" s="108"/>
      <c r="B3" s="109"/>
      <c r="C3" s="110"/>
      <c r="D3" s="110"/>
      <c r="E3" s="111"/>
      <c r="F3" s="112"/>
      <c r="G3" s="2017" t="s">
        <v>168</v>
      </c>
      <c r="H3" s="2018"/>
      <c r="I3" s="2018"/>
      <c r="J3" s="2018"/>
      <c r="K3" s="2018"/>
      <c r="L3" s="2018"/>
      <c r="M3" s="2018"/>
      <c r="N3" s="2018"/>
    </row>
    <row r="4" spans="1:14" ht="12.75" customHeight="1" thickBot="1" x14ac:dyDescent="0.25">
      <c r="A4" s="113"/>
      <c r="B4" s="114" t="s">
        <v>169</v>
      </c>
      <c r="C4" s="115" t="s">
        <v>170</v>
      </c>
      <c r="D4" s="2019" t="s">
        <v>171</v>
      </c>
      <c r="E4" s="2019"/>
      <c r="F4" s="2019"/>
      <c r="G4" s="116"/>
      <c r="H4" s="672">
        <v>2021</v>
      </c>
      <c r="I4" s="117">
        <v>2022</v>
      </c>
      <c r="J4" s="117" t="s">
        <v>998</v>
      </c>
      <c r="K4" s="117" t="s">
        <v>999</v>
      </c>
      <c r="L4" s="117">
        <v>2024</v>
      </c>
      <c r="M4" s="117">
        <v>2025</v>
      </c>
      <c r="N4" s="117">
        <v>2026</v>
      </c>
    </row>
    <row r="5" spans="1:14" ht="11.25" customHeight="1" thickBot="1" x14ac:dyDescent="0.25">
      <c r="A5" s="113"/>
      <c r="B5" s="114" t="s">
        <v>172</v>
      </c>
      <c r="C5" s="115" t="s">
        <v>173</v>
      </c>
      <c r="D5" s="2019"/>
      <c r="E5" s="2019"/>
      <c r="F5" s="2019"/>
      <c r="G5" s="118" t="s">
        <v>174</v>
      </c>
      <c r="H5" s="1422" t="s">
        <v>175</v>
      </c>
      <c r="I5" s="119" t="s">
        <v>175</v>
      </c>
      <c r="J5" s="119" t="s">
        <v>175</v>
      </c>
      <c r="K5" s="119" t="s">
        <v>175</v>
      </c>
      <c r="L5" s="119" t="s">
        <v>175</v>
      </c>
      <c r="M5" s="120" t="s">
        <v>176</v>
      </c>
      <c r="N5" s="1204" t="s">
        <v>176</v>
      </c>
    </row>
    <row r="6" spans="1:14" ht="13.5" thickBot="1" x14ac:dyDescent="0.25">
      <c r="A6" s="113"/>
      <c r="B6" s="114" t="s">
        <v>177</v>
      </c>
      <c r="C6" s="115" t="s">
        <v>178</v>
      </c>
      <c r="D6" s="2019"/>
      <c r="E6" s="2019"/>
      <c r="F6" s="2019"/>
      <c r="G6" s="121">
        <v>1</v>
      </c>
      <c r="H6" s="1423">
        <v>-3</v>
      </c>
      <c r="I6" s="260">
        <v>-2</v>
      </c>
      <c r="J6" s="260">
        <v>-1</v>
      </c>
      <c r="K6" s="260">
        <v>-1</v>
      </c>
      <c r="L6" s="260">
        <v>0</v>
      </c>
      <c r="M6" s="123">
        <v>1</v>
      </c>
      <c r="N6" s="1205">
        <v>2</v>
      </c>
    </row>
    <row r="7" spans="1:14" ht="15" x14ac:dyDescent="0.25">
      <c r="A7" s="1378">
        <v>1</v>
      </c>
      <c r="B7" s="1390" t="s">
        <v>257</v>
      </c>
      <c r="C7" s="1391"/>
      <c r="D7" s="1207"/>
      <c r="E7" s="1208" t="s">
        <v>258</v>
      </c>
      <c r="F7" s="1392"/>
      <c r="G7" s="1382" t="e">
        <f>G11+#REF!+#REF!+#REF!+#REF!+#REF!+G34+#REF!</f>
        <v>#REF!</v>
      </c>
      <c r="H7" s="1171">
        <f>H8+H9+H10</f>
        <v>140973</v>
      </c>
      <c r="I7" s="1172">
        <f>SUM(I8:I10)</f>
        <v>126696</v>
      </c>
      <c r="J7" s="1158">
        <f>J8+J9+J10</f>
        <v>116596</v>
      </c>
      <c r="K7" s="1174">
        <f>SUM(K8:K10)</f>
        <v>132540</v>
      </c>
      <c r="L7" s="1174">
        <f>SUM(L8:L10)</f>
        <v>122280</v>
      </c>
      <c r="M7" s="1173">
        <f>SUM(M8:M10)</f>
        <v>129030</v>
      </c>
      <c r="N7" s="1171">
        <f>SUM(N8:N10)</f>
        <v>129530</v>
      </c>
    </row>
    <row r="8" spans="1:14" x14ac:dyDescent="0.2">
      <c r="A8" s="1379">
        <f t="shared" ref="A8:A17" si="0">A7+1</f>
        <v>2</v>
      </c>
      <c r="B8" s="1209" t="s">
        <v>180</v>
      </c>
      <c r="C8" s="626" t="s">
        <v>181</v>
      </c>
      <c r="D8" s="627"/>
      <c r="E8" s="628"/>
      <c r="F8" s="1393"/>
      <c r="G8" s="1383" t="e">
        <f>G12+#REF!+#REF!+#REF!+#REF!+#REF!+#REF!+G35</f>
        <v>#REF!</v>
      </c>
      <c r="H8" s="711">
        <f>H12+H35</f>
        <v>122674</v>
      </c>
      <c r="I8" s="693">
        <f>SUM(I12,I35)</f>
        <v>123696</v>
      </c>
      <c r="J8" s="631">
        <f>J12+J35</f>
        <v>113296</v>
      </c>
      <c r="K8" s="631">
        <f>SUM(K12,K35)</f>
        <v>132540</v>
      </c>
      <c r="L8" s="631">
        <f>SUM(L12,L35)</f>
        <v>118980</v>
      </c>
      <c r="M8" s="710">
        <f>SUM(M12,M35)</f>
        <v>125730</v>
      </c>
      <c r="N8" s="711">
        <f>SUM(N12,N35)</f>
        <v>126230</v>
      </c>
    </row>
    <row r="9" spans="1:14" x14ac:dyDescent="0.2">
      <c r="A9" s="1379">
        <f t="shared" si="0"/>
        <v>3</v>
      </c>
      <c r="B9" s="1209" t="s">
        <v>182</v>
      </c>
      <c r="C9" s="701" t="s">
        <v>183</v>
      </c>
      <c r="D9" s="734"/>
      <c r="E9" s="735"/>
      <c r="F9" s="1394"/>
      <c r="G9" s="1384" t="e">
        <f>'Program 1'!#REF!+#REF!+#REF!</f>
        <v>#REF!</v>
      </c>
      <c r="H9" s="718">
        <f>H31+H43</f>
        <v>18299</v>
      </c>
      <c r="I9" s="706">
        <f>I31+I43+I27</f>
        <v>0</v>
      </c>
      <c r="J9" s="707">
        <f>J31+J43</f>
        <v>0</v>
      </c>
      <c r="K9" s="707">
        <f>K31+K43+K27</f>
        <v>0</v>
      </c>
      <c r="L9" s="707">
        <f>L31+L43</f>
        <v>0</v>
      </c>
      <c r="M9" s="736">
        <f>M31+M43</f>
        <v>0</v>
      </c>
      <c r="N9" s="718">
        <f>N31+N43</f>
        <v>0</v>
      </c>
    </row>
    <row r="10" spans="1:14" ht="13.5" thickBot="1" x14ac:dyDescent="0.25">
      <c r="A10" s="1379">
        <f t="shared" si="0"/>
        <v>4</v>
      </c>
      <c r="B10" s="1395"/>
      <c r="C10" s="650" t="s">
        <v>184</v>
      </c>
      <c r="D10" s="651"/>
      <c r="E10" s="652"/>
      <c r="F10" s="1396"/>
      <c r="G10" s="1385" t="e">
        <f>#REF!</f>
        <v>#REF!</v>
      </c>
      <c r="H10" s="731">
        <f t="shared" ref="H10:N10" si="1">H24</f>
        <v>0</v>
      </c>
      <c r="I10" s="732">
        <f t="shared" si="1"/>
        <v>3000</v>
      </c>
      <c r="J10" s="733">
        <f t="shared" si="1"/>
        <v>3300</v>
      </c>
      <c r="K10" s="733">
        <f t="shared" si="1"/>
        <v>0</v>
      </c>
      <c r="L10" s="730">
        <f t="shared" si="1"/>
        <v>3300</v>
      </c>
      <c r="M10" s="737">
        <f t="shared" si="1"/>
        <v>3300</v>
      </c>
      <c r="N10" s="731">
        <f t="shared" si="1"/>
        <v>3300</v>
      </c>
    </row>
    <row r="11" spans="1:14" ht="13.5" thickTop="1" x14ac:dyDescent="0.2">
      <c r="A11" s="1379">
        <f t="shared" si="0"/>
        <v>5</v>
      </c>
      <c r="B11" s="1397">
        <v>1</v>
      </c>
      <c r="C11" s="233" t="s">
        <v>259</v>
      </c>
      <c r="D11" s="138"/>
      <c r="E11" s="138"/>
      <c r="F11" s="1398"/>
      <c r="G11" s="621" t="e">
        <f>G13+G32+#REF!</f>
        <v>#REF!</v>
      </c>
      <c r="H11" s="582">
        <f>H12+H24</f>
        <v>107824</v>
      </c>
      <c r="I11" s="310">
        <f>SUM(I12+I31)</f>
        <v>109174</v>
      </c>
      <c r="J11" s="142">
        <f>J12+J24</f>
        <v>107946</v>
      </c>
      <c r="K11" s="142">
        <f>SUM(K12+K31)</f>
        <v>117144</v>
      </c>
      <c r="L11" s="142">
        <f>SUM(L12+L31)</f>
        <v>105780</v>
      </c>
      <c r="M11" s="408">
        <f>SUM(M12+M31)</f>
        <v>112380</v>
      </c>
      <c r="N11" s="582">
        <f>SUM(N12+N31)</f>
        <v>112880</v>
      </c>
    </row>
    <row r="12" spans="1:14" s="190" customFormat="1" x14ac:dyDescent="0.2">
      <c r="A12" s="1379">
        <f t="shared" si="0"/>
        <v>6</v>
      </c>
      <c r="B12" s="1399"/>
      <c r="C12" s="224"/>
      <c r="D12" s="133" t="s">
        <v>181</v>
      </c>
      <c r="E12" s="153"/>
      <c r="F12" s="1400"/>
      <c r="G12" s="623">
        <f t="shared" ref="G12:N12" si="2">G13</f>
        <v>3726.9999999999995</v>
      </c>
      <c r="H12" s="583">
        <f>H13</f>
        <v>107824</v>
      </c>
      <c r="I12" s="307">
        <f t="shared" si="2"/>
        <v>109174</v>
      </c>
      <c r="J12" s="156">
        <f>J13</f>
        <v>104646</v>
      </c>
      <c r="K12" s="156">
        <f t="shared" si="2"/>
        <v>117144</v>
      </c>
      <c r="L12" s="156">
        <f t="shared" si="2"/>
        <v>105780</v>
      </c>
      <c r="M12" s="410">
        <f t="shared" si="2"/>
        <v>112380</v>
      </c>
      <c r="N12" s="583">
        <f t="shared" si="2"/>
        <v>112880</v>
      </c>
    </row>
    <row r="13" spans="1:14" x14ac:dyDescent="0.2">
      <c r="A13" s="1379">
        <f t="shared" si="0"/>
        <v>7</v>
      </c>
      <c r="B13" s="1206"/>
      <c r="C13" s="296" t="s">
        <v>260</v>
      </c>
      <c r="D13" s="192" t="s">
        <v>261</v>
      </c>
      <c r="E13" s="160"/>
      <c r="F13" s="1401"/>
      <c r="G13" s="1386">
        <f>SUM(G14:G21)</f>
        <v>3726.9999999999995</v>
      </c>
      <c r="H13" s="584">
        <f>SUM(H14:H23)</f>
        <v>107824</v>
      </c>
      <c r="I13" s="340">
        <f>SUM(I14,I15,I16,I17,I18,I19,I20,I21,I22,I23)</f>
        <v>109174</v>
      </c>
      <c r="J13" s="163">
        <f>SUM(J14:J23)</f>
        <v>104646</v>
      </c>
      <c r="K13" s="163">
        <f>SUM(K14,K15,K16,K17,K18,K19,K20,K21,K22,K23)</f>
        <v>117144</v>
      </c>
      <c r="L13" s="163">
        <f>SUM(L14,L15,L16,L17,L18,L19,L20,L21,L22,L23)</f>
        <v>105780</v>
      </c>
      <c r="M13" s="278">
        <f>SUM(M14,M15,M16,M17,M18,M19,M20,M21,M22,M23)</f>
        <v>112380</v>
      </c>
      <c r="N13" s="584">
        <f>SUM(N14,N15,N16,N17,N18,N19,N20,N21,N22,N23)</f>
        <v>112880</v>
      </c>
    </row>
    <row r="14" spans="1:14" x14ac:dyDescent="0.2">
      <c r="A14" s="1379">
        <f t="shared" si="0"/>
        <v>8</v>
      </c>
      <c r="B14" s="1206"/>
      <c r="C14" s="215" t="s">
        <v>190</v>
      </c>
      <c r="D14" s="209" t="s">
        <v>215</v>
      </c>
      <c r="E14" s="297" t="s">
        <v>243</v>
      </c>
      <c r="F14" s="1402"/>
      <c r="G14" s="169">
        <f t="shared" ref="G14:G22" si="3">ROUND(M14/30.126,1)</f>
        <v>2489.5</v>
      </c>
      <c r="H14" s="585">
        <f>výdavky!F129</f>
        <v>70000</v>
      </c>
      <c r="I14" s="308">
        <f>výdavky!G129</f>
        <v>70000</v>
      </c>
      <c r="J14" s="170">
        <f>výdavky!H129</f>
        <v>70000</v>
      </c>
      <c r="K14" s="170">
        <f>výdavky!I129</f>
        <v>75986</v>
      </c>
      <c r="L14" s="298">
        <f>výdavky!J129</f>
        <v>70000</v>
      </c>
      <c r="M14" s="577">
        <f>výdavky!K129</f>
        <v>75000</v>
      </c>
      <c r="N14" s="585">
        <f>výdavky!L129</f>
        <v>75000</v>
      </c>
    </row>
    <row r="15" spans="1:14" x14ac:dyDescent="0.2">
      <c r="A15" s="1379">
        <f t="shared" si="0"/>
        <v>9</v>
      </c>
      <c r="B15" s="1206"/>
      <c r="C15" s="215" t="s">
        <v>192</v>
      </c>
      <c r="D15" s="214" t="s">
        <v>217</v>
      </c>
      <c r="E15" s="299" t="s">
        <v>193</v>
      </c>
      <c r="F15" s="1403"/>
      <c r="G15" s="174">
        <f t="shared" si="3"/>
        <v>896.2</v>
      </c>
      <c r="H15" s="586">
        <f>výdavky!F130</f>
        <v>26000</v>
      </c>
      <c r="I15" s="309">
        <f>výdavky!G130</f>
        <v>25000</v>
      </c>
      <c r="J15" s="175">
        <f>výdavky!H130</f>
        <v>25000</v>
      </c>
      <c r="K15" s="175">
        <f>výdavky!I130</f>
        <v>27200</v>
      </c>
      <c r="L15" s="279">
        <f>výdavky!J130</f>
        <v>25000</v>
      </c>
      <c r="M15" s="415">
        <f>výdavky!K130</f>
        <v>27000</v>
      </c>
      <c r="N15" s="586">
        <f>výdavky!L130</f>
        <v>27000</v>
      </c>
    </row>
    <row r="16" spans="1:14" x14ac:dyDescent="0.2">
      <c r="A16" s="1379">
        <f t="shared" si="0"/>
        <v>10</v>
      </c>
      <c r="B16" s="1206"/>
      <c r="C16" s="215" t="s">
        <v>194</v>
      </c>
      <c r="D16" s="209" t="s">
        <v>228</v>
      </c>
      <c r="E16" s="297" t="s">
        <v>262</v>
      </c>
      <c r="F16" s="1402"/>
      <c r="G16" s="169">
        <f t="shared" si="3"/>
        <v>1.7</v>
      </c>
      <c r="H16" s="585">
        <f>výdavky!F131</f>
        <v>50</v>
      </c>
      <c r="I16" s="308">
        <f>výdavky!G131</f>
        <v>50</v>
      </c>
      <c r="J16" s="170">
        <f>výdavky!H131</f>
        <v>50</v>
      </c>
      <c r="K16" s="170">
        <f>výdavky!I131</f>
        <v>50</v>
      </c>
      <c r="L16" s="298">
        <f>výdavky!J131</f>
        <v>50</v>
      </c>
      <c r="M16" s="577">
        <f>výdavky!K131</f>
        <v>50</v>
      </c>
      <c r="N16" s="585">
        <f>výdavky!L131</f>
        <v>50</v>
      </c>
    </row>
    <row r="17" spans="1:14" x14ac:dyDescent="0.2">
      <c r="A17" s="1379">
        <f t="shared" si="0"/>
        <v>11</v>
      </c>
      <c r="B17" s="1206"/>
      <c r="C17" s="215" t="s">
        <v>196</v>
      </c>
      <c r="D17" s="214" t="s">
        <v>230</v>
      </c>
      <c r="E17" s="299" t="s">
        <v>197</v>
      </c>
      <c r="F17" s="1403"/>
      <c r="G17" s="174">
        <f t="shared" si="3"/>
        <v>29.2</v>
      </c>
      <c r="H17" s="586">
        <f>výdavky!F132</f>
        <v>880</v>
      </c>
      <c r="I17" s="309">
        <f>výdavky!G132</f>
        <v>880</v>
      </c>
      <c r="J17" s="175">
        <f>výdavky!H132</f>
        <v>880</v>
      </c>
      <c r="K17" s="175">
        <f>výdavky!I132</f>
        <v>880</v>
      </c>
      <c r="L17" s="279">
        <f>výdavky!J132</f>
        <v>880</v>
      </c>
      <c r="M17" s="415">
        <f>výdavky!K132</f>
        <v>880</v>
      </c>
      <c r="N17" s="586">
        <f>výdavky!L132</f>
        <v>880</v>
      </c>
    </row>
    <row r="18" spans="1:14" x14ac:dyDescent="0.2">
      <c r="A18" s="1379">
        <v>12</v>
      </c>
      <c r="B18" s="1206"/>
      <c r="C18" s="215" t="s">
        <v>198</v>
      </c>
      <c r="D18" s="209" t="s">
        <v>232</v>
      </c>
      <c r="E18" s="297" t="s">
        <v>263</v>
      </c>
      <c r="F18" s="1402"/>
      <c r="G18" s="169">
        <f t="shared" si="3"/>
        <v>97.9</v>
      </c>
      <c r="H18" s="585">
        <f>výdavky!F133</f>
        <v>2850</v>
      </c>
      <c r="I18" s="308">
        <f>výdavky!G133</f>
        <v>4170</v>
      </c>
      <c r="J18" s="170">
        <f>výdavky!H133</f>
        <v>2850</v>
      </c>
      <c r="K18" s="170">
        <f>výdavky!I133</f>
        <v>2657</v>
      </c>
      <c r="L18" s="298">
        <f>výdavky!J133</f>
        <v>2950</v>
      </c>
      <c r="M18" s="577">
        <f>výdavky!K133</f>
        <v>2950</v>
      </c>
      <c r="N18" s="585">
        <f>výdavky!L133</f>
        <v>2950</v>
      </c>
    </row>
    <row r="19" spans="1:14" x14ac:dyDescent="0.2">
      <c r="A19" s="1379">
        <f>A18+1</f>
        <v>13</v>
      </c>
      <c r="B19" s="1206"/>
      <c r="C19" s="215" t="s">
        <v>200</v>
      </c>
      <c r="D19" s="214" t="s">
        <v>236</v>
      </c>
      <c r="E19" s="299" t="s">
        <v>264</v>
      </c>
      <c r="F19" s="1403"/>
      <c r="G19" s="174">
        <f t="shared" si="3"/>
        <v>199.2</v>
      </c>
      <c r="H19" s="586">
        <f>výdavky!F142</f>
        <v>6650</v>
      </c>
      <c r="I19" s="309">
        <f>výdavky!G142</f>
        <v>7200</v>
      </c>
      <c r="J19" s="175">
        <f>výdavky!H142</f>
        <v>5300</v>
      </c>
      <c r="K19" s="175">
        <f>výdavky!I142</f>
        <v>8060</v>
      </c>
      <c r="L19" s="279">
        <f>výdavky!J142</f>
        <v>6300</v>
      </c>
      <c r="M19" s="415">
        <f>výdavky!K142</f>
        <v>6000</v>
      </c>
      <c r="N19" s="586">
        <f>výdavky!L142</f>
        <v>6500</v>
      </c>
    </row>
    <row r="20" spans="1:14" x14ac:dyDescent="0.2">
      <c r="A20" s="1379">
        <f>A19+1</f>
        <v>14</v>
      </c>
      <c r="B20" s="1206"/>
      <c r="C20" s="215" t="s">
        <v>202</v>
      </c>
      <c r="D20" s="209" t="s">
        <v>238</v>
      </c>
      <c r="E20" s="297" t="s">
        <v>265</v>
      </c>
      <c r="F20" s="1402"/>
      <c r="G20" s="169">
        <f t="shared" si="3"/>
        <v>3.3</v>
      </c>
      <c r="H20" s="585">
        <f>výdavky!F146</f>
        <v>1028</v>
      </c>
      <c r="I20" s="308">
        <f>výdavky!G146</f>
        <v>878</v>
      </c>
      <c r="J20" s="170">
        <f>výdavky!H146</f>
        <v>200</v>
      </c>
      <c r="K20" s="170">
        <f>výdavky!I146</f>
        <v>250</v>
      </c>
      <c r="L20" s="298">
        <f>výdavky!J146</f>
        <v>200</v>
      </c>
      <c r="M20" s="577">
        <f>výdavky!K146</f>
        <v>100</v>
      </c>
      <c r="N20" s="585">
        <f>výdavky!L146</f>
        <v>100</v>
      </c>
    </row>
    <row r="21" spans="1:14" x14ac:dyDescent="0.2">
      <c r="A21" s="1379">
        <f>A20+1</f>
        <v>15</v>
      </c>
      <c r="B21" s="1206"/>
      <c r="C21" s="215" t="s">
        <v>206</v>
      </c>
      <c r="D21" s="214" t="s">
        <v>266</v>
      </c>
      <c r="E21" s="299" t="s">
        <v>267</v>
      </c>
      <c r="F21" s="1403"/>
      <c r="G21" s="174">
        <f t="shared" si="3"/>
        <v>10</v>
      </c>
      <c r="H21" s="586">
        <f>výdavky!F147</f>
        <v>300</v>
      </c>
      <c r="I21" s="309">
        <f>výdavky!G147</f>
        <v>930</v>
      </c>
      <c r="J21" s="175">
        <f>výdavky!H147</f>
        <v>300</v>
      </c>
      <c r="K21" s="175">
        <f>výdavky!I147</f>
        <v>1440</v>
      </c>
      <c r="L21" s="279">
        <f>výdavky!J147</f>
        <v>300</v>
      </c>
      <c r="M21" s="415">
        <f>výdavky!K147</f>
        <v>300</v>
      </c>
      <c r="N21" s="586">
        <f>výdavky!L147</f>
        <v>300</v>
      </c>
    </row>
    <row r="22" spans="1:14" x14ac:dyDescent="0.2">
      <c r="A22" s="1379">
        <v>16</v>
      </c>
      <c r="B22" s="1206"/>
      <c r="C22" s="215" t="s">
        <v>214</v>
      </c>
      <c r="D22" s="214" t="s">
        <v>268</v>
      </c>
      <c r="E22" s="299" t="s">
        <v>269</v>
      </c>
      <c r="F22" s="1403"/>
      <c r="G22" s="174">
        <f t="shared" si="3"/>
        <v>3.3</v>
      </c>
      <c r="H22" s="586">
        <f>výdavky!F148</f>
        <v>66</v>
      </c>
      <c r="I22" s="309">
        <f>výdavky!G148</f>
        <v>66</v>
      </c>
      <c r="J22" s="175">
        <f>výdavky!H148</f>
        <v>66</v>
      </c>
      <c r="K22" s="175">
        <f>výdavky!I148</f>
        <v>66</v>
      </c>
      <c r="L22" s="279">
        <f>výdavky!J148</f>
        <v>100</v>
      </c>
      <c r="M22" s="415">
        <f>výdavky!K148</f>
        <v>100</v>
      </c>
      <c r="N22" s="586">
        <f>výdavky!L148</f>
        <v>100</v>
      </c>
    </row>
    <row r="23" spans="1:14" x14ac:dyDescent="0.2">
      <c r="A23" s="1379">
        <v>17</v>
      </c>
      <c r="B23" s="1206"/>
      <c r="C23" s="215" t="s">
        <v>206</v>
      </c>
      <c r="D23" s="214" t="s">
        <v>270</v>
      </c>
      <c r="E23" s="299" t="s">
        <v>271</v>
      </c>
      <c r="F23" s="1403"/>
      <c r="G23" s="174"/>
      <c r="H23" s="586">
        <f>výdavky!F149</f>
        <v>0</v>
      </c>
      <c r="I23" s="309">
        <f>SUM(výdavky!G149)</f>
        <v>0</v>
      </c>
      <c r="J23" s="175">
        <f>výdavky!H149</f>
        <v>0</v>
      </c>
      <c r="K23" s="175">
        <f>výdavky!I149</f>
        <v>555</v>
      </c>
      <c r="L23" s="279">
        <f>výdavky!J149</f>
        <v>0</v>
      </c>
      <c r="M23" s="415">
        <f>výdavky!K149</f>
        <v>0</v>
      </c>
      <c r="N23" s="586">
        <f>výdavky!L149</f>
        <v>0</v>
      </c>
    </row>
    <row r="24" spans="1:14" x14ac:dyDescent="0.2">
      <c r="A24" s="1379">
        <v>18</v>
      </c>
      <c r="B24" s="1206"/>
      <c r="C24" s="165"/>
      <c r="D24" s="738" t="s">
        <v>184</v>
      </c>
      <c r="E24" s="739"/>
      <c r="F24" s="1404"/>
      <c r="G24" s="740"/>
      <c r="H24" s="799">
        <f t="shared" ref="H24:J25" si="4">H25</f>
        <v>0</v>
      </c>
      <c r="I24" s="795">
        <f t="shared" si="4"/>
        <v>3000</v>
      </c>
      <c r="J24" s="741">
        <f t="shared" si="4"/>
        <v>3300</v>
      </c>
      <c r="K24" s="741"/>
      <c r="L24" s="742">
        <f t="shared" ref="L24:N25" si="5">L25</f>
        <v>3300</v>
      </c>
      <c r="M24" s="743">
        <f t="shared" si="5"/>
        <v>3300</v>
      </c>
      <c r="N24" s="744">
        <f t="shared" si="5"/>
        <v>3300</v>
      </c>
    </row>
    <row r="25" spans="1:14" x14ac:dyDescent="0.2">
      <c r="A25" s="1379">
        <v>19</v>
      </c>
      <c r="B25" s="1206"/>
      <c r="C25" s="296" t="s">
        <v>260</v>
      </c>
      <c r="D25" s="712" t="s">
        <v>261</v>
      </c>
      <c r="E25" s="713"/>
      <c r="F25" s="1405"/>
      <c r="G25" s="714"/>
      <c r="H25" s="800">
        <f t="shared" si="4"/>
        <v>0</v>
      </c>
      <c r="I25" s="796">
        <f t="shared" si="4"/>
        <v>3000</v>
      </c>
      <c r="J25" s="715">
        <f t="shared" si="4"/>
        <v>3300</v>
      </c>
      <c r="K25" s="715">
        <f>K26</f>
        <v>3300</v>
      </c>
      <c r="L25" s="716">
        <f t="shared" si="5"/>
        <v>3300</v>
      </c>
      <c r="M25" s="717">
        <f t="shared" si="5"/>
        <v>3300</v>
      </c>
      <c r="N25" s="1424">
        <f t="shared" si="5"/>
        <v>3300</v>
      </c>
    </row>
    <row r="26" spans="1:14" x14ac:dyDescent="0.2">
      <c r="A26" s="1379">
        <v>20</v>
      </c>
      <c r="B26" s="1206"/>
      <c r="C26" s="165"/>
      <c r="D26" s="663" t="s">
        <v>360</v>
      </c>
      <c r="E26" s="619" t="s">
        <v>675</v>
      </c>
      <c r="F26" s="1406"/>
      <c r="G26" s="1387"/>
      <c r="H26" s="590">
        <f>výdavky!F788</f>
        <v>0</v>
      </c>
      <c r="I26" s="797">
        <f>výdavky!G788</f>
        <v>3000</v>
      </c>
      <c r="J26" s="575">
        <f>výdavky!H788</f>
        <v>3300</v>
      </c>
      <c r="K26" s="575">
        <f>výdavky!I788</f>
        <v>3300</v>
      </c>
      <c r="L26" s="576">
        <f>výdavky!J788</f>
        <v>3300</v>
      </c>
      <c r="M26" s="580">
        <f>výdavky!K788</f>
        <v>3300</v>
      </c>
      <c r="N26" s="590">
        <f>výdavky!L788</f>
        <v>3300</v>
      </c>
    </row>
    <row r="27" spans="1:14" s="1357" customFormat="1" x14ac:dyDescent="0.2">
      <c r="A27" s="1379">
        <v>21</v>
      </c>
      <c r="B27" s="1206"/>
      <c r="C27" s="165"/>
      <c r="D27" s="2022" t="s">
        <v>183</v>
      </c>
      <c r="E27" s="2023"/>
      <c r="F27" s="2024"/>
      <c r="G27" s="1421"/>
      <c r="H27" s="1425">
        <f t="shared" ref="H27:N28" si="6">H28</f>
        <v>7900</v>
      </c>
      <c r="I27" s="1361">
        <f t="shared" si="6"/>
        <v>0</v>
      </c>
      <c r="J27" s="1361">
        <f t="shared" si="6"/>
        <v>0</v>
      </c>
      <c r="K27" s="1361">
        <f t="shared" si="6"/>
        <v>0</v>
      </c>
      <c r="L27" s="1361">
        <f t="shared" si="6"/>
        <v>0</v>
      </c>
      <c r="M27" s="1361">
        <f t="shared" si="6"/>
        <v>0</v>
      </c>
      <c r="N27" s="1426">
        <f t="shared" si="6"/>
        <v>0</v>
      </c>
    </row>
    <row r="28" spans="1:14" s="1357" customFormat="1" x14ac:dyDescent="0.2">
      <c r="A28" s="1379">
        <v>22</v>
      </c>
      <c r="B28" s="1206"/>
      <c r="C28" s="296" t="s">
        <v>260</v>
      </c>
      <c r="D28" s="712" t="s">
        <v>261</v>
      </c>
      <c r="E28" s="713"/>
      <c r="F28" s="1405"/>
      <c r="G28" s="1387"/>
      <c r="H28" s="1427">
        <f t="shared" si="6"/>
        <v>7900</v>
      </c>
      <c r="I28" s="1363">
        <f t="shared" si="6"/>
        <v>0</v>
      </c>
      <c r="J28" s="1363">
        <f t="shared" si="6"/>
        <v>0</v>
      </c>
      <c r="K28" s="1363">
        <f t="shared" si="6"/>
        <v>0</v>
      </c>
      <c r="L28" s="1363">
        <f t="shared" si="6"/>
        <v>0</v>
      </c>
      <c r="M28" s="1363">
        <f t="shared" si="6"/>
        <v>0</v>
      </c>
      <c r="N28" s="1428">
        <f t="shared" si="6"/>
        <v>0</v>
      </c>
    </row>
    <row r="29" spans="1:14" s="1357" customFormat="1" x14ac:dyDescent="0.2">
      <c r="A29" s="1379">
        <v>23</v>
      </c>
      <c r="B29" s="1206"/>
      <c r="C29" s="165"/>
      <c r="D29" s="663" t="s">
        <v>366</v>
      </c>
      <c r="E29" s="2025" t="s">
        <v>942</v>
      </c>
      <c r="F29" s="2026"/>
      <c r="G29" s="1387"/>
      <c r="H29" s="662">
        <f>výdavky!F685</f>
        <v>7900</v>
      </c>
      <c r="I29" s="1362">
        <f>výdavky!G685</f>
        <v>0</v>
      </c>
      <c r="J29" s="1362">
        <f>výdavky!H685</f>
        <v>0</v>
      </c>
      <c r="K29" s="1362">
        <f>výdavky!I685</f>
        <v>0</v>
      </c>
      <c r="L29" s="1362"/>
      <c r="M29" s="1362"/>
      <c r="N29" s="1429"/>
    </row>
    <row r="30" spans="1:14" x14ac:dyDescent="0.2">
      <c r="A30" s="1379">
        <v>24</v>
      </c>
      <c r="B30" s="1407">
        <v>2</v>
      </c>
      <c r="C30" s="2021" t="s">
        <v>272</v>
      </c>
      <c r="D30" s="2021"/>
      <c r="E30" s="2021"/>
      <c r="F30" s="1408"/>
      <c r="G30" s="1388"/>
      <c r="H30" s="801">
        <f>H31</f>
        <v>2404</v>
      </c>
      <c r="I30" s="798">
        <f>SUM(I31)</f>
        <v>0</v>
      </c>
      <c r="J30" s="300">
        <f>J31</f>
        <v>0</v>
      </c>
      <c r="K30" s="300">
        <f>SUM(K31)</f>
        <v>0</v>
      </c>
      <c r="L30" s="301">
        <f>SUM(L31)</f>
        <v>0</v>
      </c>
      <c r="M30" s="418">
        <f>SUM(M31)</f>
        <v>0</v>
      </c>
      <c r="N30" s="587">
        <f>SUM(N31)</f>
        <v>0</v>
      </c>
    </row>
    <row r="31" spans="1:14" x14ac:dyDescent="0.2">
      <c r="A31" s="1379">
        <v>25</v>
      </c>
      <c r="B31" s="1409"/>
      <c r="C31" s="302"/>
      <c r="D31" s="604" t="s">
        <v>183</v>
      </c>
      <c r="E31" s="625"/>
      <c r="F31" s="1410"/>
      <c r="G31" s="624" t="e">
        <f>'Program 3'!#REF!</f>
        <v>#REF!</v>
      </c>
      <c r="H31" s="615">
        <f>H32</f>
        <v>2404</v>
      </c>
      <c r="I31" s="613">
        <f t="shared" ref="I31:N31" si="7">I32</f>
        <v>0</v>
      </c>
      <c r="J31" s="612">
        <f>J32</f>
        <v>0</v>
      </c>
      <c r="K31" s="612">
        <f t="shared" si="7"/>
        <v>0</v>
      </c>
      <c r="L31" s="612">
        <f t="shared" si="7"/>
        <v>0</v>
      </c>
      <c r="M31" s="617">
        <f t="shared" si="7"/>
        <v>0</v>
      </c>
      <c r="N31" s="615">
        <f t="shared" si="7"/>
        <v>0</v>
      </c>
    </row>
    <row r="32" spans="1:14" x14ac:dyDescent="0.2">
      <c r="A32" s="1379">
        <f>A31+1</f>
        <v>26</v>
      </c>
      <c r="B32" s="1206"/>
      <c r="C32" s="296" t="s">
        <v>260</v>
      </c>
      <c r="D32" s="192" t="s">
        <v>261</v>
      </c>
      <c r="E32" s="160"/>
      <c r="F32" s="1401"/>
      <c r="G32" s="620">
        <f>SUM(G33:G33)</f>
        <v>0</v>
      </c>
      <c r="H32" s="588">
        <f>H33</f>
        <v>2404</v>
      </c>
      <c r="I32" s="679">
        <f>I33</f>
        <v>0</v>
      </c>
      <c r="J32" s="208">
        <f>J33</f>
        <v>0</v>
      </c>
      <c r="K32" s="208">
        <f>K33</f>
        <v>0</v>
      </c>
      <c r="L32" s="208">
        <f>L33</f>
        <v>0</v>
      </c>
      <c r="M32" s="578">
        <f>M33</f>
        <v>0</v>
      </c>
      <c r="N32" s="588">
        <f>N33</f>
        <v>0</v>
      </c>
    </row>
    <row r="33" spans="1:14" x14ac:dyDescent="0.2">
      <c r="A33" s="1379">
        <f>A32+1</f>
        <v>27</v>
      </c>
      <c r="B33" s="1206"/>
      <c r="C33" s="215" t="s">
        <v>273</v>
      </c>
      <c r="D33" s="214" t="s">
        <v>215</v>
      </c>
      <c r="E33" s="299" t="s">
        <v>944</v>
      </c>
      <c r="F33" s="1403"/>
      <c r="G33" s="174">
        <f>ROUND(M33/30.126,1)</f>
        <v>0</v>
      </c>
      <c r="H33" s="586">
        <f>výdavky!F683</f>
        <v>2404</v>
      </c>
      <c r="I33" s="309">
        <f>výdavky!G683</f>
        <v>0</v>
      </c>
      <c r="J33" s="175">
        <f>výdavky!H682</f>
        <v>0</v>
      </c>
      <c r="K33" s="175">
        <f>výdavky!I682+výdavky!I683</f>
        <v>0</v>
      </c>
      <c r="L33" s="279">
        <f>výdavky!J681</f>
        <v>0</v>
      </c>
      <c r="M33" s="415">
        <f>výdavky!K681</f>
        <v>0</v>
      </c>
      <c r="N33" s="586">
        <f>výdavky!L681</f>
        <v>0</v>
      </c>
    </row>
    <row r="34" spans="1:14" x14ac:dyDescent="0.2">
      <c r="A34" s="1379">
        <v>28</v>
      </c>
      <c r="B34" s="1397">
        <v>3</v>
      </c>
      <c r="C34" s="233" t="s">
        <v>274</v>
      </c>
      <c r="D34" s="138"/>
      <c r="E34" s="138"/>
      <c r="F34" s="1398"/>
      <c r="G34" s="621">
        <f>SUM(G36)</f>
        <v>423.3</v>
      </c>
      <c r="H34" s="582">
        <f>H35+H43</f>
        <v>30745</v>
      </c>
      <c r="I34" s="310">
        <f>I35+I43</f>
        <v>14522</v>
      </c>
      <c r="J34" s="142">
        <f>J35</f>
        <v>8650</v>
      </c>
      <c r="K34" s="142">
        <f>K35+K43</f>
        <v>15396</v>
      </c>
      <c r="L34" s="142">
        <f t="shared" ref="I34:N35" si="8">L35</f>
        <v>13200</v>
      </c>
      <c r="M34" s="408">
        <f t="shared" si="8"/>
        <v>13350</v>
      </c>
      <c r="N34" s="582">
        <f t="shared" si="8"/>
        <v>13350</v>
      </c>
    </row>
    <row r="35" spans="1:14" s="190" customFormat="1" x14ac:dyDescent="0.2">
      <c r="A35" s="1379">
        <f t="shared" ref="A35:A40" si="9">A34+1</f>
        <v>29</v>
      </c>
      <c r="B35" s="1399"/>
      <c r="C35" s="224"/>
      <c r="D35" s="133" t="s">
        <v>181</v>
      </c>
      <c r="E35" s="153"/>
      <c r="F35" s="1400"/>
      <c r="G35" s="623">
        <f>G36</f>
        <v>423.3</v>
      </c>
      <c r="H35" s="583">
        <f>H36</f>
        <v>14850</v>
      </c>
      <c r="I35" s="307">
        <f t="shared" si="8"/>
        <v>14522</v>
      </c>
      <c r="J35" s="156">
        <f>J36</f>
        <v>8650</v>
      </c>
      <c r="K35" s="156">
        <f t="shared" si="8"/>
        <v>15396</v>
      </c>
      <c r="L35" s="156">
        <f t="shared" si="8"/>
        <v>13200</v>
      </c>
      <c r="M35" s="410">
        <f t="shared" si="8"/>
        <v>13350</v>
      </c>
      <c r="N35" s="583">
        <f t="shared" si="8"/>
        <v>13350</v>
      </c>
    </row>
    <row r="36" spans="1:14" x14ac:dyDescent="0.2">
      <c r="A36" s="1379">
        <f t="shared" si="9"/>
        <v>30</v>
      </c>
      <c r="B36" s="1206"/>
      <c r="C36" s="296" t="s">
        <v>275</v>
      </c>
      <c r="D36" s="192" t="s">
        <v>276</v>
      </c>
      <c r="E36" s="276"/>
      <c r="F36" s="1411"/>
      <c r="G36" s="1386">
        <f t="shared" ref="G36:N36" si="10">SUM(G37:G42)</f>
        <v>423.3</v>
      </c>
      <c r="H36" s="584">
        <f>SUM(H37:H42)</f>
        <v>14850</v>
      </c>
      <c r="I36" s="340">
        <f t="shared" si="10"/>
        <v>14522</v>
      </c>
      <c r="J36" s="163">
        <f>SUM(J37:J42)</f>
        <v>8650</v>
      </c>
      <c r="K36" s="163">
        <f t="shared" si="10"/>
        <v>15396</v>
      </c>
      <c r="L36" s="163">
        <f t="shared" si="10"/>
        <v>13200</v>
      </c>
      <c r="M36" s="278">
        <f t="shared" si="10"/>
        <v>13350</v>
      </c>
      <c r="N36" s="584">
        <f t="shared" si="10"/>
        <v>13350</v>
      </c>
    </row>
    <row r="37" spans="1:14" x14ac:dyDescent="0.2">
      <c r="A37" s="1379">
        <f t="shared" si="9"/>
        <v>31</v>
      </c>
      <c r="B37" s="1200"/>
      <c r="C37" s="215" t="s">
        <v>196</v>
      </c>
      <c r="D37" s="303">
        <v>1</v>
      </c>
      <c r="E37" s="176" t="s">
        <v>277</v>
      </c>
      <c r="F37" s="1403"/>
      <c r="G37" s="174">
        <f>ROUND(M37/30.126,1)</f>
        <v>182.6</v>
      </c>
      <c r="H37" s="586">
        <f>výdavky!F152</f>
        <v>2300</v>
      </c>
      <c r="I37" s="309">
        <f>výdavky!G152</f>
        <v>5156</v>
      </c>
      <c r="J37" s="175">
        <f>výdavky!H152</f>
        <v>3000</v>
      </c>
      <c r="K37" s="175">
        <f>výdavky!I152</f>
        <v>5660</v>
      </c>
      <c r="L37" s="279">
        <f>výdavky!J152</f>
        <v>5500</v>
      </c>
      <c r="M37" s="415">
        <f>výdavky!K152</f>
        <v>5500</v>
      </c>
      <c r="N37" s="586">
        <f>výdavky!L152</f>
        <v>5500</v>
      </c>
    </row>
    <row r="38" spans="1:14" x14ac:dyDescent="0.2">
      <c r="A38" s="1379">
        <f t="shared" si="9"/>
        <v>32</v>
      </c>
      <c r="B38" s="1200"/>
      <c r="C38" s="215" t="s">
        <v>198</v>
      </c>
      <c r="D38" s="304">
        <v>2</v>
      </c>
      <c r="E38" s="167" t="s">
        <v>199</v>
      </c>
      <c r="F38" s="1402"/>
      <c r="G38" s="169">
        <f>ROUND(M38/30.126,1)</f>
        <v>146.1</v>
      </c>
      <c r="H38" s="585">
        <f>výdavky!F153</f>
        <v>9900</v>
      </c>
      <c r="I38" s="308">
        <f>výdavky!G153</f>
        <v>5000</v>
      </c>
      <c r="J38" s="170">
        <f>výdavky!H153</f>
        <v>3000</v>
      </c>
      <c r="K38" s="170">
        <f>výdavky!I153</f>
        <v>5216</v>
      </c>
      <c r="L38" s="298">
        <f>výdavky!J153</f>
        <v>4400</v>
      </c>
      <c r="M38" s="577">
        <f>výdavky!K153</f>
        <v>4400</v>
      </c>
      <c r="N38" s="585">
        <f>výdavky!L153</f>
        <v>4400</v>
      </c>
    </row>
    <row r="39" spans="1:14" x14ac:dyDescent="0.2">
      <c r="A39" s="1379">
        <f t="shared" si="9"/>
        <v>33</v>
      </c>
      <c r="B39" s="1200"/>
      <c r="C39" s="215" t="s">
        <v>200</v>
      </c>
      <c r="D39" s="303">
        <v>3</v>
      </c>
      <c r="E39" s="176" t="s">
        <v>264</v>
      </c>
      <c r="F39" s="1403"/>
      <c r="G39" s="174">
        <f>ROUND(M39/30.126,1)</f>
        <v>78</v>
      </c>
      <c r="H39" s="586">
        <f>výdavky!F160</f>
        <v>1550</v>
      </c>
      <c r="I39" s="309">
        <f>výdavky!G160</f>
        <v>2560</v>
      </c>
      <c r="J39" s="175">
        <f>výdavky!H160</f>
        <v>1550</v>
      </c>
      <c r="K39" s="175">
        <f>výdavky!I160</f>
        <v>1935</v>
      </c>
      <c r="L39" s="279">
        <f>výdavky!J160</f>
        <v>2000</v>
      </c>
      <c r="M39" s="415">
        <f>výdavky!K160</f>
        <v>2350</v>
      </c>
      <c r="N39" s="586">
        <f>výdavky!L160</f>
        <v>2350</v>
      </c>
    </row>
    <row r="40" spans="1:14" x14ac:dyDescent="0.2">
      <c r="A40" s="1379">
        <f t="shared" si="9"/>
        <v>34</v>
      </c>
      <c r="B40" s="1200"/>
      <c r="C40" s="215" t="s">
        <v>202</v>
      </c>
      <c r="D40" s="569">
        <v>4</v>
      </c>
      <c r="E40" s="570" t="s">
        <v>278</v>
      </c>
      <c r="F40" s="1412"/>
      <c r="G40" s="180">
        <f>ROUND(M40/30.126,1)</f>
        <v>16.600000000000001</v>
      </c>
      <c r="H40" s="589">
        <f>výdavky!F165</f>
        <v>500</v>
      </c>
      <c r="I40" s="350">
        <f>výdavky!G165</f>
        <v>500</v>
      </c>
      <c r="J40" s="181">
        <f>výdavky!H165</f>
        <v>500</v>
      </c>
      <c r="K40" s="181">
        <f>výdavky!I165</f>
        <v>500</v>
      </c>
      <c r="L40" s="572">
        <f>výdavky!J165</f>
        <v>500</v>
      </c>
      <c r="M40" s="579">
        <f>výdavky!K165</f>
        <v>500</v>
      </c>
      <c r="N40" s="589">
        <f>výdavky!L165</f>
        <v>500</v>
      </c>
    </row>
    <row r="41" spans="1:14" x14ac:dyDescent="0.2">
      <c r="A41" s="1379">
        <v>35</v>
      </c>
      <c r="B41" s="1200"/>
      <c r="C41" s="165" t="s">
        <v>206</v>
      </c>
      <c r="D41" s="573">
        <v>5</v>
      </c>
      <c r="E41" s="574" t="s">
        <v>279</v>
      </c>
      <c r="F41" s="1413"/>
      <c r="G41" s="1387"/>
      <c r="H41" s="590">
        <f>výdavky!F167</f>
        <v>600</v>
      </c>
      <c r="I41" s="797">
        <f>SUM(výdavky!G167)</f>
        <v>600</v>
      </c>
      <c r="J41" s="575">
        <f>výdavky!H167</f>
        <v>600</v>
      </c>
      <c r="K41" s="575">
        <f>SUM(výdavky!I167)</f>
        <v>1570</v>
      </c>
      <c r="L41" s="576">
        <f>výdavky!J167</f>
        <v>800</v>
      </c>
      <c r="M41" s="580">
        <f>výdavky!K167</f>
        <v>600</v>
      </c>
      <c r="N41" s="590">
        <f>výdavky!L167</f>
        <v>600</v>
      </c>
    </row>
    <row r="42" spans="1:14" x14ac:dyDescent="0.2">
      <c r="A42" s="1380">
        <v>36</v>
      </c>
      <c r="B42" s="1414"/>
      <c r="C42" s="1364" t="s">
        <v>214</v>
      </c>
      <c r="D42" s="1365">
        <v>6</v>
      </c>
      <c r="E42" s="1366" t="s">
        <v>628</v>
      </c>
      <c r="F42" s="1415"/>
      <c r="G42" s="1389">
        <f>ROUND(M42/30.126,1)</f>
        <v>0</v>
      </c>
      <c r="H42" s="1367">
        <f>výdavky!F168</f>
        <v>0</v>
      </c>
      <c r="I42" s="1368">
        <f>výdavky!G168</f>
        <v>706</v>
      </c>
      <c r="J42" s="1369">
        <f>výdavky!H168</f>
        <v>0</v>
      </c>
      <c r="K42" s="1369">
        <f>výdavky!I168</f>
        <v>515</v>
      </c>
      <c r="L42" s="1370">
        <f>výdavky!J168</f>
        <v>0</v>
      </c>
      <c r="M42" s="1371">
        <f>výdavky!K168</f>
        <v>0</v>
      </c>
      <c r="N42" s="1367">
        <f>výdavky!L168</f>
        <v>0</v>
      </c>
    </row>
    <row r="43" spans="1:14" x14ac:dyDescent="0.2">
      <c r="A43" s="1379"/>
      <c r="B43" s="1210"/>
      <c r="C43" s="1376"/>
      <c r="D43" s="604" t="s">
        <v>183</v>
      </c>
      <c r="E43" s="625"/>
      <c r="F43" s="1410"/>
      <c r="H43" s="1750">
        <f t="shared" ref="H43:N44" si="11">H44</f>
        <v>15895</v>
      </c>
      <c r="I43" s="1434">
        <f t="shared" si="11"/>
        <v>0</v>
      </c>
      <c r="J43" s="1434">
        <f t="shared" si="11"/>
        <v>0</v>
      </c>
      <c r="K43" s="1434">
        <f t="shared" si="11"/>
        <v>0</v>
      </c>
      <c r="L43" s="1431">
        <f t="shared" si="11"/>
        <v>0</v>
      </c>
      <c r="M43" s="1431">
        <f t="shared" si="11"/>
        <v>0</v>
      </c>
      <c r="N43" s="1432">
        <f t="shared" si="11"/>
        <v>0</v>
      </c>
    </row>
    <row r="44" spans="1:14" x14ac:dyDescent="0.2">
      <c r="A44" s="1379"/>
      <c r="B44" s="1210"/>
      <c r="C44" s="1377" t="s">
        <v>275</v>
      </c>
      <c r="D44" s="1373" t="s">
        <v>276</v>
      </c>
      <c r="E44" s="1374"/>
      <c r="F44" s="1416"/>
      <c r="G44" s="1358"/>
      <c r="H44" s="1751">
        <f t="shared" si="11"/>
        <v>15895</v>
      </c>
      <c r="I44" s="1435">
        <f t="shared" si="11"/>
        <v>0</v>
      </c>
      <c r="J44" s="1435">
        <f t="shared" si="11"/>
        <v>0</v>
      </c>
      <c r="K44" s="1435">
        <f t="shared" si="11"/>
        <v>0</v>
      </c>
      <c r="L44" s="1372">
        <f t="shared" si="11"/>
        <v>0</v>
      </c>
      <c r="M44" s="1372">
        <f t="shared" si="11"/>
        <v>0</v>
      </c>
      <c r="N44" s="1430">
        <f t="shared" si="11"/>
        <v>0</v>
      </c>
    </row>
    <row r="45" spans="1:14" ht="13.5" thickBot="1" x14ac:dyDescent="0.25">
      <c r="A45" s="1381"/>
      <c r="B45" s="1211"/>
      <c r="C45" s="1417">
        <v>713</v>
      </c>
      <c r="D45" s="1418">
        <v>7</v>
      </c>
      <c r="E45" s="1419" t="s">
        <v>943</v>
      </c>
      <c r="F45" s="1420"/>
      <c r="G45" s="1358"/>
      <c r="H45" s="1433">
        <f>výdavky!F688</f>
        <v>15895</v>
      </c>
      <c r="I45" s="1214">
        <f>výdavky!G688</f>
        <v>0</v>
      </c>
      <c r="J45" s="1214">
        <f>výdavky!H688</f>
        <v>0</v>
      </c>
      <c r="K45" s="1214">
        <f>výdavky!I688</f>
        <v>0</v>
      </c>
      <c r="L45" s="1418">
        <f>výdavky!J688</f>
        <v>0</v>
      </c>
      <c r="M45" s="1214">
        <f>výdavky!K688</f>
        <v>0</v>
      </c>
      <c r="N45" s="1215">
        <f>výdavky!L688</f>
        <v>0</v>
      </c>
    </row>
  </sheetData>
  <mergeCells count="5">
    <mergeCell ref="G3:N3"/>
    <mergeCell ref="D4:F6"/>
    <mergeCell ref="C30:E30"/>
    <mergeCell ref="D27:F27"/>
    <mergeCell ref="E29:F29"/>
  </mergeCells>
  <phoneticPr fontId="44" type="noConversion"/>
  <pageMargins left="0.25" right="0.25" top="0.75" bottom="0.75" header="0.3" footer="0.3"/>
  <pageSetup scale="86" firstPageNumber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8"/>
  <sheetViews>
    <sheetView workbookViewId="0">
      <selection activeCell="J49" sqref="J49"/>
    </sheetView>
  </sheetViews>
  <sheetFormatPr defaultRowHeight="12.75" x14ac:dyDescent="0.2"/>
  <cols>
    <col min="1" max="1" width="2.85546875" style="95" customWidth="1"/>
    <col min="2" max="2" width="4.140625" style="1" customWidth="1"/>
    <col min="3" max="3" width="8" customWidth="1"/>
    <col min="4" max="4" width="3.42578125" customWidth="1"/>
    <col min="5" max="5" width="31.5703125" customWidth="1"/>
    <col min="6" max="6" width="8.85546875" customWidth="1"/>
    <col min="7" max="7" width="0" hidden="1" customWidth="1"/>
    <col min="12" max="14" width="8.42578125" customWidth="1"/>
  </cols>
  <sheetData>
    <row r="1" spans="1:14" ht="15.75" x14ac:dyDescent="0.25">
      <c r="A1" s="99" t="s">
        <v>280</v>
      </c>
      <c r="D1" s="99" t="s">
        <v>281</v>
      </c>
      <c r="E1" s="97"/>
      <c r="F1" s="97"/>
      <c r="G1" s="252" t="e">
        <f>G2-G7</f>
        <v>#REF!</v>
      </c>
      <c r="H1" s="252"/>
      <c r="I1" s="252"/>
      <c r="J1" s="252"/>
      <c r="K1" s="252"/>
      <c r="L1" s="253">
        <f>L2-L7</f>
        <v>0</v>
      </c>
      <c r="M1" s="253">
        <f>M2-M7</f>
        <v>0</v>
      </c>
      <c r="N1" s="253">
        <f>N2-N7</f>
        <v>0</v>
      </c>
    </row>
    <row r="2" spans="1:14" ht="15.75" x14ac:dyDescent="0.25">
      <c r="B2" s="99"/>
      <c r="G2" s="254" t="e">
        <f>SUM(G8:G10)</f>
        <v>#REF!</v>
      </c>
      <c r="H2" s="254"/>
      <c r="I2" s="254"/>
      <c r="J2" s="254"/>
      <c r="K2" s="254"/>
      <c r="L2" s="107">
        <f>SUM(L8:L10)</f>
        <v>162550</v>
      </c>
      <c r="M2" s="107">
        <f>SUM(M8:M10)</f>
        <v>168000</v>
      </c>
      <c r="N2" s="107">
        <f>SUM(N8:N10)</f>
        <v>168000</v>
      </c>
    </row>
    <row r="3" spans="1:14" ht="15.75" x14ac:dyDescent="0.25">
      <c r="A3" s="108"/>
      <c r="B3" s="109"/>
      <c r="C3" s="110"/>
      <c r="D3" s="110"/>
      <c r="E3" s="111"/>
      <c r="F3" s="112"/>
      <c r="G3" s="2017" t="s">
        <v>168</v>
      </c>
      <c r="H3" s="2017"/>
      <c r="I3" s="2017"/>
      <c r="J3" s="2017"/>
      <c r="K3" s="2017"/>
      <c r="L3" s="2017"/>
      <c r="M3" s="2017"/>
      <c r="N3" s="2017"/>
    </row>
    <row r="4" spans="1:14" ht="15.75" customHeight="1" x14ac:dyDescent="0.2">
      <c r="A4" s="113"/>
      <c r="B4" s="114" t="s">
        <v>169</v>
      </c>
      <c r="C4" s="115" t="s">
        <v>170</v>
      </c>
      <c r="D4" s="2020" t="s">
        <v>171</v>
      </c>
      <c r="E4" s="2020"/>
      <c r="F4" s="2020"/>
      <c r="G4" s="116"/>
      <c r="H4" s="672">
        <v>2021</v>
      </c>
      <c r="I4" s="117">
        <v>2022</v>
      </c>
      <c r="J4" s="117" t="s">
        <v>998</v>
      </c>
      <c r="K4" s="117" t="s">
        <v>999</v>
      </c>
      <c r="L4" s="117">
        <v>2024</v>
      </c>
      <c r="M4" s="117">
        <v>2025</v>
      </c>
      <c r="N4" s="117">
        <v>2026</v>
      </c>
    </row>
    <row r="5" spans="1:14" ht="12" customHeight="1" x14ac:dyDescent="0.2">
      <c r="A5" s="113"/>
      <c r="B5" s="114" t="s">
        <v>172</v>
      </c>
      <c r="C5" s="115" t="s">
        <v>173</v>
      </c>
      <c r="D5" s="2020"/>
      <c r="E5" s="2020"/>
      <c r="F5" s="2020"/>
      <c r="G5" s="118" t="s">
        <v>174</v>
      </c>
      <c r="H5" s="255" t="s">
        <v>175</v>
      </c>
      <c r="I5" s="119" t="s">
        <v>176</v>
      </c>
      <c r="J5" s="119" t="s">
        <v>175</v>
      </c>
      <c r="K5" s="119" t="s">
        <v>176</v>
      </c>
      <c r="L5" s="120" t="s">
        <v>175</v>
      </c>
      <c r="M5" s="119" t="s">
        <v>176</v>
      </c>
      <c r="N5" s="119" t="s">
        <v>176</v>
      </c>
    </row>
    <row r="6" spans="1:14" x14ac:dyDescent="0.2">
      <c r="A6" s="256"/>
      <c r="B6" s="257" t="s">
        <v>177</v>
      </c>
      <c r="C6" s="258" t="s">
        <v>178</v>
      </c>
      <c r="D6" s="2020"/>
      <c r="E6" s="2020"/>
      <c r="F6" s="2020"/>
      <c r="G6" s="259">
        <v>1</v>
      </c>
      <c r="H6" s="121">
        <v>-3</v>
      </c>
      <c r="I6" s="260">
        <v>-2</v>
      </c>
      <c r="J6" s="260">
        <v>-1</v>
      </c>
      <c r="K6" s="260">
        <v>-1</v>
      </c>
      <c r="L6" s="305">
        <v>0</v>
      </c>
      <c r="M6" s="260">
        <v>1</v>
      </c>
      <c r="N6" s="260">
        <v>2</v>
      </c>
    </row>
    <row r="7" spans="1:14" ht="15" x14ac:dyDescent="0.25">
      <c r="A7" s="124">
        <v>1</v>
      </c>
      <c r="B7" s="125" t="s">
        <v>282</v>
      </c>
      <c r="C7" s="126"/>
      <c r="D7" s="293"/>
      <c r="E7" s="127" t="s">
        <v>281</v>
      </c>
      <c r="F7" s="294"/>
      <c r="G7" s="306" t="e">
        <f>G11+G20</f>
        <v>#REF!</v>
      </c>
      <c r="H7" s="1171">
        <f>H8+H9+H10</f>
        <v>166467</v>
      </c>
      <c r="I7" s="1172">
        <f>SUM(I8:I10)</f>
        <v>160759</v>
      </c>
      <c r="J7" s="1158">
        <f>J8+J9+J10</f>
        <v>158310</v>
      </c>
      <c r="K7" s="1158">
        <f>SUM(K8:K10)</f>
        <v>171582</v>
      </c>
      <c r="L7" s="1158">
        <f>SUM(L8:L10)</f>
        <v>162550</v>
      </c>
      <c r="M7" s="1158">
        <f>SUM(M8:M10)</f>
        <v>168000</v>
      </c>
      <c r="N7" s="1158">
        <f>SUM(N8:N10)</f>
        <v>168000</v>
      </c>
    </row>
    <row r="8" spans="1:14" x14ac:dyDescent="0.2">
      <c r="A8" s="131">
        <f t="shared" ref="A8:A13" si="0">A7+1</f>
        <v>2</v>
      </c>
      <c r="B8" s="132" t="s">
        <v>180</v>
      </c>
      <c r="C8" s="626" t="s">
        <v>181</v>
      </c>
      <c r="D8" s="627"/>
      <c r="E8" s="628"/>
      <c r="F8" s="629"/>
      <c r="G8" s="630" t="e">
        <f>G12+#REF!</f>
        <v>#REF!</v>
      </c>
      <c r="H8" s="711">
        <f>H12+H25+H30+H35</f>
        <v>166467</v>
      </c>
      <c r="I8" s="693">
        <f>SUM(I12,I25,I35,I30)</f>
        <v>160759</v>
      </c>
      <c r="J8" s="631">
        <f>J12+J25+J30+J35</f>
        <v>158310</v>
      </c>
      <c r="K8" s="631">
        <f>SUM(K12,K25,K35,K30)</f>
        <v>171582</v>
      </c>
      <c r="L8" s="631">
        <f>SUM(L12,L25,L30,L35)</f>
        <v>162550</v>
      </c>
      <c r="M8" s="631">
        <f>SUM(M12,M25,M35,M30)</f>
        <v>168000</v>
      </c>
      <c r="N8" s="631">
        <f>SUM(N12,N25,N35,N30)</f>
        <v>168000</v>
      </c>
    </row>
    <row r="9" spans="1:14" x14ac:dyDescent="0.2">
      <c r="A9" s="131">
        <f t="shared" si="0"/>
        <v>3</v>
      </c>
      <c r="B9" s="132" t="s">
        <v>182</v>
      </c>
      <c r="C9" s="701" t="s">
        <v>183</v>
      </c>
      <c r="D9" s="702"/>
      <c r="E9" s="703"/>
      <c r="F9" s="704"/>
      <c r="G9" s="705" t="e">
        <f>G21</f>
        <v>#REF!</v>
      </c>
      <c r="H9" s="718">
        <f>H21+H46</f>
        <v>0</v>
      </c>
      <c r="I9" s="706">
        <f>SUM(I21,I46)</f>
        <v>0</v>
      </c>
      <c r="J9" s="707">
        <f>J21+J46</f>
        <v>0</v>
      </c>
      <c r="K9" s="707">
        <f>SUM(K21,K46)</f>
        <v>0</v>
      </c>
      <c r="L9" s="707">
        <f>SUM(L21,L46)</f>
        <v>0</v>
      </c>
      <c r="M9" s="707">
        <f>SUM(M21,M46)</f>
        <v>0</v>
      </c>
      <c r="N9" s="707">
        <f>SUM(N21,N46)</f>
        <v>0</v>
      </c>
    </row>
    <row r="10" spans="1:14" x14ac:dyDescent="0.2">
      <c r="A10" s="131">
        <f t="shared" si="0"/>
        <v>4</v>
      </c>
      <c r="B10" s="135"/>
      <c r="C10" s="650" t="s">
        <v>184</v>
      </c>
      <c r="D10" s="651"/>
      <c r="E10" s="652"/>
      <c r="F10" s="653"/>
      <c r="G10" s="729">
        <v>0</v>
      </c>
      <c r="H10" s="731">
        <v>0</v>
      </c>
      <c r="I10" s="732">
        <v>0</v>
      </c>
      <c r="J10" s="733">
        <v>0</v>
      </c>
      <c r="K10" s="733">
        <v>0</v>
      </c>
      <c r="L10" s="732">
        <v>0</v>
      </c>
      <c r="M10" s="733">
        <v>0</v>
      </c>
      <c r="N10" s="733">
        <v>0</v>
      </c>
    </row>
    <row r="11" spans="1:14" x14ac:dyDescent="0.2">
      <c r="A11" s="131">
        <f t="shared" si="0"/>
        <v>5</v>
      </c>
      <c r="B11" s="232">
        <v>1</v>
      </c>
      <c r="C11" s="233" t="s">
        <v>283</v>
      </c>
      <c r="D11" s="138"/>
      <c r="E11" s="138"/>
      <c r="F11" s="139"/>
      <c r="G11" s="140">
        <f>G13</f>
        <v>5</v>
      </c>
      <c r="H11" s="582">
        <f>H12</f>
        <v>15050</v>
      </c>
      <c r="I11" s="310">
        <f t="shared" ref="I11:N12" si="1">I12</f>
        <v>19199</v>
      </c>
      <c r="J11" s="142">
        <f>J12</f>
        <v>19550</v>
      </c>
      <c r="K11" s="142">
        <f t="shared" si="1"/>
        <v>18800</v>
      </c>
      <c r="L11" s="142">
        <f t="shared" si="1"/>
        <v>19250</v>
      </c>
      <c r="M11" s="142">
        <f t="shared" si="1"/>
        <v>19950</v>
      </c>
      <c r="N11" s="142">
        <f t="shared" si="1"/>
        <v>19950</v>
      </c>
    </row>
    <row r="12" spans="1:14" s="190" customFormat="1" x14ac:dyDescent="0.2">
      <c r="A12" s="131">
        <f t="shared" si="0"/>
        <v>6</v>
      </c>
      <c r="B12" s="234"/>
      <c r="C12" s="224"/>
      <c r="D12" s="134" t="s">
        <v>181</v>
      </c>
      <c r="E12" s="153"/>
      <c r="F12" s="154"/>
      <c r="G12" s="155">
        <f>G13</f>
        <v>5</v>
      </c>
      <c r="H12" s="583">
        <f>H13</f>
        <v>15050</v>
      </c>
      <c r="I12" s="307">
        <f t="shared" si="1"/>
        <v>19199</v>
      </c>
      <c r="J12" s="156">
        <f>J13</f>
        <v>19550</v>
      </c>
      <c r="K12" s="156">
        <f t="shared" si="1"/>
        <v>18800</v>
      </c>
      <c r="L12" s="307">
        <f t="shared" si="1"/>
        <v>19250</v>
      </c>
      <c r="M12" s="156">
        <f t="shared" si="1"/>
        <v>19950</v>
      </c>
      <c r="N12" s="156">
        <f t="shared" si="1"/>
        <v>19950</v>
      </c>
    </row>
    <row r="13" spans="1:14" x14ac:dyDescent="0.2">
      <c r="A13" s="131">
        <f t="shared" si="0"/>
        <v>7</v>
      </c>
      <c r="B13" s="157"/>
      <c r="C13" s="235" t="s">
        <v>284</v>
      </c>
      <c r="D13" s="192" t="s">
        <v>285</v>
      </c>
      <c r="E13" s="160"/>
      <c r="F13" s="161"/>
      <c r="G13" s="194">
        <f>SUM(G17:G17)</f>
        <v>5</v>
      </c>
      <c r="H13" s="584">
        <f>SUM(H14:H19)</f>
        <v>15050</v>
      </c>
      <c r="I13" s="340">
        <f>SUM(I14,I15,I17,I18,I19)+I16</f>
        <v>19199</v>
      </c>
      <c r="J13" s="163">
        <f>SUM(J14:J19)</f>
        <v>19550</v>
      </c>
      <c r="K13" s="163">
        <f>SUM(K14,K15,K17,K18,K19)+K16</f>
        <v>18800</v>
      </c>
      <c r="L13" s="163">
        <f>SUM(L14,L15,L17,L18,L19)+L16</f>
        <v>19250</v>
      </c>
      <c r="M13" s="163">
        <f>SUM(M14,M15,M17,M18,M19)+M16</f>
        <v>19950</v>
      </c>
      <c r="N13" s="163">
        <f>SUM(N14,N15,N17,N18,N19)+N16</f>
        <v>19950</v>
      </c>
    </row>
    <row r="14" spans="1:14" x14ac:dyDescent="0.2">
      <c r="A14" s="131">
        <v>8</v>
      </c>
      <c r="B14" s="157"/>
      <c r="C14" s="165" t="s">
        <v>190</v>
      </c>
      <c r="D14" s="196">
        <v>1</v>
      </c>
      <c r="E14" s="197" t="s">
        <v>286</v>
      </c>
      <c r="F14" s="198"/>
      <c r="G14" s="216"/>
      <c r="H14" s="585">
        <f>výdavky!F209</f>
        <v>11000</v>
      </c>
      <c r="I14" s="308">
        <f>výdavky!G209</f>
        <v>12150</v>
      </c>
      <c r="J14" s="170">
        <f>výdavky!H209</f>
        <v>12500</v>
      </c>
      <c r="K14" s="170">
        <f>výdavky!I209</f>
        <v>13700</v>
      </c>
      <c r="L14" s="308">
        <f>výdavky!J209</f>
        <v>14000</v>
      </c>
      <c r="M14" s="170">
        <f>výdavky!K209</f>
        <v>14500</v>
      </c>
      <c r="N14" s="170">
        <f>výdavky!L209</f>
        <v>14500</v>
      </c>
    </row>
    <row r="15" spans="1:14" x14ac:dyDescent="0.2">
      <c r="A15" s="131">
        <v>9</v>
      </c>
      <c r="B15" s="157"/>
      <c r="C15" s="165" t="s">
        <v>192</v>
      </c>
      <c r="D15" s="200">
        <v>2</v>
      </c>
      <c r="E15" s="201" t="s">
        <v>193</v>
      </c>
      <c r="F15" s="202"/>
      <c r="G15" s="183"/>
      <c r="H15" s="586">
        <f>výdavky!F211+výdavky!F212</f>
        <v>3800</v>
      </c>
      <c r="I15" s="309">
        <f>výdavky!G211</f>
        <v>5000</v>
      </c>
      <c r="J15" s="175">
        <f>výdavky!H211</f>
        <v>5200</v>
      </c>
      <c r="K15" s="175">
        <f>výdavky!I211</f>
        <v>4850</v>
      </c>
      <c r="L15" s="309">
        <f>výdavky!J211</f>
        <v>5000</v>
      </c>
      <c r="M15" s="175">
        <f>výdavky!K211</f>
        <v>5200</v>
      </c>
      <c r="N15" s="175">
        <f>výdavky!L211</f>
        <v>5200</v>
      </c>
    </row>
    <row r="16" spans="1:14" x14ac:dyDescent="0.2">
      <c r="A16" s="131">
        <v>10</v>
      </c>
      <c r="B16" s="157"/>
      <c r="C16" s="165" t="s">
        <v>196</v>
      </c>
      <c r="D16" s="639">
        <v>3</v>
      </c>
      <c r="E16" s="640" t="s">
        <v>197</v>
      </c>
      <c r="F16" s="641"/>
      <c r="G16" s="642"/>
      <c r="H16" s="791">
        <f>výdavky!F213</f>
        <v>100</v>
      </c>
      <c r="I16" s="644">
        <f>výdavky!G213</f>
        <v>100</v>
      </c>
      <c r="J16" s="643">
        <f>výdavky!H213</f>
        <v>100</v>
      </c>
      <c r="K16" s="643">
        <f>výdavky!I213</f>
        <v>100</v>
      </c>
      <c r="L16" s="644">
        <f>výdavky!J213</f>
        <v>100</v>
      </c>
      <c r="M16" s="643">
        <f>výdavky!K213</f>
        <v>100</v>
      </c>
      <c r="N16" s="643">
        <f>výdavky!L213</f>
        <v>100</v>
      </c>
    </row>
    <row r="17" spans="1:14" x14ac:dyDescent="0.2">
      <c r="A17" s="131">
        <v>11</v>
      </c>
      <c r="B17" s="157"/>
      <c r="C17" s="165" t="s">
        <v>198</v>
      </c>
      <c r="D17" s="209" t="s">
        <v>230</v>
      </c>
      <c r="E17" s="167" t="s">
        <v>199</v>
      </c>
      <c r="F17" s="210"/>
      <c r="G17" s="216">
        <f>ROUND(M17/30.126,1)</f>
        <v>5</v>
      </c>
      <c r="H17" s="585">
        <f>výdavky!F214+výdavky!F215</f>
        <v>150</v>
      </c>
      <c r="I17" s="308">
        <f>výdavky!G215+výdavky!G214</f>
        <v>150</v>
      </c>
      <c r="J17" s="170">
        <f>výdavky!H215+výdavky!H214</f>
        <v>150</v>
      </c>
      <c r="K17" s="170">
        <f>výdavky!I215+výdavky!I214</f>
        <v>150</v>
      </c>
      <c r="L17" s="308">
        <f>výdavky!J215+výdavky!J214</f>
        <v>150</v>
      </c>
      <c r="M17" s="170">
        <f>výdavky!K215+výdavky!K214</f>
        <v>150</v>
      </c>
      <c r="N17" s="170">
        <f>výdavky!L215+výdavky!L214</f>
        <v>150</v>
      </c>
    </row>
    <row r="18" spans="1:14" x14ac:dyDescent="0.2">
      <c r="A18" s="131">
        <f>A17+1</f>
        <v>12</v>
      </c>
      <c r="B18" s="157"/>
      <c r="C18" s="165" t="s">
        <v>200</v>
      </c>
      <c r="D18" s="214" t="s">
        <v>232</v>
      </c>
      <c r="E18" s="176" t="s">
        <v>287</v>
      </c>
      <c r="F18" s="182"/>
      <c r="G18" s="183"/>
      <c r="H18" s="586">
        <f>výdavky!F216</f>
        <v>0</v>
      </c>
      <c r="I18" s="309">
        <f>výdavky!G216</f>
        <v>0</v>
      </c>
      <c r="J18" s="175">
        <f>výdavky!H216</f>
        <v>0</v>
      </c>
      <c r="K18" s="175">
        <f>výdavky!I216</f>
        <v>0</v>
      </c>
      <c r="L18" s="309">
        <f>výdavky!J216</f>
        <v>0</v>
      </c>
      <c r="M18" s="175">
        <f>výdavky!K216</f>
        <v>0</v>
      </c>
      <c r="N18" s="175">
        <f>výdavky!L216</f>
        <v>0</v>
      </c>
    </row>
    <row r="19" spans="1:14" x14ac:dyDescent="0.2">
      <c r="A19" s="131">
        <f>A18+1</f>
        <v>13</v>
      </c>
      <c r="B19" s="157"/>
      <c r="C19" s="165" t="s">
        <v>206</v>
      </c>
      <c r="D19" s="214" t="s">
        <v>236</v>
      </c>
      <c r="E19" s="176" t="s">
        <v>207</v>
      </c>
      <c r="F19" s="182"/>
      <c r="G19" s="183"/>
      <c r="H19" s="586">
        <f>výdavky!F217</f>
        <v>0</v>
      </c>
      <c r="I19" s="309">
        <f>výdavky!G217</f>
        <v>1799</v>
      </c>
      <c r="J19" s="175">
        <f>výdavky!H217</f>
        <v>1600</v>
      </c>
      <c r="K19" s="175">
        <f>výdavky!I217</f>
        <v>0</v>
      </c>
      <c r="L19" s="309">
        <f>výdavky!J217</f>
        <v>0</v>
      </c>
      <c r="M19" s="175">
        <f>výdavky!K217</f>
        <v>0</v>
      </c>
      <c r="N19" s="175">
        <f>výdavky!L217</f>
        <v>0</v>
      </c>
    </row>
    <row r="20" spans="1:14" x14ac:dyDescent="0.2">
      <c r="A20" s="131">
        <v>14</v>
      </c>
      <c r="B20" s="232">
        <v>2</v>
      </c>
      <c r="C20" s="233" t="s">
        <v>288</v>
      </c>
      <c r="D20" s="138"/>
      <c r="E20" s="138"/>
      <c r="F20" s="139"/>
      <c r="G20" s="140" t="e">
        <f>#REF!+G22</f>
        <v>#REF!</v>
      </c>
      <c r="H20" s="582">
        <f>H21+H25</f>
        <v>3000</v>
      </c>
      <c r="I20" s="310">
        <f>I21+SUM(I21,I25)</f>
        <v>3000</v>
      </c>
      <c r="J20" s="142">
        <f>J21+J25</f>
        <v>3000</v>
      </c>
      <c r="K20" s="142">
        <f>K21+SUM(K21,K25)</f>
        <v>1000</v>
      </c>
      <c r="L20" s="310">
        <f>L21+SUM(L21,L25)</f>
        <v>3000</v>
      </c>
      <c r="M20" s="142">
        <f>M21+SUM(M21,M25)</f>
        <v>5000</v>
      </c>
      <c r="N20" s="142">
        <f>N21+SUM(N21,N25)</f>
        <v>5000</v>
      </c>
    </row>
    <row r="21" spans="1:14" x14ac:dyDescent="0.2">
      <c r="A21" s="131">
        <f t="shared" ref="A21:A32" si="2">A20+1</f>
        <v>15</v>
      </c>
      <c r="B21" s="157"/>
      <c r="C21" s="165"/>
      <c r="D21" s="604" t="s">
        <v>183</v>
      </c>
      <c r="E21" s="606"/>
      <c r="F21" s="610"/>
      <c r="G21" s="611" t="e">
        <f t="shared" ref="G21:N21" si="3">G22</f>
        <v>#REF!</v>
      </c>
      <c r="H21" s="615">
        <f>H22</f>
        <v>0</v>
      </c>
      <c r="I21" s="613">
        <f t="shared" si="3"/>
        <v>0</v>
      </c>
      <c r="J21" s="612">
        <f>J22</f>
        <v>0</v>
      </c>
      <c r="K21" s="612">
        <f t="shared" si="3"/>
        <v>0</v>
      </c>
      <c r="L21" s="613">
        <f t="shared" si="3"/>
        <v>0</v>
      </c>
      <c r="M21" s="612">
        <f t="shared" si="3"/>
        <v>0</v>
      </c>
      <c r="N21" s="612">
        <f t="shared" si="3"/>
        <v>0</v>
      </c>
    </row>
    <row r="22" spans="1:14" x14ac:dyDescent="0.2">
      <c r="A22" s="131">
        <f t="shared" si="2"/>
        <v>16</v>
      </c>
      <c r="B22" s="157"/>
      <c r="C22" s="235" t="s">
        <v>289</v>
      </c>
      <c r="D22" s="192" t="s">
        <v>290</v>
      </c>
      <c r="E22" s="160"/>
      <c r="F22" s="311"/>
      <c r="G22" s="207" t="e">
        <f>SUM(G25:G32)</f>
        <v>#REF!</v>
      </c>
      <c r="H22" s="588">
        <f>H23+H24</f>
        <v>0</v>
      </c>
      <c r="I22" s="679">
        <f>SUM(I23,I24)</f>
        <v>0</v>
      </c>
      <c r="J22" s="208">
        <f>J23+J24</f>
        <v>0</v>
      </c>
      <c r="K22" s="208">
        <f>SUM(K23,K24)</f>
        <v>0</v>
      </c>
      <c r="L22" s="208">
        <f>SUM(L23,L24)</f>
        <v>0</v>
      </c>
      <c r="M22" s="208">
        <f>SUM(M23,M24)</f>
        <v>0</v>
      </c>
      <c r="N22" s="208">
        <f>SUM(N23,N24)</f>
        <v>0</v>
      </c>
    </row>
    <row r="23" spans="1:14" x14ac:dyDescent="0.2">
      <c r="A23" s="131">
        <f t="shared" si="2"/>
        <v>17</v>
      </c>
      <c r="B23" s="157"/>
      <c r="C23" s="215" t="s">
        <v>291</v>
      </c>
      <c r="D23" s="209" t="s">
        <v>215</v>
      </c>
      <c r="E23" s="197" t="s">
        <v>678</v>
      </c>
      <c r="F23" s="198"/>
      <c r="G23" s="216"/>
      <c r="H23" s="585">
        <f>výdavky!F696</f>
        <v>0</v>
      </c>
      <c r="I23" s="308">
        <f>výdavky!G695</f>
        <v>0</v>
      </c>
      <c r="J23" s="170">
        <f>výdavky!H696</f>
        <v>0</v>
      </c>
      <c r="K23" s="170">
        <f>výdavky!I695</f>
        <v>0</v>
      </c>
      <c r="L23" s="312">
        <f>výdavky!J696</f>
        <v>0</v>
      </c>
      <c r="M23" s="170">
        <v>0</v>
      </c>
      <c r="N23" s="170">
        <v>0</v>
      </c>
    </row>
    <row r="24" spans="1:14" x14ac:dyDescent="0.2">
      <c r="A24" s="131">
        <f t="shared" si="2"/>
        <v>18</v>
      </c>
      <c r="B24" s="157"/>
      <c r="C24" s="215" t="s">
        <v>291</v>
      </c>
      <c r="D24" s="214" t="s">
        <v>217</v>
      </c>
      <c r="E24" s="201" t="s">
        <v>292</v>
      </c>
      <c r="F24" s="202"/>
      <c r="G24" s="183"/>
      <c r="H24" s="586">
        <f>výdavky!F695</f>
        <v>0</v>
      </c>
      <c r="I24" s="309">
        <v>0</v>
      </c>
      <c r="J24" s="175">
        <f>výdavky!H698</f>
        <v>0</v>
      </c>
      <c r="K24" s="175">
        <f>výdavky!I698</f>
        <v>0</v>
      </c>
      <c r="L24" s="313">
        <f>výdavky!J696</f>
        <v>0</v>
      </c>
      <c r="M24" s="175">
        <v>0</v>
      </c>
      <c r="N24" s="175">
        <v>0</v>
      </c>
    </row>
    <row r="25" spans="1:14" x14ac:dyDescent="0.2">
      <c r="A25" s="131">
        <f t="shared" si="2"/>
        <v>19</v>
      </c>
      <c r="B25" s="164"/>
      <c r="C25" s="165"/>
      <c r="D25" s="2027" t="s">
        <v>181</v>
      </c>
      <c r="E25" s="2027"/>
      <c r="F25" s="314"/>
      <c r="G25" s="315"/>
      <c r="H25" s="792">
        <f>H26</f>
        <v>3000</v>
      </c>
      <c r="I25" s="689">
        <f>SUM(I26)</f>
        <v>3000</v>
      </c>
      <c r="J25" s="316">
        <f>J26</f>
        <v>3000</v>
      </c>
      <c r="K25" s="316">
        <f>SUM(K26)</f>
        <v>1000</v>
      </c>
      <c r="L25" s="307">
        <f>SUM(L26)</f>
        <v>3000</v>
      </c>
      <c r="M25" s="316">
        <f>SUM(M26)</f>
        <v>5000</v>
      </c>
      <c r="N25" s="316">
        <f>SUM(N26)</f>
        <v>5000</v>
      </c>
    </row>
    <row r="26" spans="1:14" x14ac:dyDescent="0.2">
      <c r="A26" s="131">
        <f t="shared" si="2"/>
        <v>20</v>
      </c>
      <c r="B26" s="164"/>
      <c r="C26" s="235" t="s">
        <v>289</v>
      </c>
      <c r="D26" s="192" t="s">
        <v>290</v>
      </c>
      <c r="E26" s="160"/>
      <c r="F26" s="311"/>
      <c r="G26" s="207" t="e">
        <f>SUM(G29:G32)</f>
        <v>#REF!</v>
      </c>
      <c r="H26" s="588">
        <f>H27+H28</f>
        <v>3000</v>
      </c>
      <c r="I26" s="679">
        <f>SUM(I27,I28)</f>
        <v>3000</v>
      </c>
      <c r="J26" s="208">
        <f>J27+J28</f>
        <v>3000</v>
      </c>
      <c r="K26" s="208">
        <f>SUM(K27,K28)</f>
        <v>1000</v>
      </c>
      <c r="L26" s="208">
        <f>SUM(L27,L28)</f>
        <v>3000</v>
      </c>
      <c r="M26" s="208">
        <f>SUM(M27,M28)</f>
        <v>5000</v>
      </c>
      <c r="N26" s="208">
        <f>SUM(N27,N28)</f>
        <v>5000</v>
      </c>
    </row>
    <row r="27" spans="1:14" x14ac:dyDescent="0.2">
      <c r="A27" s="131">
        <f t="shared" si="2"/>
        <v>21</v>
      </c>
      <c r="B27" s="164"/>
      <c r="C27" s="317">
        <v>633</v>
      </c>
      <c r="D27" s="209" t="s">
        <v>228</v>
      </c>
      <c r="E27" s="197" t="s">
        <v>199</v>
      </c>
      <c r="F27" s="197"/>
      <c r="G27" s="197"/>
      <c r="H27" s="793">
        <f>výdavky!F225</f>
        <v>3000</v>
      </c>
      <c r="I27" s="308">
        <f>výdavky!G225</f>
        <v>3000</v>
      </c>
      <c r="J27" s="170">
        <f>výdavky!H224+výdavky!H225</f>
        <v>3000</v>
      </c>
      <c r="K27" s="170">
        <f>výdavky!I225</f>
        <v>1000</v>
      </c>
      <c r="L27" s="312">
        <f>výdavky!J225</f>
        <v>3000</v>
      </c>
      <c r="M27" s="170">
        <f>výdavky!K225</f>
        <v>5000</v>
      </c>
      <c r="N27" s="170">
        <f>výdavky!L225</f>
        <v>5000</v>
      </c>
    </row>
    <row r="28" spans="1:14" x14ac:dyDescent="0.2">
      <c r="A28" s="131">
        <f t="shared" si="2"/>
        <v>22</v>
      </c>
      <c r="B28" s="164"/>
      <c r="C28" s="317">
        <v>635</v>
      </c>
      <c r="D28" s="214" t="s">
        <v>230</v>
      </c>
      <c r="E28" s="201" t="s">
        <v>293</v>
      </c>
      <c r="F28" s="318"/>
      <c r="G28" s="183"/>
      <c r="H28" s="586">
        <f>výdavky!F226</f>
        <v>0</v>
      </c>
      <c r="I28" s="309">
        <f>výdavky!G226</f>
        <v>0</v>
      </c>
      <c r="J28" s="175">
        <f>výdavky!H226</f>
        <v>0</v>
      </c>
      <c r="K28" s="175">
        <f>výdavky!I226</f>
        <v>0</v>
      </c>
      <c r="L28" s="313">
        <f>výdavky!J226</f>
        <v>0</v>
      </c>
      <c r="M28" s="175">
        <f>výdavky!K226</f>
        <v>0</v>
      </c>
      <c r="N28" s="175">
        <f>výdavky!L226</f>
        <v>0</v>
      </c>
    </row>
    <row r="29" spans="1:14" x14ac:dyDescent="0.2">
      <c r="A29" s="131">
        <f t="shared" si="2"/>
        <v>23</v>
      </c>
      <c r="B29" s="232">
        <v>3</v>
      </c>
      <c r="C29" s="233" t="s">
        <v>294</v>
      </c>
      <c r="D29" s="138"/>
      <c r="E29" s="138"/>
      <c r="F29" s="139"/>
      <c r="G29" s="140" t="e">
        <f>#REF!+G32</f>
        <v>#REF!</v>
      </c>
      <c r="H29" s="582">
        <f>H30</f>
        <v>497</v>
      </c>
      <c r="I29" s="310">
        <f>SUM(I30)</f>
        <v>3000</v>
      </c>
      <c r="J29" s="142">
        <f>J30</f>
        <v>1000</v>
      </c>
      <c r="K29" s="142">
        <f>SUM(K30)</f>
        <v>2292</v>
      </c>
      <c r="L29" s="142">
        <f>SUM(L30)</f>
        <v>2000</v>
      </c>
      <c r="M29" s="142">
        <f>SUM(M30)</f>
        <v>2000</v>
      </c>
      <c r="N29" s="142">
        <f>SUM(N30)</f>
        <v>2000</v>
      </c>
    </row>
    <row r="30" spans="1:14" x14ac:dyDescent="0.2">
      <c r="A30" s="131">
        <f t="shared" si="2"/>
        <v>24</v>
      </c>
      <c r="B30" s="234"/>
      <c r="C30" s="224"/>
      <c r="D30" s="134" t="s">
        <v>181</v>
      </c>
      <c r="E30" s="153"/>
      <c r="F30" s="154"/>
      <c r="G30" s="155">
        <f t="shared" ref="G30:N30" si="4">G31</f>
        <v>0</v>
      </c>
      <c r="H30" s="583">
        <f>H31</f>
        <v>497</v>
      </c>
      <c r="I30" s="307">
        <f t="shared" si="4"/>
        <v>3000</v>
      </c>
      <c r="J30" s="156">
        <f>J31</f>
        <v>1000</v>
      </c>
      <c r="K30" s="156">
        <f t="shared" si="4"/>
        <v>2292</v>
      </c>
      <c r="L30" s="307">
        <f t="shared" si="4"/>
        <v>2000</v>
      </c>
      <c r="M30" s="156">
        <f t="shared" si="4"/>
        <v>2000</v>
      </c>
      <c r="N30" s="156">
        <f t="shared" si="4"/>
        <v>2000</v>
      </c>
    </row>
    <row r="31" spans="1:14" s="321" customFormat="1" x14ac:dyDescent="0.2">
      <c r="A31" s="131">
        <f t="shared" si="2"/>
        <v>25</v>
      </c>
      <c r="B31" s="319"/>
      <c r="C31" s="235" t="s">
        <v>295</v>
      </c>
      <c r="D31" s="192" t="s">
        <v>294</v>
      </c>
      <c r="E31" s="160"/>
      <c r="F31" s="320"/>
      <c r="G31" s="194"/>
      <c r="H31" s="584">
        <f>H32+H33</f>
        <v>497</v>
      </c>
      <c r="I31" s="340">
        <f>SUM(I32:I32)</f>
        <v>3000</v>
      </c>
      <c r="J31" s="163">
        <f>J32+J33</f>
        <v>1000</v>
      </c>
      <c r="K31" s="163">
        <f>SUM(K32:K32)</f>
        <v>2292</v>
      </c>
      <c r="L31" s="163">
        <f>SUM(L32:L33)</f>
        <v>2000</v>
      </c>
      <c r="M31" s="163">
        <f>SUM(M32:M32)</f>
        <v>2000</v>
      </c>
      <c r="N31" s="163">
        <f>SUM(N32:N32)</f>
        <v>2000</v>
      </c>
    </row>
    <row r="32" spans="1:14" x14ac:dyDescent="0.2">
      <c r="A32" s="131">
        <f t="shared" si="2"/>
        <v>26</v>
      </c>
      <c r="B32" s="322"/>
      <c r="C32" s="215" t="s">
        <v>206</v>
      </c>
      <c r="D32" s="209" t="s">
        <v>215</v>
      </c>
      <c r="E32" s="297" t="s">
        <v>296</v>
      </c>
      <c r="F32" s="323"/>
      <c r="G32" s="216">
        <f>ROUND(M32/30.126,1)</f>
        <v>66.400000000000006</v>
      </c>
      <c r="H32" s="585">
        <f>výdavky!F220</f>
        <v>0</v>
      </c>
      <c r="I32" s="308">
        <f>výdavky!G221</f>
        <v>3000</v>
      </c>
      <c r="J32" s="170">
        <f>výdavky!H220</f>
        <v>0</v>
      </c>
      <c r="K32" s="170">
        <f>výdavky!I221</f>
        <v>2292</v>
      </c>
      <c r="L32" s="312">
        <f>výdavky!J220</f>
        <v>0</v>
      </c>
      <c r="M32" s="170">
        <f>výdavky!K221</f>
        <v>2000</v>
      </c>
      <c r="N32" s="170">
        <f>výdavky!L221</f>
        <v>2000</v>
      </c>
    </row>
    <row r="33" spans="1:14" x14ac:dyDescent="0.2">
      <c r="A33" s="131">
        <v>27</v>
      </c>
      <c r="B33" s="324"/>
      <c r="C33" s="325">
        <v>637</v>
      </c>
      <c r="D33" s="171">
        <v>2</v>
      </c>
      <c r="E33" s="326" t="s">
        <v>326</v>
      </c>
      <c r="F33" s="327"/>
      <c r="G33" s="183"/>
      <c r="H33" s="586">
        <f>výdavky!F221</f>
        <v>497</v>
      </c>
      <c r="I33" s="309">
        <f>výdavky!G221</f>
        <v>3000</v>
      </c>
      <c r="J33" s="175">
        <f>výdavky!H221</f>
        <v>1000</v>
      </c>
      <c r="K33" s="175">
        <v>0</v>
      </c>
      <c r="L33" s="313">
        <f>výdavky!J221</f>
        <v>2000</v>
      </c>
      <c r="M33" s="175"/>
      <c r="N33" s="175"/>
    </row>
    <row r="34" spans="1:14" x14ac:dyDescent="0.2">
      <c r="A34" s="131">
        <v>28</v>
      </c>
      <c r="B34" s="328">
        <v>4</v>
      </c>
      <c r="C34" s="233" t="s">
        <v>297</v>
      </c>
      <c r="D34" s="329"/>
      <c r="E34" s="329"/>
      <c r="F34" s="330"/>
      <c r="G34" s="331" t="e">
        <f>#REF!+#REF!</f>
        <v>#REF!</v>
      </c>
      <c r="H34" s="794">
        <f>H35+H46</f>
        <v>147920</v>
      </c>
      <c r="I34" s="310">
        <f>SUM(I35+I46)</f>
        <v>135560</v>
      </c>
      <c r="J34" s="142">
        <f>J35+J46</f>
        <v>134760</v>
      </c>
      <c r="K34" s="142">
        <f>SUM(K35+K46)</f>
        <v>149490</v>
      </c>
      <c r="L34" s="310">
        <f>SUM(L35+L46)</f>
        <v>138300</v>
      </c>
      <c r="M34" s="142">
        <f>SUM(M35+M46)</f>
        <v>141050</v>
      </c>
      <c r="N34" s="142">
        <f>SUM(N35+N46)</f>
        <v>141050</v>
      </c>
    </row>
    <row r="35" spans="1:14" x14ac:dyDescent="0.2">
      <c r="A35" s="131">
        <f t="shared" ref="A35:A44" si="5">A34+1</f>
        <v>29</v>
      </c>
      <c r="B35" s="234"/>
      <c r="C35" s="224"/>
      <c r="D35" s="134" t="s">
        <v>181</v>
      </c>
      <c r="E35" s="153"/>
      <c r="F35" s="154"/>
      <c r="G35" s="155" t="e">
        <f>G36+G47</f>
        <v>#REF!</v>
      </c>
      <c r="H35" s="583">
        <f t="shared" ref="H35:N35" si="6">H36</f>
        <v>147920</v>
      </c>
      <c r="I35" s="307">
        <f t="shared" si="6"/>
        <v>135560</v>
      </c>
      <c r="J35" s="156">
        <f t="shared" si="6"/>
        <v>134760</v>
      </c>
      <c r="K35" s="156">
        <f t="shared" si="6"/>
        <v>149490</v>
      </c>
      <c r="L35" s="307">
        <f t="shared" si="6"/>
        <v>138300</v>
      </c>
      <c r="M35" s="156">
        <f t="shared" si="6"/>
        <v>141050</v>
      </c>
      <c r="N35" s="156">
        <f t="shared" si="6"/>
        <v>141050</v>
      </c>
    </row>
    <row r="36" spans="1:14" x14ac:dyDescent="0.2">
      <c r="A36" s="131">
        <f t="shared" si="5"/>
        <v>30</v>
      </c>
      <c r="B36" s="157"/>
      <c r="C36" s="235" t="s">
        <v>298</v>
      </c>
      <c r="D36" s="159" t="s">
        <v>299</v>
      </c>
      <c r="E36" s="160"/>
      <c r="F36" s="161"/>
      <c r="G36" s="194">
        <f>SUM(G37:G44)</f>
        <v>2912.8</v>
      </c>
      <c r="H36" s="584">
        <f>SUM(H37:H45)</f>
        <v>147920</v>
      </c>
      <c r="I36" s="340">
        <f>SUM(I37:I44)+I45</f>
        <v>135560</v>
      </c>
      <c r="J36" s="163">
        <f>SUM(J37:J45)</f>
        <v>134760</v>
      </c>
      <c r="K36" s="163">
        <f>SUM(K37:K44)+K45</f>
        <v>149490</v>
      </c>
      <c r="L36" s="163">
        <f>SUM(L37:L44)+L45</f>
        <v>138300</v>
      </c>
      <c r="M36" s="163">
        <f>SUM(M37:M44)+M45</f>
        <v>141050</v>
      </c>
      <c r="N36" s="163">
        <f>SUM(N37:N44)+N45</f>
        <v>141050</v>
      </c>
    </row>
    <row r="37" spans="1:14" x14ac:dyDescent="0.2">
      <c r="A37" s="131">
        <f t="shared" si="5"/>
        <v>31</v>
      </c>
      <c r="B37" s="164"/>
      <c r="C37" s="215" t="s">
        <v>190</v>
      </c>
      <c r="D37" s="209" t="s">
        <v>215</v>
      </c>
      <c r="E37" s="167" t="s">
        <v>286</v>
      </c>
      <c r="F37" s="210"/>
      <c r="G37" s="216">
        <f>ROUND(M37/30.126,1)</f>
        <v>2887.9</v>
      </c>
      <c r="H37" s="585">
        <f>výdavky!F189+výdavky!E190</f>
        <v>84000</v>
      </c>
      <c r="I37" s="308">
        <f>výdavky!G189+výdavky!G190</f>
        <v>84000</v>
      </c>
      <c r="J37" s="170">
        <f>výdavky!H189+výdavky!H190</f>
        <v>84000</v>
      </c>
      <c r="K37" s="170">
        <f>výdavky!I189+výdavky!I190</f>
        <v>85830</v>
      </c>
      <c r="L37" s="308">
        <f>výdavky!J189+výdavky!J190</f>
        <v>85000</v>
      </c>
      <c r="M37" s="170">
        <f>výdavky!K189</f>
        <v>87000</v>
      </c>
      <c r="N37" s="170">
        <f>výdavky!L189</f>
        <v>87000</v>
      </c>
    </row>
    <row r="38" spans="1:14" x14ac:dyDescent="0.2">
      <c r="A38" s="131">
        <f t="shared" si="5"/>
        <v>32</v>
      </c>
      <c r="B38" s="164"/>
      <c r="C38" s="215" t="s">
        <v>192</v>
      </c>
      <c r="D38" s="214" t="s">
        <v>217</v>
      </c>
      <c r="E38" s="176" t="s">
        <v>193</v>
      </c>
      <c r="F38" s="182"/>
      <c r="G38" s="183"/>
      <c r="H38" s="586">
        <f>výdavky!F191</f>
        <v>29000</v>
      </c>
      <c r="I38" s="309">
        <f>výdavky!G191</f>
        <v>29000</v>
      </c>
      <c r="J38" s="175">
        <f>výdavky!H191</f>
        <v>30000</v>
      </c>
      <c r="K38" s="175">
        <f>výdavky!I191</f>
        <v>30600</v>
      </c>
      <c r="L38" s="309">
        <f>výdavky!J191</f>
        <v>30000</v>
      </c>
      <c r="M38" s="175">
        <f>výdavky!K191</f>
        <v>30000</v>
      </c>
      <c r="N38" s="175">
        <f>výdavky!L191</f>
        <v>30000</v>
      </c>
    </row>
    <row r="39" spans="1:14" x14ac:dyDescent="0.2">
      <c r="A39" s="131">
        <f t="shared" si="5"/>
        <v>33</v>
      </c>
      <c r="B39" s="164"/>
      <c r="C39" s="215" t="s">
        <v>196</v>
      </c>
      <c r="D39" s="209" t="s">
        <v>228</v>
      </c>
      <c r="E39" s="167" t="s">
        <v>197</v>
      </c>
      <c r="F39" s="210"/>
      <c r="G39" s="216">
        <f>ROUND(M39/30.126,1)</f>
        <v>24.9</v>
      </c>
      <c r="H39" s="585">
        <f>výdavky!F192</f>
        <v>750</v>
      </c>
      <c r="I39" s="308">
        <f>výdavky!G192</f>
        <v>750</v>
      </c>
      <c r="J39" s="170">
        <f>výdavky!H192</f>
        <v>750</v>
      </c>
      <c r="K39" s="170">
        <f>výdavky!I192</f>
        <v>750</v>
      </c>
      <c r="L39" s="308">
        <f>výdavky!J192</f>
        <v>750</v>
      </c>
      <c r="M39" s="170">
        <f>výdavky!K192</f>
        <v>750</v>
      </c>
      <c r="N39" s="170">
        <f>výdavky!L192</f>
        <v>750</v>
      </c>
    </row>
    <row r="40" spans="1:14" x14ac:dyDescent="0.2">
      <c r="A40" s="131">
        <f t="shared" si="5"/>
        <v>34</v>
      </c>
      <c r="B40" s="164"/>
      <c r="C40" s="215" t="s">
        <v>198</v>
      </c>
      <c r="D40" s="214" t="s">
        <v>230</v>
      </c>
      <c r="E40" s="176" t="s">
        <v>199</v>
      </c>
      <c r="F40" s="182"/>
      <c r="G40" s="183"/>
      <c r="H40" s="586">
        <f>výdavky!F193</f>
        <v>28960</v>
      </c>
      <c r="I40" s="309">
        <f>výdavky!G193</f>
        <v>15700</v>
      </c>
      <c r="J40" s="175">
        <f>výdavky!H193</f>
        <v>14800</v>
      </c>
      <c r="K40" s="175">
        <f>výdavky!I193</f>
        <v>18600</v>
      </c>
      <c r="L40" s="309">
        <f>výdavky!J193</f>
        <v>14800</v>
      </c>
      <c r="M40" s="175">
        <f>výdavky!K193</f>
        <v>14200</v>
      </c>
      <c r="N40" s="175">
        <f>výdavky!L193</f>
        <v>14200</v>
      </c>
    </row>
    <row r="41" spans="1:14" x14ac:dyDescent="0.2">
      <c r="A41" s="131">
        <f t="shared" si="5"/>
        <v>35</v>
      </c>
      <c r="B41" s="164"/>
      <c r="C41" s="215" t="s">
        <v>200</v>
      </c>
      <c r="D41" s="209" t="s">
        <v>232</v>
      </c>
      <c r="E41" s="167" t="s">
        <v>201</v>
      </c>
      <c r="F41" s="210"/>
      <c r="G41" s="216"/>
      <c r="H41" s="585">
        <f>výdavky!F199</f>
        <v>750</v>
      </c>
      <c r="I41" s="308">
        <f>výdavky!G199</f>
        <v>1650</v>
      </c>
      <c r="J41" s="170">
        <f>výdavky!H199</f>
        <v>750</v>
      </c>
      <c r="K41" s="170">
        <f>výdavky!I199</f>
        <v>9250</v>
      </c>
      <c r="L41" s="308">
        <f>výdavky!J199</f>
        <v>3250</v>
      </c>
      <c r="M41" s="170">
        <f>výdavky!K199</f>
        <v>4600</v>
      </c>
      <c r="N41" s="170">
        <f>výdavky!L199</f>
        <v>4600</v>
      </c>
    </row>
    <row r="42" spans="1:14" x14ac:dyDescent="0.2">
      <c r="A42" s="131">
        <f t="shared" si="5"/>
        <v>36</v>
      </c>
      <c r="B42" s="164"/>
      <c r="C42" s="215" t="s">
        <v>202</v>
      </c>
      <c r="D42" s="214" t="s">
        <v>236</v>
      </c>
      <c r="E42" s="176" t="s">
        <v>300</v>
      </c>
      <c r="F42" s="182"/>
      <c r="G42" s="183"/>
      <c r="H42" s="586">
        <f>výdavky!F204</f>
        <v>3500</v>
      </c>
      <c r="I42" s="309">
        <f>výdavky!G204</f>
        <v>3500</v>
      </c>
      <c r="J42" s="175">
        <f>výdavky!H204</f>
        <v>3500</v>
      </c>
      <c r="K42" s="175">
        <f>výdavky!I204</f>
        <v>3500</v>
      </c>
      <c r="L42" s="309">
        <f>výdavky!J204</f>
        <v>3500</v>
      </c>
      <c r="M42" s="175">
        <f>výdavky!K204</f>
        <v>3500</v>
      </c>
      <c r="N42" s="175">
        <f>výdavky!L204</f>
        <v>3500</v>
      </c>
    </row>
    <row r="43" spans="1:14" x14ac:dyDescent="0.2">
      <c r="A43" s="131">
        <f t="shared" si="5"/>
        <v>37</v>
      </c>
      <c r="B43" s="164"/>
      <c r="C43" s="215" t="s">
        <v>206</v>
      </c>
      <c r="D43" s="209" t="s">
        <v>238</v>
      </c>
      <c r="E43" s="167" t="s">
        <v>267</v>
      </c>
      <c r="F43" s="210"/>
      <c r="G43" s="216"/>
      <c r="H43" s="585">
        <f>výdavky!F205</f>
        <v>960</v>
      </c>
      <c r="I43" s="308">
        <f>výdavky!G205</f>
        <v>960</v>
      </c>
      <c r="J43" s="170">
        <f>výdavky!H205</f>
        <v>960</v>
      </c>
      <c r="K43" s="170">
        <f>výdavky!I205</f>
        <v>960</v>
      </c>
      <c r="L43" s="308">
        <f>výdavky!J205</f>
        <v>1000</v>
      </c>
      <c r="M43" s="170">
        <f>výdavky!K205</f>
        <v>1000</v>
      </c>
      <c r="N43" s="170">
        <f>výdavky!L205</f>
        <v>1000</v>
      </c>
    </row>
    <row r="44" spans="1:14" x14ac:dyDescent="0.2">
      <c r="A44" s="131">
        <f t="shared" si="5"/>
        <v>38</v>
      </c>
      <c r="B44" s="164"/>
      <c r="C44" s="215" t="s">
        <v>214</v>
      </c>
      <c r="D44" s="214" t="s">
        <v>266</v>
      </c>
      <c r="E44" s="176" t="s">
        <v>301</v>
      </c>
      <c r="F44" s="182"/>
      <c r="G44" s="183"/>
      <c r="H44" s="586">
        <f>výdavky!F206</f>
        <v>0</v>
      </c>
      <c r="I44" s="309">
        <f>výdavky!G206</f>
        <v>0</v>
      </c>
      <c r="J44" s="175">
        <f>výdavky!H206</f>
        <v>0</v>
      </c>
      <c r="K44" s="175">
        <f>výdavky!I206</f>
        <v>0</v>
      </c>
      <c r="L44" s="309">
        <f>výdavky!J206</f>
        <v>0</v>
      </c>
      <c r="M44" s="175">
        <f>výdavky!K206</f>
        <v>0</v>
      </c>
      <c r="N44" s="175">
        <f>výdavky!L206</f>
        <v>0</v>
      </c>
    </row>
    <row r="45" spans="1:14" x14ac:dyDescent="0.2">
      <c r="A45" s="131">
        <v>39</v>
      </c>
      <c r="B45" s="164"/>
      <c r="C45" s="215" t="s">
        <v>214</v>
      </c>
      <c r="D45" s="214" t="s">
        <v>268</v>
      </c>
      <c r="E45" s="176" t="s">
        <v>302</v>
      </c>
      <c r="F45" s="182"/>
      <c r="G45" s="183"/>
      <c r="H45" s="586">
        <f>výdavky!F207</f>
        <v>0</v>
      </c>
      <c r="I45" s="309">
        <f>SUM(výdavky!G207)</f>
        <v>0</v>
      </c>
      <c r="J45" s="175">
        <f>výdavky!H207</f>
        <v>0</v>
      </c>
      <c r="K45" s="175">
        <f>výdavky!I207</f>
        <v>0</v>
      </c>
      <c r="L45" s="309">
        <f>výdavky!J207</f>
        <v>0</v>
      </c>
      <c r="M45" s="175">
        <f>výdavky!K207</f>
        <v>0</v>
      </c>
      <c r="N45" s="175">
        <f>výdavky!L207</f>
        <v>0</v>
      </c>
    </row>
    <row r="46" spans="1:14" x14ac:dyDescent="0.2">
      <c r="A46" s="131">
        <v>40</v>
      </c>
      <c r="B46" s="164"/>
      <c r="C46" s="165"/>
      <c r="D46" s="604" t="s">
        <v>183</v>
      </c>
      <c r="E46" s="606"/>
      <c r="F46" s="610"/>
      <c r="G46" s="611" t="e">
        <f t="shared" ref="G46:N46" si="7">G47</f>
        <v>#REF!</v>
      </c>
      <c r="H46" s="615">
        <f>H47</f>
        <v>0</v>
      </c>
      <c r="I46" s="613">
        <f t="shared" si="7"/>
        <v>0</v>
      </c>
      <c r="J46" s="612">
        <f>J47</f>
        <v>0</v>
      </c>
      <c r="K46" s="612">
        <f t="shared" si="7"/>
        <v>0</v>
      </c>
      <c r="L46" s="613">
        <f t="shared" si="7"/>
        <v>0</v>
      </c>
      <c r="M46" s="612">
        <f t="shared" si="7"/>
        <v>0</v>
      </c>
      <c r="N46" s="612">
        <f t="shared" si="7"/>
        <v>0</v>
      </c>
    </row>
    <row r="47" spans="1:14" x14ac:dyDescent="0.2">
      <c r="A47" s="131">
        <f>A46+1</f>
        <v>41</v>
      </c>
      <c r="B47" s="164"/>
      <c r="C47" s="235" t="s">
        <v>303</v>
      </c>
      <c r="D47" s="159" t="s">
        <v>299</v>
      </c>
      <c r="E47" s="160"/>
      <c r="F47" s="161"/>
      <c r="G47" s="194" t="e">
        <f>SUM(#REF!)</f>
        <v>#REF!</v>
      </c>
      <c r="H47" s="584">
        <f>H48</f>
        <v>0</v>
      </c>
      <c r="I47" s="340">
        <f>SUM(I48:I48)</f>
        <v>0</v>
      </c>
      <c r="J47" s="163">
        <f>J48</f>
        <v>0</v>
      </c>
      <c r="K47" s="163">
        <f>SUM(K48:K48)</f>
        <v>0</v>
      </c>
      <c r="L47" s="163">
        <f>SUM(L48:L48)</f>
        <v>0</v>
      </c>
      <c r="M47" s="163">
        <f>SUM(M48:M48)</f>
        <v>0</v>
      </c>
      <c r="N47" s="163">
        <f>SUM(N48:N48)</f>
        <v>0</v>
      </c>
    </row>
    <row r="48" spans="1:14" s="190" customFormat="1" x14ac:dyDescent="0.2">
      <c r="A48" s="244">
        <v>42</v>
      </c>
      <c r="B48" s="332"/>
      <c r="C48" s="333" t="s">
        <v>291</v>
      </c>
      <c r="D48" s="282" t="s">
        <v>270</v>
      </c>
      <c r="E48" s="334" t="s">
        <v>698</v>
      </c>
      <c r="F48" s="335"/>
      <c r="G48" s="336"/>
      <c r="H48" s="688">
        <v>0</v>
      </c>
      <c r="I48" s="337">
        <v>0</v>
      </c>
      <c r="J48" s="287">
        <f>výdavky!H694</f>
        <v>0</v>
      </c>
      <c r="K48" s="287">
        <v>0</v>
      </c>
      <c r="L48" s="337">
        <f>výdavky!J694</f>
        <v>0</v>
      </c>
      <c r="M48" s="287">
        <v>0</v>
      </c>
      <c r="N48" s="287">
        <v>0</v>
      </c>
    </row>
  </sheetData>
  <mergeCells count="3">
    <mergeCell ref="G3:N3"/>
    <mergeCell ref="D4:F6"/>
    <mergeCell ref="D25:E25"/>
  </mergeCells>
  <phoneticPr fontId="44" type="noConversion"/>
  <pageMargins left="0.25" right="0.25" top="0.75" bottom="0.75" header="0.3" footer="0.3"/>
  <pageSetup paperSize="9" scale="83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2"/>
  <sheetViews>
    <sheetView zoomScaleNormal="100" workbookViewId="0">
      <selection activeCell="K19" sqref="K19"/>
    </sheetView>
  </sheetViews>
  <sheetFormatPr defaultRowHeight="12.75" x14ac:dyDescent="0.2"/>
  <cols>
    <col min="1" max="1" width="3.5703125" style="95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9.85546875" customWidth="1"/>
    <col min="7" max="7" width="0" hidden="1" customWidth="1"/>
    <col min="8" max="8" width="9.85546875" bestFit="1" customWidth="1"/>
    <col min="10" max="10" width="9.7109375" bestFit="1" customWidth="1"/>
    <col min="12" max="12" width="9.7109375" customWidth="1"/>
    <col min="13" max="14" width="8.42578125" customWidth="1"/>
  </cols>
  <sheetData>
    <row r="1" spans="1:14" ht="15.75" x14ac:dyDescent="0.25">
      <c r="B1" s="99" t="s">
        <v>304</v>
      </c>
      <c r="E1" s="99" t="s">
        <v>305</v>
      </c>
      <c r="F1" s="97"/>
      <c r="G1" s="252" t="e">
        <f>G2-G7</f>
        <v>#REF!</v>
      </c>
      <c r="H1" s="252"/>
      <c r="I1" s="252"/>
      <c r="J1" s="252"/>
      <c r="K1" s="252"/>
      <c r="L1" s="253">
        <f>L2-L7</f>
        <v>0</v>
      </c>
      <c r="M1" s="253">
        <f>M2-M7</f>
        <v>0</v>
      </c>
      <c r="N1" s="253">
        <f>N2-N7</f>
        <v>0</v>
      </c>
    </row>
    <row r="2" spans="1:14" ht="15.75" x14ac:dyDescent="0.25">
      <c r="B2" s="99"/>
      <c r="G2" s="254" t="e">
        <f>SUM(G8:G10)</f>
        <v>#REF!</v>
      </c>
      <c r="H2" s="254"/>
      <c r="I2" s="254"/>
      <c r="J2" s="254"/>
      <c r="K2" s="254"/>
      <c r="L2" s="107">
        <f>SUM(L8:L10)</f>
        <v>287204</v>
      </c>
      <c r="M2" s="107">
        <f>SUM(M8:M10)</f>
        <v>275707</v>
      </c>
      <c r="N2" s="107">
        <f>SUM(N8:N10)</f>
        <v>265707</v>
      </c>
    </row>
    <row r="3" spans="1:14" ht="15.75" x14ac:dyDescent="0.25">
      <c r="A3" s="108"/>
      <c r="B3" s="109"/>
      <c r="C3" s="110"/>
      <c r="D3" s="110"/>
      <c r="E3" s="111"/>
      <c r="F3" s="112"/>
      <c r="G3" s="2017" t="s">
        <v>168</v>
      </c>
      <c r="H3" s="2017"/>
      <c r="I3" s="2017"/>
      <c r="J3" s="2017"/>
      <c r="K3" s="2017"/>
      <c r="L3" s="2017"/>
      <c r="M3" s="2017"/>
      <c r="N3" s="2017"/>
    </row>
    <row r="4" spans="1:14" ht="11.25" customHeight="1" x14ac:dyDescent="0.2">
      <c r="A4" s="113"/>
      <c r="B4" s="114" t="s">
        <v>169</v>
      </c>
      <c r="C4" s="115" t="s">
        <v>170</v>
      </c>
      <c r="D4" s="2020" t="s">
        <v>171</v>
      </c>
      <c r="E4" s="2020"/>
      <c r="F4" s="2020"/>
      <c r="G4" s="116"/>
      <c r="H4" s="672">
        <v>2021</v>
      </c>
      <c r="I4" s="117">
        <v>2022</v>
      </c>
      <c r="J4" s="117" t="s">
        <v>998</v>
      </c>
      <c r="K4" s="117" t="s">
        <v>999</v>
      </c>
      <c r="L4" s="117">
        <v>2024</v>
      </c>
      <c r="M4" s="117">
        <v>2025</v>
      </c>
      <c r="N4" s="117">
        <v>2026</v>
      </c>
    </row>
    <row r="5" spans="1:14" ht="15" customHeight="1" x14ac:dyDescent="0.2">
      <c r="A5" s="113"/>
      <c r="B5" s="114" t="s">
        <v>172</v>
      </c>
      <c r="C5" s="115" t="s">
        <v>173</v>
      </c>
      <c r="D5" s="2020"/>
      <c r="E5" s="2020"/>
      <c r="F5" s="2020"/>
      <c r="G5" s="118" t="s">
        <v>174</v>
      </c>
      <c r="H5" s="255" t="s">
        <v>175</v>
      </c>
      <c r="I5" s="119" t="s">
        <v>176</v>
      </c>
      <c r="J5" s="119" t="s">
        <v>175</v>
      </c>
      <c r="K5" s="119" t="s">
        <v>176</v>
      </c>
      <c r="L5" s="119" t="s">
        <v>175</v>
      </c>
      <c r="M5" s="119" t="s">
        <v>176</v>
      </c>
      <c r="N5" s="119" t="s">
        <v>176</v>
      </c>
    </row>
    <row r="6" spans="1:14" ht="13.5" thickBot="1" x14ac:dyDescent="0.25">
      <c r="A6" s="113"/>
      <c r="B6" s="257" t="s">
        <v>177</v>
      </c>
      <c r="C6" s="258" t="s">
        <v>178</v>
      </c>
      <c r="D6" s="2020"/>
      <c r="E6" s="2020"/>
      <c r="F6" s="2020"/>
      <c r="G6" s="259">
        <v>1</v>
      </c>
      <c r="H6" s="121">
        <v>-3</v>
      </c>
      <c r="I6" s="260">
        <v>-2</v>
      </c>
      <c r="J6" s="260">
        <v>-1</v>
      </c>
      <c r="K6" s="260">
        <v>-1</v>
      </c>
      <c r="L6" s="260">
        <v>0</v>
      </c>
      <c r="M6" s="260">
        <v>1</v>
      </c>
      <c r="N6" s="260">
        <v>2</v>
      </c>
    </row>
    <row r="7" spans="1:14" ht="15" x14ac:dyDescent="0.25">
      <c r="A7" s="124">
        <v>1</v>
      </c>
      <c r="B7" s="338" t="s">
        <v>304</v>
      </c>
      <c r="C7" s="262"/>
      <c r="D7" s="263"/>
      <c r="E7" s="264" t="s">
        <v>305</v>
      </c>
      <c r="F7" s="265"/>
      <c r="G7" s="266" t="e">
        <f>G11+G27</f>
        <v>#REF!</v>
      </c>
      <c r="H7" s="1488">
        <f>H8+H9+H10</f>
        <v>1307430</v>
      </c>
      <c r="I7" s="1749">
        <f>SUM(I8,I9,I10)</f>
        <v>361667</v>
      </c>
      <c r="J7" s="1174">
        <f>J8+J9+J10</f>
        <v>259259</v>
      </c>
      <c r="K7" s="1174">
        <f>SUM(K8,K9,K10)</f>
        <v>304834</v>
      </c>
      <c r="L7" s="1159">
        <f>SUM(L8,L9,L10)</f>
        <v>287204</v>
      </c>
      <c r="M7" s="1174">
        <f>SUM(M8,M9,M10)</f>
        <v>275707</v>
      </c>
      <c r="N7" s="1174">
        <f>SUM(N8,N9,N10)</f>
        <v>265707</v>
      </c>
    </row>
    <row r="8" spans="1:14" x14ac:dyDescent="0.2">
      <c r="A8" s="131">
        <f t="shared" ref="A8:A21" si="0">A7+1</f>
        <v>2</v>
      </c>
      <c r="B8" s="132" t="s">
        <v>180</v>
      </c>
      <c r="C8" s="626" t="s">
        <v>181</v>
      </c>
      <c r="D8" s="627"/>
      <c r="E8" s="628"/>
      <c r="F8" s="629"/>
      <c r="G8" s="630" t="e">
        <f>G12+G28</f>
        <v>#REF!</v>
      </c>
      <c r="H8" s="711">
        <f>H12+H28+H48</f>
        <v>154234</v>
      </c>
      <c r="I8" s="693">
        <f>SUM(I12+I28+I48)</f>
        <v>139255</v>
      </c>
      <c r="J8" s="631">
        <f>J13+J29+J49</f>
        <v>124255</v>
      </c>
      <c r="K8" s="631">
        <f>SUM(K12+K28+K48)</f>
        <v>145249</v>
      </c>
      <c r="L8" s="709">
        <f>SUM(L12+L28)</f>
        <v>137000</v>
      </c>
      <c r="M8" s="631">
        <f>SUM(M12+M28)</f>
        <v>137900</v>
      </c>
      <c r="N8" s="631">
        <f>SUM(N12+N28)</f>
        <v>137900</v>
      </c>
    </row>
    <row r="9" spans="1:14" x14ac:dyDescent="0.2">
      <c r="A9" s="131">
        <f t="shared" si="0"/>
        <v>3</v>
      </c>
      <c r="B9" s="132" t="s">
        <v>182</v>
      </c>
      <c r="C9" s="701" t="s">
        <v>183</v>
      </c>
      <c r="D9" s="702"/>
      <c r="E9" s="703"/>
      <c r="F9" s="704"/>
      <c r="G9" s="705" t="e">
        <f>#REF!</f>
        <v>#REF!</v>
      </c>
      <c r="H9" s="718">
        <f>H23+H37</f>
        <v>3242</v>
      </c>
      <c r="I9" s="706">
        <f t="shared" ref="I9:M9" si="1">I23+I37</f>
        <v>88920</v>
      </c>
      <c r="J9" s="1034">
        <f t="shared" si="1"/>
        <v>0</v>
      </c>
      <c r="K9" s="707">
        <f>K23+K37</f>
        <v>9381</v>
      </c>
      <c r="L9" s="707">
        <f t="shared" si="1"/>
        <v>0</v>
      </c>
      <c r="M9" s="1034">
        <f t="shared" si="1"/>
        <v>0</v>
      </c>
      <c r="N9" s="707">
        <f>N23</f>
        <v>0</v>
      </c>
    </row>
    <row r="10" spans="1:14" ht="13.5" thickBot="1" x14ac:dyDescent="0.25">
      <c r="A10" s="131">
        <f t="shared" si="0"/>
        <v>4</v>
      </c>
      <c r="B10" s="135"/>
      <c r="C10" s="650" t="s">
        <v>184</v>
      </c>
      <c r="D10" s="651"/>
      <c r="E10" s="652"/>
      <c r="F10" s="653"/>
      <c r="G10" s="729">
        <v>0</v>
      </c>
      <c r="H10" s="773">
        <f t="shared" ref="H10:N10" si="2">H42</f>
        <v>1149954</v>
      </c>
      <c r="I10" s="745">
        <f t="shared" si="2"/>
        <v>133492</v>
      </c>
      <c r="J10" s="746">
        <f t="shared" si="2"/>
        <v>135004</v>
      </c>
      <c r="K10" s="746">
        <f t="shared" si="2"/>
        <v>150204</v>
      </c>
      <c r="L10" s="747">
        <f t="shared" si="2"/>
        <v>150204</v>
      </c>
      <c r="M10" s="746">
        <f t="shared" si="2"/>
        <v>137807</v>
      </c>
      <c r="N10" s="746">
        <f t="shared" si="2"/>
        <v>127807</v>
      </c>
    </row>
    <row r="11" spans="1:14" ht="13.5" thickTop="1" x14ac:dyDescent="0.2">
      <c r="A11" s="131">
        <f t="shared" si="0"/>
        <v>5</v>
      </c>
      <c r="B11" s="136">
        <v>1</v>
      </c>
      <c r="C11" s="237" t="s">
        <v>306</v>
      </c>
      <c r="D11" s="138"/>
      <c r="E11" s="138"/>
      <c r="F11" s="139"/>
      <c r="G11" s="140" t="e">
        <f>SUM(G13)+#REF!</f>
        <v>#REF!</v>
      </c>
      <c r="H11" s="614">
        <f>H12+H23</f>
        <v>124950</v>
      </c>
      <c r="I11" s="1439">
        <f t="shared" ref="I11:N12" si="3">I12</f>
        <v>123910</v>
      </c>
      <c r="J11" s="614">
        <f>J12+J23</f>
        <v>119950</v>
      </c>
      <c r="K11" s="1439">
        <f t="shared" si="3"/>
        <v>135202</v>
      </c>
      <c r="L11" s="614">
        <f>L12+L23</f>
        <v>130400</v>
      </c>
      <c r="M11" s="1439">
        <f t="shared" si="3"/>
        <v>131300</v>
      </c>
      <c r="N11" s="614">
        <f t="shared" si="3"/>
        <v>131300</v>
      </c>
    </row>
    <row r="12" spans="1:14" s="190" customFormat="1" x14ac:dyDescent="0.2">
      <c r="A12" s="131">
        <f t="shared" si="0"/>
        <v>6</v>
      </c>
      <c r="B12" s="151"/>
      <c r="C12" s="152"/>
      <c r="D12" s="134" t="s">
        <v>181</v>
      </c>
      <c r="E12" s="153"/>
      <c r="F12" s="154"/>
      <c r="G12" s="155" t="e">
        <f>G13</f>
        <v>#REF!</v>
      </c>
      <c r="H12" s="583">
        <f>H13</f>
        <v>124950</v>
      </c>
      <c r="I12" s="273">
        <f t="shared" si="3"/>
        <v>123910</v>
      </c>
      <c r="J12" s="583">
        <f>J13</f>
        <v>119950</v>
      </c>
      <c r="K12" s="273">
        <f t="shared" si="3"/>
        <v>135202</v>
      </c>
      <c r="L12" s="583">
        <f t="shared" si="3"/>
        <v>130400</v>
      </c>
      <c r="M12" s="273">
        <f t="shared" si="3"/>
        <v>131300</v>
      </c>
      <c r="N12" s="583">
        <f t="shared" si="3"/>
        <v>131300</v>
      </c>
    </row>
    <row r="13" spans="1:14" x14ac:dyDescent="0.2">
      <c r="A13" s="131">
        <f t="shared" si="0"/>
        <v>7</v>
      </c>
      <c r="B13" s="184"/>
      <c r="C13" s="275" t="s">
        <v>307</v>
      </c>
      <c r="D13" s="192" t="s">
        <v>308</v>
      </c>
      <c r="E13" s="276"/>
      <c r="F13" s="277"/>
      <c r="G13" s="194" t="e">
        <f>SUM(#REF!)</f>
        <v>#REF!</v>
      </c>
      <c r="H13" s="584">
        <f>SUM(H14:H22)</f>
        <v>124950</v>
      </c>
      <c r="I13" s="387">
        <f>SUM(I17,I18,I20,I21,I22)+I14+I15+I16+I19</f>
        <v>123910</v>
      </c>
      <c r="J13" s="584">
        <f>SUM(J14:J22)</f>
        <v>119950</v>
      </c>
      <c r="K13" s="387">
        <f>SUM(K14:K22)</f>
        <v>135202</v>
      </c>
      <c r="L13" s="584">
        <f>SUM(L17,L18,L20,L21,L22)+L14+L15+L16+L19</f>
        <v>130400</v>
      </c>
      <c r="M13" s="387">
        <f>SUM(M14:M22)</f>
        <v>131300</v>
      </c>
      <c r="N13" s="584">
        <f>SUM(N14:N22)</f>
        <v>131300</v>
      </c>
    </row>
    <row r="14" spans="1:14" x14ac:dyDescent="0.2">
      <c r="A14" s="131">
        <v>8</v>
      </c>
      <c r="B14" s="184"/>
      <c r="C14" s="637"/>
      <c r="D14" s="638">
        <v>1</v>
      </c>
      <c r="E14" s="201" t="s">
        <v>191</v>
      </c>
      <c r="F14" s="202"/>
      <c r="G14" s="183"/>
      <c r="H14" s="586">
        <f>výdavky!F239</f>
        <v>35000</v>
      </c>
      <c r="I14" s="279">
        <f>výdavky!G239</f>
        <v>35000</v>
      </c>
      <c r="J14" s="586">
        <f>výdavky!H239</f>
        <v>35000</v>
      </c>
      <c r="K14" s="279">
        <f>výdavky!I239</f>
        <v>34450</v>
      </c>
      <c r="L14" s="586">
        <f>výdavky!J239</f>
        <v>35000</v>
      </c>
      <c r="M14" s="279">
        <f>výdavky!K239</f>
        <v>35000</v>
      </c>
      <c r="N14" s="586">
        <f>výdavky!L239</f>
        <v>35000</v>
      </c>
    </row>
    <row r="15" spans="1:14" x14ac:dyDescent="0.2">
      <c r="A15" s="131">
        <v>9</v>
      </c>
      <c r="B15" s="184"/>
      <c r="C15" s="637"/>
      <c r="D15" s="638">
        <v>2</v>
      </c>
      <c r="E15" s="201" t="s">
        <v>656</v>
      </c>
      <c r="F15" s="202"/>
      <c r="G15" s="183"/>
      <c r="H15" s="586">
        <f>výdavky!F241</f>
        <v>12300</v>
      </c>
      <c r="I15" s="279">
        <f>výdavky!G241+výdavky!G254</f>
        <v>12300</v>
      </c>
      <c r="J15" s="586">
        <f>výdavky!H241</f>
        <v>12300</v>
      </c>
      <c r="K15" s="279">
        <f>výdavky!I241</f>
        <v>12000</v>
      </c>
      <c r="L15" s="586">
        <f>výdavky!J241</f>
        <v>12300</v>
      </c>
      <c r="M15" s="279">
        <f>výdavky!K241</f>
        <v>12300</v>
      </c>
      <c r="N15" s="586">
        <f>výdavky!L241</f>
        <v>12300</v>
      </c>
    </row>
    <row r="16" spans="1:14" x14ac:dyDescent="0.2">
      <c r="A16" s="131">
        <v>10</v>
      </c>
      <c r="B16" s="184"/>
      <c r="C16" s="637"/>
      <c r="D16" s="638">
        <v>3</v>
      </c>
      <c r="E16" s="201" t="s">
        <v>197</v>
      </c>
      <c r="F16" s="202"/>
      <c r="G16" s="183"/>
      <c r="H16" s="586">
        <f>výdavky!F243</f>
        <v>550</v>
      </c>
      <c r="I16" s="279">
        <f>výdavky!G243</f>
        <v>850</v>
      </c>
      <c r="J16" s="586">
        <f>výdavky!H243</f>
        <v>550</v>
      </c>
      <c r="K16" s="279">
        <f>výdavky!I243</f>
        <v>1500</v>
      </c>
      <c r="L16" s="586">
        <f>výdavky!J243</f>
        <v>1000</v>
      </c>
      <c r="M16" s="279">
        <f>výdavky!K243</f>
        <v>1000</v>
      </c>
      <c r="N16" s="586">
        <f>výdavky!L243</f>
        <v>1000</v>
      </c>
    </row>
    <row r="17" spans="1:14" x14ac:dyDescent="0.2">
      <c r="A17" s="131">
        <v>11</v>
      </c>
      <c r="B17" s="184"/>
      <c r="C17" s="213" t="s">
        <v>198</v>
      </c>
      <c r="D17" s="214" t="s">
        <v>230</v>
      </c>
      <c r="E17" s="172" t="s">
        <v>199</v>
      </c>
      <c r="F17" s="202"/>
      <c r="G17" s="203"/>
      <c r="H17" s="586">
        <f>výdavky!F244</f>
        <v>5500</v>
      </c>
      <c r="I17" s="279">
        <f>výdavky!G244</f>
        <v>5500</v>
      </c>
      <c r="J17" s="586">
        <f>výdavky!H244</f>
        <v>5500</v>
      </c>
      <c r="K17" s="279">
        <f>výdavky!I244</f>
        <v>2000</v>
      </c>
      <c r="L17" s="586">
        <f>výdavky!J244</f>
        <v>2000</v>
      </c>
      <c r="M17" s="279">
        <f>výdavky!K244</f>
        <v>2000</v>
      </c>
      <c r="N17" s="586">
        <f>výdavky!L244</f>
        <v>2000</v>
      </c>
    </row>
    <row r="18" spans="1:14" x14ac:dyDescent="0.2">
      <c r="A18" s="131">
        <f t="shared" si="0"/>
        <v>12</v>
      </c>
      <c r="B18" s="184"/>
      <c r="C18" s="213" t="s">
        <v>200</v>
      </c>
      <c r="D18" s="214" t="s">
        <v>232</v>
      </c>
      <c r="E18" s="172" t="s">
        <v>201</v>
      </c>
      <c r="F18" s="202"/>
      <c r="G18" s="203"/>
      <c r="H18" s="586">
        <f>výdavky!F245</f>
        <v>10000</v>
      </c>
      <c r="I18" s="279">
        <f>výdavky!G245</f>
        <v>22660</v>
      </c>
      <c r="J18" s="586">
        <f>výdavky!H245</f>
        <v>10000</v>
      </c>
      <c r="K18" s="279">
        <f>výdavky!I245-výdavky!I248</f>
        <v>20000</v>
      </c>
      <c r="L18" s="586">
        <f>výdavky!J245</f>
        <v>18000</v>
      </c>
      <c r="M18" s="279">
        <f>výdavky!K245</f>
        <v>18000</v>
      </c>
      <c r="N18" s="586">
        <f>výdavky!L245</f>
        <v>18000</v>
      </c>
    </row>
    <row r="19" spans="1:14" x14ac:dyDescent="0.2">
      <c r="A19" s="131">
        <v>13</v>
      </c>
      <c r="B19" s="184"/>
      <c r="C19" s="213" t="s">
        <v>200</v>
      </c>
      <c r="D19" s="214" t="s">
        <v>236</v>
      </c>
      <c r="E19" s="172" t="s">
        <v>472</v>
      </c>
      <c r="F19" s="202"/>
      <c r="G19" s="203"/>
      <c r="H19" s="586">
        <f>výdavky!F248</f>
        <v>1500</v>
      </c>
      <c r="I19" s="279">
        <f>výdavky!G248</f>
        <v>1500</v>
      </c>
      <c r="J19" s="586">
        <f>výdavky!H248</f>
        <v>1500</v>
      </c>
      <c r="K19" s="279">
        <f>výdavky!I248</f>
        <v>2152</v>
      </c>
      <c r="L19" s="586">
        <f>výdavky!J248</f>
        <v>2000</v>
      </c>
      <c r="M19" s="279">
        <f>výdavky!K248</f>
        <v>2000</v>
      </c>
      <c r="N19" s="586">
        <f>výdavky!L248</f>
        <v>2000</v>
      </c>
    </row>
    <row r="20" spans="1:14" x14ac:dyDescent="0.2">
      <c r="A20" s="131">
        <v>14</v>
      </c>
      <c r="B20" s="184"/>
      <c r="C20" s="213" t="s">
        <v>202</v>
      </c>
      <c r="D20" s="214" t="s">
        <v>238</v>
      </c>
      <c r="E20" s="172" t="s">
        <v>278</v>
      </c>
      <c r="F20" s="202"/>
      <c r="G20" s="203"/>
      <c r="H20" s="586">
        <f>výdavky!F249</f>
        <v>100</v>
      </c>
      <c r="I20" s="279">
        <f>výdavky!G249</f>
        <v>100</v>
      </c>
      <c r="J20" s="586">
        <f>výdavky!H249</f>
        <v>100</v>
      </c>
      <c r="K20" s="279">
        <f>výdavky!I249</f>
        <v>100</v>
      </c>
      <c r="L20" s="586">
        <f>výdavky!J249</f>
        <v>100</v>
      </c>
      <c r="M20" s="279">
        <f>výdavky!K249</f>
        <v>1000</v>
      </c>
      <c r="N20" s="586">
        <f>výdavky!L249</f>
        <v>1000</v>
      </c>
    </row>
    <row r="21" spans="1:14" x14ac:dyDescent="0.2">
      <c r="A21" s="131">
        <f t="shared" si="0"/>
        <v>15</v>
      </c>
      <c r="B21" s="184"/>
      <c r="C21" s="213" t="s">
        <v>206</v>
      </c>
      <c r="D21" s="214" t="s">
        <v>266</v>
      </c>
      <c r="E21" s="172" t="s">
        <v>309</v>
      </c>
      <c r="F21" s="202"/>
      <c r="G21" s="203"/>
      <c r="H21" s="586">
        <f>výdavky!F251</f>
        <v>50000</v>
      </c>
      <c r="I21" s="279">
        <f>výdavky!G251</f>
        <v>41000</v>
      </c>
      <c r="J21" s="586">
        <f>výdavky!H251+výdavky!H252</f>
        <v>55000</v>
      </c>
      <c r="K21" s="279">
        <f>výdavky!I251</f>
        <v>55000</v>
      </c>
      <c r="L21" s="586">
        <f>výdavky!J251</f>
        <v>55000</v>
      </c>
      <c r="M21" s="279">
        <f>výdavky!K251</f>
        <v>55000</v>
      </c>
      <c r="N21" s="586">
        <f>výdavky!L251</f>
        <v>55000</v>
      </c>
    </row>
    <row r="22" spans="1:14" x14ac:dyDescent="0.2">
      <c r="A22" s="131">
        <v>16</v>
      </c>
      <c r="B22" s="184"/>
      <c r="C22" s="213" t="s">
        <v>206</v>
      </c>
      <c r="D22" s="214" t="s">
        <v>268</v>
      </c>
      <c r="E22" s="172" t="s">
        <v>310</v>
      </c>
      <c r="F22" s="202"/>
      <c r="G22" s="203"/>
      <c r="H22" s="586">
        <f>výdavky!F252+výdavky!F254</f>
        <v>10000</v>
      </c>
      <c r="I22" s="279">
        <f>SUM(výdavky!G252)</f>
        <v>5000</v>
      </c>
      <c r="J22" s="586">
        <f>výdavky!GH252+výdavky!H254</f>
        <v>0</v>
      </c>
      <c r="K22" s="279">
        <f>výdavky!I252+výdavky!I254</f>
        <v>8000</v>
      </c>
      <c r="L22" s="586">
        <f>výdavky!J252+výdavky!J254</f>
        <v>5000</v>
      </c>
      <c r="M22" s="279">
        <f>výdavky!K252</f>
        <v>5000</v>
      </c>
      <c r="N22" s="586">
        <f>výdavky!L252</f>
        <v>5000</v>
      </c>
    </row>
    <row r="23" spans="1:14" x14ac:dyDescent="0.2">
      <c r="A23" s="131">
        <v>17</v>
      </c>
      <c r="B23" s="157"/>
      <c r="C23" s="165"/>
      <c r="D23" s="604" t="s">
        <v>183</v>
      </c>
      <c r="E23" s="606"/>
      <c r="F23" s="610"/>
      <c r="G23" s="611">
        <f>G25</f>
        <v>0</v>
      </c>
      <c r="H23" s="615">
        <f t="shared" ref="H23:N23" si="4">H24</f>
        <v>0</v>
      </c>
      <c r="I23" s="618">
        <f t="shared" si="4"/>
        <v>88920</v>
      </c>
      <c r="J23" s="615">
        <f t="shared" si="4"/>
        <v>0</v>
      </c>
      <c r="K23" s="618">
        <f t="shared" si="4"/>
        <v>5040</v>
      </c>
      <c r="L23" s="615">
        <f t="shared" si="4"/>
        <v>0</v>
      </c>
      <c r="M23" s="618">
        <f t="shared" si="4"/>
        <v>0</v>
      </c>
      <c r="N23" s="615">
        <f t="shared" si="4"/>
        <v>0</v>
      </c>
    </row>
    <row r="24" spans="1:14" x14ac:dyDescent="0.2">
      <c r="A24" s="131">
        <f t="shared" ref="A24:A29" si="5">A23+1</f>
        <v>18</v>
      </c>
      <c r="B24" s="157"/>
      <c r="C24" s="158" t="s">
        <v>311</v>
      </c>
      <c r="D24" s="159" t="s">
        <v>308</v>
      </c>
      <c r="E24" s="160"/>
      <c r="F24" s="161"/>
      <c r="G24" s="162">
        <f>SUM(G25:G29)</f>
        <v>234.29999999999998</v>
      </c>
      <c r="H24" s="584">
        <f>H25+H26</f>
        <v>0</v>
      </c>
      <c r="I24" s="387">
        <f>SUM(I25,I26)</f>
        <v>88920</v>
      </c>
      <c r="J24" s="584">
        <f>J25+J26</f>
        <v>0</v>
      </c>
      <c r="K24" s="387">
        <f>SUM(K25,K26)</f>
        <v>5040</v>
      </c>
      <c r="L24" s="584">
        <f>SUM(L25,L26)</f>
        <v>0</v>
      </c>
      <c r="M24" s="387">
        <f>M25+SUM(M25,M26)</f>
        <v>0</v>
      </c>
      <c r="N24" s="584">
        <f>N25+SUM(N25,N26)</f>
        <v>0</v>
      </c>
    </row>
    <row r="25" spans="1:14" x14ac:dyDescent="0.2">
      <c r="A25" s="131">
        <f t="shared" si="5"/>
        <v>19</v>
      </c>
      <c r="B25" s="184"/>
      <c r="C25" s="213" t="s">
        <v>273</v>
      </c>
      <c r="D25" s="214" t="s">
        <v>270</v>
      </c>
      <c r="E25" s="299" t="s">
        <v>456</v>
      </c>
      <c r="F25" s="182"/>
      <c r="G25" s="183"/>
      <c r="H25" s="586">
        <f>výdavky!F703+výdavky!F705+výdavky!F707+výdavky!F708</f>
        <v>0</v>
      </c>
      <c r="I25" s="279">
        <f>výdavky!G705+výdavky!G707+výdavky!G708</f>
        <v>88920</v>
      </c>
      <c r="J25" s="586">
        <f>výdavky!H705</f>
        <v>0</v>
      </c>
      <c r="K25" s="279">
        <f>výdavky!I705+výdavky!I707+výdavky!I708</f>
        <v>5040</v>
      </c>
      <c r="L25" s="586">
        <f>SUM(výdavky!J705+výdavky!J707+výdavky!J708)</f>
        <v>0</v>
      </c>
      <c r="M25" s="279">
        <f>výdavky!K705</f>
        <v>0</v>
      </c>
      <c r="N25" s="586">
        <f>výdavky!L705</f>
        <v>0</v>
      </c>
    </row>
    <row r="26" spans="1:14" x14ac:dyDescent="0.2">
      <c r="A26" s="131">
        <f t="shared" si="5"/>
        <v>20</v>
      </c>
      <c r="B26" s="184"/>
      <c r="C26" s="213" t="s">
        <v>329</v>
      </c>
      <c r="D26" s="214" t="s">
        <v>360</v>
      </c>
      <c r="E26" s="299" t="s">
        <v>544</v>
      </c>
      <c r="F26" s="182"/>
      <c r="G26" s="183"/>
      <c r="H26" s="586">
        <f>výdavky!F704</f>
        <v>0</v>
      </c>
      <c r="I26" s="279">
        <f>výdavky!G703+výdavky!G704</f>
        <v>0</v>
      </c>
      <c r="J26" s="586">
        <f>výdavky!H704</f>
        <v>0</v>
      </c>
      <c r="K26" s="279">
        <f>výdavky!I703+výdavky!I704</f>
        <v>0</v>
      </c>
      <c r="L26" s="586">
        <f>SUM(výdavky!J703+výdavky!J704)</f>
        <v>0</v>
      </c>
      <c r="M26" s="279">
        <f>výdavky!K704</f>
        <v>0</v>
      </c>
      <c r="N26" s="586">
        <f>výdavky!L704</f>
        <v>0</v>
      </c>
    </row>
    <row r="27" spans="1:14" x14ac:dyDescent="0.2">
      <c r="A27" s="131">
        <f t="shared" si="5"/>
        <v>21</v>
      </c>
      <c r="B27" s="136">
        <v>2</v>
      </c>
      <c r="C27" s="341" t="s">
        <v>312</v>
      </c>
      <c r="D27" s="138"/>
      <c r="E27" s="138"/>
      <c r="F27" s="139"/>
      <c r="G27" s="140">
        <f>SUM(G29)</f>
        <v>78.099999999999994</v>
      </c>
      <c r="H27" s="582">
        <f t="shared" ref="H27:N27" si="6">H28+H37+H42</f>
        <v>1182480</v>
      </c>
      <c r="I27" s="271">
        <f t="shared" si="6"/>
        <v>148837</v>
      </c>
      <c r="J27" s="1048">
        <f t="shared" si="6"/>
        <v>139309</v>
      </c>
      <c r="K27" s="271">
        <f t="shared" si="6"/>
        <v>164592</v>
      </c>
      <c r="L27" s="582">
        <f t="shared" si="6"/>
        <v>156804</v>
      </c>
      <c r="M27" s="1460">
        <f t="shared" si="6"/>
        <v>144407</v>
      </c>
      <c r="N27" s="582">
        <f t="shared" si="6"/>
        <v>134407</v>
      </c>
    </row>
    <row r="28" spans="1:14" s="190" customFormat="1" x14ac:dyDescent="0.2">
      <c r="A28" s="131">
        <f t="shared" si="5"/>
        <v>22</v>
      </c>
      <c r="B28" s="151"/>
      <c r="C28" s="342"/>
      <c r="D28" s="134" t="s">
        <v>181</v>
      </c>
      <c r="E28" s="153"/>
      <c r="F28" s="154"/>
      <c r="G28" s="155">
        <f>G29</f>
        <v>78.099999999999994</v>
      </c>
      <c r="H28" s="583">
        <f>H29</f>
        <v>29284</v>
      </c>
      <c r="I28" s="273">
        <f t="shared" ref="I28:N28" si="7">I29</f>
        <v>15345</v>
      </c>
      <c r="J28" s="583">
        <f>J29</f>
        <v>4305</v>
      </c>
      <c r="K28" s="273">
        <f t="shared" si="7"/>
        <v>10047</v>
      </c>
      <c r="L28" s="583">
        <f t="shared" si="7"/>
        <v>6600</v>
      </c>
      <c r="M28" s="273">
        <f t="shared" si="7"/>
        <v>6600</v>
      </c>
      <c r="N28" s="583">
        <f t="shared" si="7"/>
        <v>6600</v>
      </c>
    </row>
    <row r="29" spans="1:14" x14ac:dyDescent="0.2">
      <c r="A29" s="131">
        <f t="shared" si="5"/>
        <v>23</v>
      </c>
      <c r="B29" s="184"/>
      <c r="C29" s="343" t="s">
        <v>313</v>
      </c>
      <c r="D29" s="192" t="s">
        <v>312</v>
      </c>
      <c r="E29" s="276"/>
      <c r="F29" s="277"/>
      <c r="G29" s="194">
        <f>G41</f>
        <v>78.099999999999994</v>
      </c>
      <c r="H29" s="584">
        <f>SUM(H30:H36)</f>
        <v>29284</v>
      </c>
      <c r="I29" s="387">
        <f>SUM(I30,I31,I32,I33,I34,I35)+I36</f>
        <v>15345</v>
      </c>
      <c r="J29" s="584">
        <f>SUM(J30:J36)</f>
        <v>4305</v>
      </c>
      <c r="K29" s="387">
        <f>SUM(K30,K31,K32,K33,K34,K35,K36)</f>
        <v>10047</v>
      </c>
      <c r="L29" s="584">
        <f>L41+SUM(L30,L31,L32,L33,L34,L35)+L36</f>
        <v>6600</v>
      </c>
      <c r="M29" s="387">
        <f>M41+SUM(M30,M31,M32,M33,M34,M35)+M36</f>
        <v>6600</v>
      </c>
      <c r="N29" s="584">
        <f>N41+SUM(N30,N31,N32,N33,N34,N35)+N36</f>
        <v>6600</v>
      </c>
    </row>
    <row r="30" spans="1:14" x14ac:dyDescent="0.2">
      <c r="A30" s="131">
        <v>24</v>
      </c>
      <c r="B30" s="184"/>
      <c r="C30" s="213" t="s">
        <v>190</v>
      </c>
      <c r="D30" s="200">
        <v>1</v>
      </c>
      <c r="E30" s="201" t="s">
        <v>191</v>
      </c>
      <c r="F30" s="202"/>
      <c r="G30" s="203"/>
      <c r="H30" s="586">
        <f>výdavky!F257</f>
        <v>4755</v>
      </c>
      <c r="I30" s="279">
        <f>výdavky!G257</f>
        <v>0</v>
      </c>
      <c r="J30" s="586">
        <f>výdavky!H257</f>
        <v>0</v>
      </c>
      <c r="K30" s="279">
        <f>výdavky!I257</f>
        <v>0</v>
      </c>
      <c r="L30" s="586">
        <f>výdavky!J257</f>
        <v>0</v>
      </c>
      <c r="M30" s="279">
        <f>výdavky!K257</f>
        <v>0</v>
      </c>
      <c r="N30" s="586">
        <f>výdavky!L257</f>
        <v>0</v>
      </c>
    </row>
    <row r="31" spans="1:14" x14ac:dyDescent="0.2">
      <c r="A31" s="131">
        <v>25</v>
      </c>
      <c r="B31" s="184"/>
      <c r="C31" s="213" t="s">
        <v>192</v>
      </c>
      <c r="D31" s="200">
        <v>2</v>
      </c>
      <c r="E31" s="201" t="s">
        <v>193</v>
      </c>
      <c r="F31" s="202"/>
      <c r="G31" s="203"/>
      <c r="H31" s="586">
        <f>výdavky!F258</f>
        <v>2666</v>
      </c>
      <c r="I31" s="279">
        <f>výdavky!G258</f>
        <v>0</v>
      </c>
      <c r="J31" s="586">
        <f>výdavky!H258</f>
        <v>0</v>
      </c>
      <c r="K31" s="279">
        <f>výdavky!I258</f>
        <v>0</v>
      </c>
      <c r="L31" s="586">
        <f>výdavky!J258</f>
        <v>0</v>
      </c>
      <c r="M31" s="279">
        <f>výdavky!K258</f>
        <v>0</v>
      </c>
      <c r="N31" s="586">
        <f>výdavky!L258</f>
        <v>0</v>
      </c>
    </row>
    <row r="32" spans="1:14" x14ac:dyDescent="0.2">
      <c r="A32" s="131">
        <v>26</v>
      </c>
      <c r="B32" s="184"/>
      <c r="C32" s="213" t="s">
        <v>196</v>
      </c>
      <c r="D32" s="200">
        <v>3</v>
      </c>
      <c r="E32" s="201" t="s">
        <v>197</v>
      </c>
      <c r="F32" s="202"/>
      <c r="G32" s="203"/>
      <c r="H32" s="586">
        <f>výdavky!F259</f>
        <v>8530</v>
      </c>
      <c r="I32" s="279">
        <f>výdavky!G259</f>
        <v>0</v>
      </c>
      <c r="J32" s="586">
        <f>výdavky!H259</f>
        <v>0</v>
      </c>
      <c r="K32" s="279">
        <f>výdavky!I259</f>
        <v>0</v>
      </c>
      <c r="L32" s="586">
        <f>výdavky!J259</f>
        <v>0</v>
      </c>
      <c r="M32" s="279">
        <f>výdavky!K259</f>
        <v>0</v>
      </c>
      <c r="N32" s="586">
        <f>výdavky!L259</f>
        <v>0</v>
      </c>
    </row>
    <row r="33" spans="1:14" x14ac:dyDescent="0.2">
      <c r="A33" s="131">
        <v>27</v>
      </c>
      <c r="B33" s="184"/>
      <c r="C33" s="213" t="s">
        <v>198</v>
      </c>
      <c r="D33" s="200">
        <v>4</v>
      </c>
      <c r="E33" s="201" t="s">
        <v>199</v>
      </c>
      <c r="F33" s="202"/>
      <c r="G33" s="203"/>
      <c r="H33" s="586">
        <f>výdavky!F261</f>
        <v>400</v>
      </c>
      <c r="I33" s="279">
        <f>výdavky!G261</f>
        <v>0</v>
      </c>
      <c r="J33" s="586">
        <f>výdavky!H261</f>
        <v>0</v>
      </c>
      <c r="K33" s="279">
        <f>výdavky!I261</f>
        <v>0</v>
      </c>
      <c r="L33" s="586">
        <f>výdavky!J261</f>
        <v>0</v>
      </c>
      <c r="M33" s="279">
        <f>výdavky!K261</f>
        <v>0</v>
      </c>
      <c r="N33" s="586">
        <f>výdavky!L261</f>
        <v>0</v>
      </c>
    </row>
    <row r="34" spans="1:14" x14ac:dyDescent="0.2">
      <c r="A34" s="131">
        <v>28</v>
      </c>
      <c r="B34" s="184"/>
      <c r="C34" s="213" t="s">
        <v>200</v>
      </c>
      <c r="D34" s="200">
        <v>5</v>
      </c>
      <c r="E34" s="201" t="s">
        <v>201</v>
      </c>
      <c r="F34" s="202"/>
      <c r="G34" s="203"/>
      <c r="H34" s="586">
        <f>výdavky!F262</f>
        <v>4500</v>
      </c>
      <c r="I34" s="279">
        <f>výdavky!G262</f>
        <v>12500</v>
      </c>
      <c r="J34" s="586">
        <f>výdavky!H262</f>
        <v>3500</v>
      </c>
      <c r="K34" s="279">
        <f>výdavky!I262</f>
        <v>8800</v>
      </c>
      <c r="L34" s="586">
        <f>výdavky!J262</f>
        <v>6000</v>
      </c>
      <c r="M34" s="279">
        <f>výdavky!K262</f>
        <v>6000</v>
      </c>
      <c r="N34" s="586">
        <f>výdavky!L262</f>
        <v>6000</v>
      </c>
    </row>
    <row r="35" spans="1:14" x14ac:dyDescent="0.2">
      <c r="A35" s="131">
        <v>29</v>
      </c>
      <c r="B35" s="184"/>
      <c r="C35" s="213" t="s">
        <v>206</v>
      </c>
      <c r="D35" s="200">
        <v>6</v>
      </c>
      <c r="E35" s="201" t="s">
        <v>314</v>
      </c>
      <c r="F35" s="202"/>
      <c r="G35" s="203"/>
      <c r="H35" s="586">
        <f>výdavky!F267+výdavky!F266+výdavky!F269</f>
        <v>4300</v>
      </c>
      <c r="I35" s="279">
        <f>výdavky!G267+výdavky!G269+výdavky!G266</f>
        <v>2540</v>
      </c>
      <c r="J35" s="586">
        <f>výdavky!H267+výdavky!H266+výdavky!H269</f>
        <v>500</v>
      </c>
      <c r="K35" s="279">
        <f>výdavky!I267+výdavky!I266+výdavky!I269+výdavky!I265</f>
        <v>1247</v>
      </c>
      <c r="L35" s="586">
        <f>výdavky!HJ63+výdavky!J266</f>
        <v>500</v>
      </c>
      <c r="M35" s="279">
        <f>výdavky!K267+výdavky!K266</f>
        <v>500</v>
      </c>
      <c r="N35" s="586">
        <f>výdavky!L267+výdavky!L266</f>
        <v>500</v>
      </c>
    </row>
    <row r="36" spans="1:14" x14ac:dyDescent="0.2">
      <c r="A36" s="131">
        <v>30</v>
      </c>
      <c r="B36" s="184"/>
      <c r="C36" s="213" t="s">
        <v>206</v>
      </c>
      <c r="D36" s="200">
        <v>7</v>
      </c>
      <c r="E36" s="201" t="s">
        <v>315</v>
      </c>
      <c r="F36" s="202"/>
      <c r="G36" s="203"/>
      <c r="H36" s="586">
        <f>výdavky!F265+výdavky!F270</f>
        <v>4133</v>
      </c>
      <c r="I36" s="279">
        <f>+výdavky!G265+výdavky!G270</f>
        <v>305</v>
      </c>
      <c r="J36" s="586">
        <f>výdavky!H265</f>
        <v>305</v>
      </c>
      <c r="K36" s="279">
        <f>výdavky!I270</f>
        <v>0</v>
      </c>
      <c r="L36" s="586">
        <f>výdavky!J265</f>
        <v>100</v>
      </c>
      <c r="M36" s="279">
        <f>výdavky!K265</f>
        <v>100</v>
      </c>
      <c r="N36" s="586">
        <f>výdavky!L265</f>
        <v>100</v>
      </c>
    </row>
    <row r="37" spans="1:14" x14ac:dyDescent="0.2">
      <c r="A37" s="131">
        <v>31</v>
      </c>
      <c r="B37" s="184"/>
      <c r="C37" s="213"/>
      <c r="D37" s="2029" t="s">
        <v>183</v>
      </c>
      <c r="E37" s="2029"/>
      <c r="F37" s="635"/>
      <c r="G37" s="632"/>
      <c r="H37" s="783">
        <f>H38</f>
        <v>3242</v>
      </c>
      <c r="I37" s="634">
        <f>SUM(I38)</f>
        <v>0</v>
      </c>
      <c r="J37" s="783">
        <f>J38</f>
        <v>0</v>
      </c>
      <c r="K37" s="634">
        <f>SUM(K38)</f>
        <v>4341</v>
      </c>
      <c r="L37" s="783">
        <f>SUM(L38)</f>
        <v>0</v>
      </c>
      <c r="M37" s="634">
        <f>SUM(M38)</f>
        <v>0</v>
      </c>
      <c r="N37" s="783">
        <f>SUM(N38)</f>
        <v>0</v>
      </c>
    </row>
    <row r="38" spans="1:14" x14ac:dyDescent="0.2">
      <c r="A38" s="131">
        <v>32</v>
      </c>
      <c r="B38" s="184"/>
      <c r="C38" s="343" t="s">
        <v>313</v>
      </c>
      <c r="D38" s="2028" t="s">
        <v>312</v>
      </c>
      <c r="E38" s="2028"/>
      <c r="F38" s="277"/>
      <c r="G38" s="194"/>
      <c r="H38" s="584">
        <f>H39+H40+H41</f>
        <v>3242</v>
      </c>
      <c r="I38" s="1440">
        <f>SUM(I39,I40,I41)</f>
        <v>0</v>
      </c>
      <c r="J38" s="1448">
        <f>SUM(J39:J41)</f>
        <v>0</v>
      </c>
      <c r="K38" s="1440">
        <f>SUM(K39,K40,K41)</f>
        <v>4341</v>
      </c>
      <c r="L38" s="1448">
        <f>SUM(L39,L40,L41)</f>
        <v>0</v>
      </c>
      <c r="M38" s="1440">
        <f>SUM(M39,M40,M41)</f>
        <v>0</v>
      </c>
      <c r="N38" s="1448">
        <f>SUM(N39,N40,N41)</f>
        <v>0</v>
      </c>
    </row>
    <row r="39" spans="1:14" x14ac:dyDescent="0.2">
      <c r="A39" s="131">
        <v>33</v>
      </c>
      <c r="B39" s="184"/>
      <c r="C39" s="213" t="s">
        <v>291</v>
      </c>
      <c r="D39" s="200">
        <v>8</v>
      </c>
      <c r="E39" s="201" t="s">
        <v>615</v>
      </c>
      <c r="F39" s="173"/>
      <c r="G39" s="346"/>
      <c r="H39" s="781">
        <f>výdavky!F700</f>
        <v>0</v>
      </c>
      <c r="I39" s="279">
        <f>výdavky!G711</f>
        <v>0</v>
      </c>
      <c r="J39" s="586">
        <f>výdavky!H711</f>
        <v>0</v>
      </c>
      <c r="K39" s="279">
        <f>výdavky!I700</f>
        <v>0</v>
      </c>
      <c r="L39" s="586">
        <f>výdavky!J699</f>
        <v>0</v>
      </c>
      <c r="M39" s="279">
        <f>výdavky!K699</f>
        <v>0</v>
      </c>
      <c r="N39" s="586">
        <f>výdavky!L699</f>
        <v>0</v>
      </c>
    </row>
    <row r="40" spans="1:14" x14ac:dyDescent="0.2">
      <c r="A40" s="131">
        <v>34</v>
      </c>
      <c r="B40" s="184"/>
      <c r="C40" s="213"/>
      <c r="D40" s="347">
        <v>9</v>
      </c>
      <c r="E40" s="201" t="s">
        <v>316</v>
      </c>
      <c r="F40" s="348"/>
      <c r="G40" s="349"/>
      <c r="H40" s="786">
        <f>výdavky!F712</f>
        <v>3242</v>
      </c>
      <c r="I40" s="572">
        <f>výdavky!G712</f>
        <v>0</v>
      </c>
      <c r="J40" s="589">
        <f>výdavky!H710</f>
        <v>0</v>
      </c>
      <c r="K40" s="572">
        <f>výdavky!I710</f>
        <v>4341</v>
      </c>
      <c r="L40" s="589">
        <f>výdavky!J712</f>
        <v>0</v>
      </c>
      <c r="M40" s="572">
        <f>výdavky!K712</f>
        <v>0</v>
      </c>
      <c r="N40" s="589"/>
    </row>
    <row r="41" spans="1:14" s="190" customFormat="1" x14ac:dyDescent="0.2">
      <c r="A41" s="131">
        <v>35</v>
      </c>
      <c r="B41" s="189"/>
      <c r="C41" s="213"/>
      <c r="D41" s="200">
        <v>10</v>
      </c>
      <c r="E41" s="201" t="s">
        <v>456</v>
      </c>
      <c r="F41" s="202"/>
      <c r="G41" s="183">
        <v>78.099999999999994</v>
      </c>
      <c r="H41" s="586">
        <f>výdavky!F714</f>
        <v>0</v>
      </c>
      <c r="I41" s="279">
        <f>výdavky!G714</f>
        <v>0</v>
      </c>
      <c r="J41" s="586">
        <f>výdavky!H714</f>
        <v>0</v>
      </c>
      <c r="K41" s="279">
        <f>výdavky!I714</f>
        <v>0</v>
      </c>
      <c r="L41" s="586">
        <f>výdavky!J714</f>
        <v>0</v>
      </c>
      <c r="M41" s="279">
        <f>výdavky!K714</f>
        <v>0</v>
      </c>
      <c r="N41" s="586">
        <f>výdavky!L714</f>
        <v>0</v>
      </c>
    </row>
    <row r="42" spans="1:14" s="190" customFormat="1" x14ac:dyDescent="0.2">
      <c r="A42" s="131">
        <v>36</v>
      </c>
      <c r="B42" s="164"/>
      <c r="C42" s="1464"/>
      <c r="D42" s="738" t="s">
        <v>184</v>
      </c>
      <c r="E42" s="739"/>
      <c r="F42" s="1404"/>
      <c r="G42" s="169"/>
      <c r="H42" s="1437">
        <f t="shared" ref="H42:N42" si="8">H43</f>
        <v>1149954</v>
      </c>
      <c r="I42" s="1441">
        <f t="shared" si="8"/>
        <v>133492</v>
      </c>
      <c r="J42" s="1437">
        <f t="shared" si="8"/>
        <v>135004</v>
      </c>
      <c r="K42" s="1441">
        <f>K43</f>
        <v>150204</v>
      </c>
      <c r="L42" s="1437">
        <f t="shared" si="8"/>
        <v>150204</v>
      </c>
      <c r="M42" s="1441">
        <f t="shared" si="8"/>
        <v>137807</v>
      </c>
      <c r="N42" s="1437">
        <f t="shared" si="8"/>
        <v>127807</v>
      </c>
    </row>
    <row r="43" spans="1:14" s="190" customFormat="1" x14ac:dyDescent="0.2">
      <c r="A43" s="131">
        <v>37</v>
      </c>
      <c r="B43" s="164"/>
      <c r="C43" s="1465" t="s">
        <v>313</v>
      </c>
      <c r="D43" s="2030" t="s">
        <v>312</v>
      </c>
      <c r="E43" s="2030"/>
      <c r="F43" s="1375"/>
      <c r="G43" s="169"/>
      <c r="H43" s="1438">
        <f t="shared" ref="H43:N43" si="9">H44+H45+H46</f>
        <v>1149954</v>
      </c>
      <c r="I43" s="1442">
        <f t="shared" si="9"/>
        <v>133492</v>
      </c>
      <c r="J43" s="1438">
        <f t="shared" si="9"/>
        <v>135004</v>
      </c>
      <c r="K43" s="1442">
        <f t="shared" si="9"/>
        <v>150204</v>
      </c>
      <c r="L43" s="1438">
        <f t="shared" si="9"/>
        <v>150204</v>
      </c>
      <c r="M43" s="1442">
        <f t="shared" si="9"/>
        <v>137807</v>
      </c>
      <c r="N43" s="1438">
        <f t="shared" si="9"/>
        <v>127807</v>
      </c>
    </row>
    <row r="44" spans="1:14" s="190" customFormat="1" x14ac:dyDescent="0.2">
      <c r="A44" s="131">
        <v>38</v>
      </c>
      <c r="B44" s="164"/>
      <c r="C44" s="1464"/>
      <c r="D44" s="1461">
        <v>12</v>
      </c>
      <c r="E44" s="622" t="s">
        <v>801</v>
      </c>
      <c r="F44" s="1463"/>
      <c r="G44" s="169"/>
      <c r="H44" s="590">
        <f>výdavky!F787</f>
        <v>38700</v>
      </c>
      <c r="I44" s="576">
        <f>výdavky!G787</f>
        <v>46900</v>
      </c>
      <c r="J44" s="590">
        <f>výdavky!H787</f>
        <v>40000</v>
      </c>
      <c r="K44" s="576">
        <f>výdavky!I787</f>
        <v>55200</v>
      </c>
      <c r="L44" s="590">
        <f>výdavky!J787</f>
        <v>55200</v>
      </c>
      <c r="M44" s="576">
        <f>výdavky!K787</f>
        <v>30000</v>
      </c>
      <c r="N44" s="590">
        <f>výdavky!L787</f>
        <v>20000</v>
      </c>
    </row>
    <row r="45" spans="1:14" s="190" customFormat="1" x14ac:dyDescent="0.2">
      <c r="A45" s="131">
        <v>39</v>
      </c>
      <c r="B45" s="164"/>
      <c r="C45" s="1464"/>
      <c r="D45" s="1461">
        <v>13</v>
      </c>
      <c r="E45" s="622" t="s">
        <v>945</v>
      </c>
      <c r="F45" s="1463"/>
      <c r="G45" s="169"/>
      <c r="H45" s="590">
        <f>výdavky!F789</f>
        <v>1033074</v>
      </c>
      <c r="I45" s="576">
        <f>výdavky!G789</f>
        <v>0</v>
      </c>
      <c r="J45" s="590">
        <f>výdavky!H789</f>
        <v>0</v>
      </c>
      <c r="K45" s="576">
        <f>výdavky!I789</f>
        <v>0</v>
      </c>
      <c r="L45" s="590">
        <f>výdavky!J789</f>
        <v>0</v>
      </c>
      <c r="M45" s="576">
        <f>výdavky!K789</f>
        <v>0</v>
      </c>
      <c r="N45" s="590">
        <f>výdavky!L789</f>
        <v>0</v>
      </c>
    </row>
    <row r="46" spans="1:14" s="190" customFormat="1" x14ac:dyDescent="0.2">
      <c r="A46" s="131">
        <v>40</v>
      </c>
      <c r="B46" s="164"/>
      <c r="C46" s="213"/>
      <c r="D46" s="1461">
        <v>14</v>
      </c>
      <c r="E46" s="622" t="s">
        <v>946</v>
      </c>
      <c r="F46" s="1462"/>
      <c r="G46" s="1466"/>
      <c r="H46" s="1467">
        <f>výdavky!F791</f>
        <v>78180</v>
      </c>
      <c r="I46" s="1468">
        <f>výdavky!G791</f>
        <v>86592</v>
      </c>
      <c r="J46" s="1467">
        <f>výdavky!H791</f>
        <v>95004</v>
      </c>
      <c r="K46" s="1468">
        <f>výdavky!I791</f>
        <v>95004</v>
      </c>
      <c r="L46" s="1467">
        <f>výdavky!I791</f>
        <v>95004</v>
      </c>
      <c r="M46" s="1468">
        <f>výdavky!K791</f>
        <v>107807</v>
      </c>
      <c r="N46" s="1467">
        <f>výdavky!L791</f>
        <v>107807</v>
      </c>
    </row>
    <row r="47" spans="1:14" x14ac:dyDescent="0.2">
      <c r="A47" s="131">
        <v>41</v>
      </c>
      <c r="B47" s="232">
        <v>3</v>
      </c>
      <c r="C47" s="341" t="s">
        <v>317</v>
      </c>
      <c r="D47" s="138"/>
      <c r="E47" s="138"/>
      <c r="F47" s="138"/>
      <c r="G47" s="351"/>
      <c r="H47" s="788">
        <f t="shared" ref="H47:N47" si="10">H48</f>
        <v>0</v>
      </c>
      <c r="I47" s="1443">
        <f t="shared" si="10"/>
        <v>0</v>
      </c>
      <c r="J47" s="1449">
        <f t="shared" si="10"/>
        <v>0</v>
      </c>
      <c r="K47" s="1454">
        <f t="shared" si="10"/>
        <v>0</v>
      </c>
      <c r="L47" s="1456">
        <f t="shared" si="10"/>
        <v>0</v>
      </c>
      <c r="M47" s="1454">
        <f t="shared" si="10"/>
        <v>0</v>
      </c>
      <c r="N47" s="1456">
        <f t="shared" si="10"/>
        <v>0</v>
      </c>
    </row>
    <row r="48" spans="1:14" x14ac:dyDescent="0.2">
      <c r="A48" s="131">
        <v>42</v>
      </c>
      <c r="B48" s="352"/>
      <c r="C48" s="353"/>
      <c r="D48" s="134" t="s">
        <v>181</v>
      </c>
      <c r="E48" s="153"/>
      <c r="F48" s="153"/>
      <c r="G48" s="748"/>
      <c r="H48" s="789">
        <f>H49</f>
        <v>0</v>
      </c>
      <c r="I48" s="1444">
        <f>I50+I51</f>
        <v>0</v>
      </c>
      <c r="J48" s="1450">
        <f>J49</f>
        <v>0</v>
      </c>
      <c r="K48" s="133">
        <f>K50+K51</f>
        <v>0</v>
      </c>
      <c r="L48" s="1457">
        <f>L50+L51</f>
        <v>0</v>
      </c>
      <c r="M48" s="133">
        <f>M50+M51</f>
        <v>0</v>
      </c>
      <c r="N48" s="1457">
        <f>N50+N51</f>
        <v>0</v>
      </c>
    </row>
    <row r="49" spans="1:14" x14ac:dyDescent="0.2">
      <c r="A49" s="131">
        <v>43</v>
      </c>
      <c r="B49" s="352"/>
      <c r="C49" s="749" t="s">
        <v>318</v>
      </c>
      <c r="D49" s="2028" t="s">
        <v>317</v>
      </c>
      <c r="E49" s="2028"/>
      <c r="F49" s="276"/>
      <c r="G49" s="750"/>
      <c r="H49" s="790">
        <f t="shared" ref="H49:N49" si="11">H50+H51</f>
        <v>0</v>
      </c>
      <c r="I49" s="1445">
        <f t="shared" si="11"/>
        <v>0</v>
      </c>
      <c r="J49" s="1451">
        <f t="shared" si="11"/>
        <v>0</v>
      </c>
      <c r="K49" s="276">
        <f t="shared" si="11"/>
        <v>0</v>
      </c>
      <c r="L49" s="1458">
        <f t="shared" si="11"/>
        <v>0</v>
      </c>
      <c r="M49" s="276">
        <f t="shared" si="11"/>
        <v>0</v>
      </c>
      <c r="N49" s="1458">
        <f t="shared" si="11"/>
        <v>0</v>
      </c>
    </row>
    <row r="50" spans="1:14" x14ac:dyDescent="0.2">
      <c r="A50" s="131">
        <v>44</v>
      </c>
      <c r="B50" s="352"/>
      <c r="C50" s="354">
        <v>633</v>
      </c>
      <c r="D50" s="355">
        <v>1</v>
      </c>
      <c r="E50" s="222" t="s">
        <v>319</v>
      </c>
      <c r="F50" s="222"/>
      <c r="G50" s="222"/>
      <c r="H50" s="787">
        <f>výdavky!F273</f>
        <v>0</v>
      </c>
      <c r="I50" s="1446">
        <f>SUM(výdavky!G273)</f>
        <v>0</v>
      </c>
      <c r="J50" s="1452">
        <f>výdavky!H273</f>
        <v>0</v>
      </c>
      <c r="K50" s="1455">
        <f>výdavky!G273</f>
        <v>0</v>
      </c>
      <c r="L50" s="687">
        <f>výdavky!J273</f>
        <v>0</v>
      </c>
      <c r="M50" s="1455">
        <f>výdavky!K273</f>
        <v>0</v>
      </c>
      <c r="N50" s="787">
        <f>výdavky!L273</f>
        <v>0</v>
      </c>
    </row>
    <row r="51" spans="1:14" ht="13.5" thickBot="1" x14ac:dyDescent="0.25">
      <c r="A51" s="244">
        <v>45</v>
      </c>
      <c r="B51" s="357"/>
      <c r="C51" s="358">
        <v>637</v>
      </c>
      <c r="D51" s="359">
        <v>2</v>
      </c>
      <c r="E51" s="360" t="s">
        <v>320</v>
      </c>
      <c r="F51" s="360"/>
      <c r="G51" s="360"/>
      <c r="H51" s="1436">
        <f>výdavky!F274</f>
        <v>0</v>
      </c>
      <c r="I51" s="1447">
        <f>výdavky!G274</f>
        <v>0</v>
      </c>
      <c r="J51" s="1453">
        <f>výdavky!H274</f>
        <v>0</v>
      </c>
      <c r="K51" s="360">
        <v>0</v>
      </c>
      <c r="L51" s="1459">
        <f>výdavky!J274</f>
        <v>0</v>
      </c>
      <c r="M51" s="1469">
        <f>výdavky!K274</f>
        <v>0</v>
      </c>
      <c r="N51" s="1436">
        <f>výdavky!L274</f>
        <v>0</v>
      </c>
    </row>
    <row r="52" spans="1:14" x14ac:dyDescent="0.2"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</row>
  </sheetData>
  <mergeCells count="6">
    <mergeCell ref="D49:E49"/>
    <mergeCell ref="G3:N3"/>
    <mergeCell ref="D4:F6"/>
    <mergeCell ref="D37:E37"/>
    <mergeCell ref="D38:E38"/>
    <mergeCell ref="D43:E43"/>
  </mergeCells>
  <phoneticPr fontId="44" type="noConversion"/>
  <pageMargins left="0.25" right="0.25" top="0.75" bottom="0.75" header="0.3" footer="0.3"/>
  <pageSetup paperSize="9" scale="81" firstPageNumber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4"/>
  <sheetViews>
    <sheetView workbookViewId="0">
      <selection activeCell="K33" sqref="K33"/>
    </sheetView>
  </sheetViews>
  <sheetFormatPr defaultRowHeight="12.75" x14ac:dyDescent="0.2"/>
  <cols>
    <col min="1" max="1" width="3.5703125" style="95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9.85546875" hidden="1" customWidth="1"/>
    <col min="7" max="7" width="0" hidden="1" customWidth="1"/>
    <col min="12" max="14" width="9.7109375" customWidth="1"/>
  </cols>
  <sheetData>
    <row r="1" spans="1:14" ht="15.75" x14ac:dyDescent="0.25">
      <c r="B1" s="99" t="s">
        <v>321</v>
      </c>
      <c r="E1" s="99" t="s">
        <v>322</v>
      </c>
      <c r="F1" s="97"/>
      <c r="G1" s="252" t="e">
        <f>G2-G7</f>
        <v>#REF!</v>
      </c>
      <c r="H1" s="252"/>
      <c r="I1" s="252"/>
      <c r="J1" s="252"/>
      <c r="K1" s="252"/>
      <c r="L1" s="253">
        <f>L2-L7</f>
        <v>0</v>
      </c>
      <c r="M1" s="253">
        <f>M2-M7</f>
        <v>0</v>
      </c>
      <c r="N1" s="253">
        <f>N2-N7</f>
        <v>0</v>
      </c>
    </row>
    <row r="2" spans="1:14" ht="15.75" x14ac:dyDescent="0.25">
      <c r="B2" s="99"/>
      <c r="G2" s="254" t="e">
        <f>SUM(G8:G10)</f>
        <v>#REF!</v>
      </c>
      <c r="H2" s="254"/>
      <c r="I2" s="254"/>
      <c r="J2" s="254"/>
      <c r="K2" s="254"/>
      <c r="L2" s="107">
        <f>SUM(L8:L10)</f>
        <v>29500</v>
      </c>
      <c r="M2" s="107">
        <f>SUM(M8:M10)</f>
        <v>29500</v>
      </c>
      <c r="N2" s="107">
        <f>SUM(N8:N10)</f>
        <v>29500</v>
      </c>
    </row>
    <row r="3" spans="1:14" ht="15.75" x14ac:dyDescent="0.25">
      <c r="A3" s="108"/>
      <c r="B3" s="109"/>
      <c r="C3" s="110"/>
      <c r="D3" s="110"/>
      <c r="E3" s="111"/>
      <c r="F3" s="112"/>
      <c r="G3" s="2017" t="s">
        <v>168</v>
      </c>
      <c r="H3" s="2017"/>
      <c r="I3" s="2017"/>
      <c r="J3" s="2017"/>
      <c r="K3" s="2017"/>
      <c r="L3" s="2017"/>
      <c r="M3" s="2017"/>
      <c r="N3" s="2017"/>
    </row>
    <row r="4" spans="1:14" ht="11.25" customHeight="1" x14ac:dyDescent="0.2">
      <c r="A4" s="113"/>
      <c r="B4" s="114" t="s">
        <v>169</v>
      </c>
      <c r="C4" s="115" t="s">
        <v>170</v>
      </c>
      <c r="D4" s="2020" t="s">
        <v>171</v>
      </c>
      <c r="E4" s="2020"/>
      <c r="F4" s="2020"/>
      <c r="G4" s="116"/>
      <c r="H4" s="672">
        <v>2021</v>
      </c>
      <c r="I4" s="117">
        <v>2022</v>
      </c>
      <c r="J4" s="117" t="s">
        <v>998</v>
      </c>
      <c r="K4" s="117" t="s">
        <v>999</v>
      </c>
      <c r="L4" s="117">
        <v>2024</v>
      </c>
      <c r="M4" s="117">
        <v>2025</v>
      </c>
      <c r="N4" s="117">
        <v>2026</v>
      </c>
    </row>
    <row r="5" spans="1:14" ht="15" customHeight="1" x14ac:dyDescent="0.2">
      <c r="A5" s="113"/>
      <c r="B5" s="114" t="s">
        <v>172</v>
      </c>
      <c r="C5" s="115" t="s">
        <v>173</v>
      </c>
      <c r="D5" s="2020"/>
      <c r="E5" s="2020"/>
      <c r="F5" s="2020"/>
      <c r="G5" s="118" t="s">
        <v>174</v>
      </c>
      <c r="H5" s="255" t="s">
        <v>175</v>
      </c>
      <c r="I5" s="119" t="s">
        <v>176</v>
      </c>
      <c r="J5" s="119" t="s">
        <v>175</v>
      </c>
      <c r="K5" s="119" t="s">
        <v>176</v>
      </c>
      <c r="L5" s="119" t="s">
        <v>175</v>
      </c>
      <c r="M5" s="119" t="s">
        <v>176</v>
      </c>
      <c r="N5" s="119" t="s">
        <v>176</v>
      </c>
    </row>
    <row r="6" spans="1:14" ht="13.5" thickBot="1" x14ac:dyDescent="0.25">
      <c r="A6" s="256"/>
      <c r="B6" s="257" t="s">
        <v>177</v>
      </c>
      <c r="C6" s="258" t="s">
        <v>178</v>
      </c>
      <c r="D6" s="2020"/>
      <c r="E6" s="2020"/>
      <c r="F6" s="2020"/>
      <c r="G6" s="259">
        <v>1</v>
      </c>
      <c r="H6" s="121">
        <v>-3</v>
      </c>
      <c r="I6" s="260">
        <v>-2</v>
      </c>
      <c r="J6" s="260">
        <v>-1</v>
      </c>
      <c r="K6" s="260">
        <v>-1</v>
      </c>
      <c r="L6" s="260">
        <v>0</v>
      </c>
      <c r="M6" s="260">
        <v>1</v>
      </c>
      <c r="N6" s="260">
        <v>2</v>
      </c>
    </row>
    <row r="7" spans="1:14" ht="15" x14ac:dyDescent="0.25">
      <c r="A7" s="131">
        <v>1</v>
      </c>
      <c r="B7" s="261" t="s">
        <v>321</v>
      </c>
      <c r="C7" s="262"/>
      <c r="D7" s="263"/>
      <c r="E7" s="264" t="s">
        <v>322</v>
      </c>
      <c r="F7" s="265"/>
      <c r="G7" s="266" t="e">
        <f>G11+G23</f>
        <v>#REF!</v>
      </c>
      <c r="H7" s="1171">
        <f>H8+H9+H10</f>
        <v>20774</v>
      </c>
      <c r="I7" s="1172">
        <f>SUM(I8:I10)</f>
        <v>46888</v>
      </c>
      <c r="J7" s="1158">
        <f>J8+J9+J10</f>
        <v>56500</v>
      </c>
      <c r="K7" s="1158">
        <f>SUM(K8:K10)</f>
        <v>52508</v>
      </c>
      <c r="L7" s="1175">
        <f>SUM(L8:L10)</f>
        <v>29500</v>
      </c>
      <c r="M7" s="1158">
        <f>SUM(M8:M10)</f>
        <v>29500</v>
      </c>
      <c r="N7" s="1158">
        <f>SUM(N8:N10)</f>
        <v>29500</v>
      </c>
    </row>
    <row r="8" spans="1:14" x14ac:dyDescent="0.2">
      <c r="A8" s="131">
        <f t="shared" ref="A8:A17" si="0">A7+1</f>
        <v>2</v>
      </c>
      <c r="B8" s="268" t="s">
        <v>180</v>
      </c>
      <c r="C8" s="626" t="s">
        <v>181</v>
      </c>
      <c r="D8" s="627"/>
      <c r="E8" s="628"/>
      <c r="F8" s="629"/>
      <c r="G8" s="630" t="e">
        <f>G12+G24</f>
        <v>#REF!</v>
      </c>
      <c r="H8" s="711">
        <f>H12+H24</f>
        <v>20774</v>
      </c>
      <c r="I8" s="693">
        <f>SUM(I12+I24)</f>
        <v>32500</v>
      </c>
      <c r="J8" s="631">
        <f>J12+J24</f>
        <v>26500</v>
      </c>
      <c r="K8" s="631">
        <f>SUM(K12+K24)</f>
        <v>31440</v>
      </c>
      <c r="L8" s="709">
        <f>SUM(L12+L24)</f>
        <v>29500</v>
      </c>
      <c r="M8" s="631">
        <f>SUM(M12+M24)</f>
        <v>29500</v>
      </c>
      <c r="N8" s="631">
        <f>SUM(N12+N24)</f>
        <v>29500</v>
      </c>
    </row>
    <row r="9" spans="1:14" x14ac:dyDescent="0.2">
      <c r="A9" s="131">
        <f t="shared" si="0"/>
        <v>3</v>
      </c>
      <c r="B9" s="268" t="s">
        <v>182</v>
      </c>
      <c r="C9" s="701" t="s">
        <v>183</v>
      </c>
      <c r="D9" s="702"/>
      <c r="E9" s="703"/>
      <c r="F9" s="704"/>
      <c r="G9" s="705" t="e">
        <f>#REF!</f>
        <v>#REF!</v>
      </c>
      <c r="H9" s="718">
        <f t="shared" ref="H9:N9" si="1">H18+H30</f>
        <v>0</v>
      </c>
      <c r="I9" s="706">
        <f t="shared" si="1"/>
        <v>14388</v>
      </c>
      <c r="J9" s="707">
        <f t="shared" si="1"/>
        <v>30000</v>
      </c>
      <c r="K9" s="707">
        <f t="shared" si="1"/>
        <v>21068</v>
      </c>
      <c r="L9" s="707">
        <f t="shared" si="1"/>
        <v>0</v>
      </c>
      <c r="M9" s="707">
        <f t="shared" si="1"/>
        <v>0</v>
      </c>
      <c r="N9" s="707">
        <f t="shared" si="1"/>
        <v>0</v>
      </c>
    </row>
    <row r="10" spans="1:14" ht="13.5" thickBot="1" x14ac:dyDescent="0.25">
      <c r="A10" s="131">
        <f t="shared" si="0"/>
        <v>4</v>
      </c>
      <c r="B10" s="269"/>
      <c r="C10" s="650" t="s">
        <v>184</v>
      </c>
      <c r="D10" s="651"/>
      <c r="E10" s="652"/>
      <c r="F10" s="653"/>
      <c r="G10" s="729">
        <v>0</v>
      </c>
      <c r="H10" s="773">
        <v>0</v>
      </c>
      <c r="I10" s="745">
        <v>0</v>
      </c>
      <c r="J10" s="746">
        <v>0</v>
      </c>
      <c r="K10" s="746">
        <v>0</v>
      </c>
      <c r="L10" s="747">
        <v>0</v>
      </c>
      <c r="M10" s="746">
        <v>0</v>
      </c>
      <c r="N10" s="746">
        <v>0</v>
      </c>
    </row>
    <row r="11" spans="1:14" ht="13.5" thickTop="1" x14ac:dyDescent="0.2">
      <c r="A11" s="131">
        <f t="shared" si="0"/>
        <v>5</v>
      </c>
      <c r="B11" s="270">
        <v>1</v>
      </c>
      <c r="C11" s="237" t="s">
        <v>323</v>
      </c>
      <c r="D11" s="138"/>
      <c r="E11" s="138"/>
      <c r="F11" s="139"/>
      <c r="G11" s="140" t="e">
        <f>SUM(G13)+#REF!</f>
        <v>#REF!</v>
      </c>
      <c r="H11" s="614">
        <f>H12+H18</f>
        <v>850</v>
      </c>
      <c r="I11" s="339">
        <f>SUM(I12,I18)</f>
        <v>15388</v>
      </c>
      <c r="J11" s="141">
        <f>J12+J18</f>
        <v>1000</v>
      </c>
      <c r="K11" s="141">
        <f>SUM(K12,K18)</f>
        <v>15000</v>
      </c>
      <c r="L11" s="141">
        <f>SUM(L12,L18)</f>
        <v>1000</v>
      </c>
      <c r="M11" s="141">
        <f>SUM(M12,M18)</f>
        <v>1000</v>
      </c>
      <c r="N11" s="141">
        <f>SUM(N12,N18)</f>
        <v>1000</v>
      </c>
    </row>
    <row r="12" spans="1:14" s="190" customFormat="1" x14ac:dyDescent="0.2">
      <c r="A12" s="131">
        <f t="shared" si="0"/>
        <v>6</v>
      </c>
      <c r="B12" s="272"/>
      <c r="C12" s="152"/>
      <c r="D12" s="134" t="s">
        <v>181</v>
      </c>
      <c r="E12" s="153"/>
      <c r="F12" s="154"/>
      <c r="G12" s="155" t="e">
        <f t="shared" ref="G12:N12" si="2">G13</f>
        <v>#REF!</v>
      </c>
      <c r="H12" s="583">
        <f>H13</f>
        <v>850</v>
      </c>
      <c r="I12" s="307">
        <f t="shared" si="2"/>
        <v>1000</v>
      </c>
      <c r="J12" s="156">
        <f>J13</f>
        <v>1000</v>
      </c>
      <c r="K12" s="156">
        <f t="shared" si="2"/>
        <v>1000</v>
      </c>
      <c r="L12" s="156">
        <f t="shared" si="2"/>
        <v>1000</v>
      </c>
      <c r="M12" s="156">
        <f t="shared" si="2"/>
        <v>1000</v>
      </c>
      <c r="N12" s="156">
        <f t="shared" si="2"/>
        <v>1000</v>
      </c>
    </row>
    <row r="13" spans="1:14" x14ac:dyDescent="0.2">
      <c r="A13" s="131">
        <f t="shared" si="0"/>
        <v>7</v>
      </c>
      <c r="B13" s="274"/>
      <c r="C13" s="275" t="s">
        <v>324</v>
      </c>
      <c r="D13" s="192" t="s">
        <v>323</v>
      </c>
      <c r="E13" s="276"/>
      <c r="F13" s="277"/>
      <c r="G13" s="194" t="e">
        <f>SUM(#REF!)</f>
        <v>#REF!</v>
      </c>
      <c r="H13" s="584">
        <f>SUM(H14:H17)</f>
        <v>850</v>
      </c>
      <c r="I13" s="340">
        <f>SUM(I14,I15,I16,I17)</f>
        <v>1000</v>
      </c>
      <c r="J13" s="163">
        <f>SUM(J14:J17)</f>
        <v>1000</v>
      </c>
      <c r="K13" s="163">
        <f>SUM(K14,K15,K16,K17)</f>
        <v>1000</v>
      </c>
      <c r="L13" s="163">
        <f>SUM(L14,L15,L16,L17)</f>
        <v>1000</v>
      </c>
      <c r="M13" s="163">
        <f>SUM(M14,M15,M16,M17)</f>
        <v>1000</v>
      </c>
      <c r="N13" s="163">
        <f>SUM(N14,N15,N16,N17)</f>
        <v>1000</v>
      </c>
    </row>
    <row r="14" spans="1:14" x14ac:dyDescent="0.2">
      <c r="A14" s="131">
        <f t="shared" si="0"/>
        <v>8</v>
      </c>
      <c r="B14" s="274"/>
      <c r="C14" s="213" t="s">
        <v>190</v>
      </c>
      <c r="D14" s="214" t="s">
        <v>215</v>
      </c>
      <c r="E14" s="172" t="s">
        <v>325</v>
      </c>
      <c r="F14" s="202"/>
      <c r="G14" s="203"/>
      <c r="H14" s="586">
        <f>výdavky!F284</f>
        <v>0</v>
      </c>
      <c r="I14" s="309">
        <f>výdavky!G284</f>
        <v>0</v>
      </c>
      <c r="J14" s="175">
        <f>výdavky!H284</f>
        <v>0</v>
      </c>
      <c r="K14" s="175">
        <f>výdavky!I284</f>
        <v>0</v>
      </c>
      <c r="L14" s="175">
        <f>výdavky!J284</f>
        <v>0</v>
      </c>
      <c r="M14" s="175">
        <f>výdavky!K284</f>
        <v>0</v>
      </c>
      <c r="N14" s="175">
        <f>výdavky!L284</f>
        <v>0</v>
      </c>
    </row>
    <row r="15" spans="1:14" x14ac:dyDescent="0.2">
      <c r="A15" s="131">
        <f t="shared" si="0"/>
        <v>9</v>
      </c>
      <c r="B15" s="274"/>
      <c r="C15" s="213" t="s">
        <v>196</v>
      </c>
      <c r="D15" s="214" t="s">
        <v>217</v>
      </c>
      <c r="E15" s="172" t="s">
        <v>197</v>
      </c>
      <c r="F15" s="202"/>
      <c r="G15" s="203"/>
      <c r="H15" s="586">
        <f>výdavky!F285</f>
        <v>0</v>
      </c>
      <c r="I15" s="309">
        <f>výdavky!G285</f>
        <v>0</v>
      </c>
      <c r="J15" s="175">
        <f>výdavky!H285</f>
        <v>0</v>
      </c>
      <c r="K15" s="175">
        <f>výdavky!I285</f>
        <v>0</v>
      </c>
      <c r="L15" s="175">
        <f>výdavky!J285</f>
        <v>0</v>
      </c>
      <c r="M15" s="175">
        <f>výdavky!K285</f>
        <v>0</v>
      </c>
      <c r="N15" s="175">
        <f>výdavky!L285</f>
        <v>0</v>
      </c>
    </row>
    <row r="16" spans="1:14" x14ac:dyDescent="0.2">
      <c r="A16" s="131">
        <f t="shared" si="0"/>
        <v>10</v>
      </c>
      <c r="B16" s="274"/>
      <c r="C16" s="213" t="s">
        <v>206</v>
      </c>
      <c r="D16" s="214" t="s">
        <v>228</v>
      </c>
      <c r="E16" s="172" t="s">
        <v>207</v>
      </c>
      <c r="F16" s="202"/>
      <c r="G16" s="203"/>
      <c r="H16" s="586">
        <f>výdavky!F286</f>
        <v>850</v>
      </c>
      <c r="I16" s="309">
        <f>výdavky!G286</f>
        <v>1000</v>
      </c>
      <c r="J16" s="175">
        <f>výdavky!H286</f>
        <v>1000</v>
      </c>
      <c r="K16" s="175">
        <f>výdavky!I286</f>
        <v>1000</v>
      </c>
      <c r="L16" s="175">
        <f>výdavky!J286</f>
        <v>1000</v>
      </c>
      <c r="M16" s="175">
        <f>výdavky!K286</f>
        <v>1000</v>
      </c>
      <c r="N16" s="175">
        <f>výdavky!L286</f>
        <v>1000</v>
      </c>
    </row>
    <row r="17" spans="1:14" x14ac:dyDescent="0.2">
      <c r="A17" s="131">
        <f t="shared" si="0"/>
        <v>11</v>
      </c>
      <c r="B17" s="274"/>
      <c r="C17" s="213" t="s">
        <v>206</v>
      </c>
      <c r="D17" s="214" t="s">
        <v>230</v>
      </c>
      <c r="E17" s="172" t="s">
        <v>326</v>
      </c>
      <c r="F17" s="361"/>
      <c r="G17" s="362"/>
      <c r="H17" s="586">
        <f>výdavky!F287</f>
        <v>0</v>
      </c>
      <c r="I17" s="309">
        <f>výdavky!G287</f>
        <v>0</v>
      </c>
      <c r="J17" s="175">
        <f>výdavky!H287</f>
        <v>0</v>
      </c>
      <c r="K17" s="175">
        <f>výdavky!I287</f>
        <v>0</v>
      </c>
      <c r="L17" s="175">
        <f>výdavky!J287</f>
        <v>0</v>
      </c>
      <c r="M17" s="175">
        <f>výdavky!K287</f>
        <v>0</v>
      </c>
      <c r="N17" s="175">
        <f>výdavky!L287</f>
        <v>0</v>
      </c>
    </row>
    <row r="18" spans="1:14" x14ac:dyDescent="0.2">
      <c r="A18" s="131">
        <v>12</v>
      </c>
      <c r="B18" s="157"/>
      <c r="C18" s="215"/>
      <c r="D18" s="605" t="s">
        <v>183</v>
      </c>
      <c r="E18" s="606"/>
      <c r="F18" s="610"/>
      <c r="G18" s="611">
        <f>G20</f>
        <v>0</v>
      </c>
      <c r="H18" s="615">
        <f t="shared" ref="H18:N18" si="3">H19</f>
        <v>0</v>
      </c>
      <c r="I18" s="613">
        <f t="shared" si="3"/>
        <v>14388</v>
      </c>
      <c r="J18" s="612">
        <f t="shared" si="3"/>
        <v>0</v>
      </c>
      <c r="K18" s="612">
        <f t="shared" si="3"/>
        <v>14000</v>
      </c>
      <c r="L18" s="612">
        <f t="shared" si="3"/>
        <v>0</v>
      </c>
      <c r="M18" s="612">
        <f t="shared" si="3"/>
        <v>0</v>
      </c>
      <c r="N18" s="612">
        <f t="shared" si="3"/>
        <v>0</v>
      </c>
    </row>
    <row r="19" spans="1:14" x14ac:dyDescent="0.2">
      <c r="A19" s="131">
        <f>A18+1</f>
        <v>13</v>
      </c>
      <c r="B19" s="157"/>
      <c r="C19" s="158" t="s">
        <v>324</v>
      </c>
      <c r="D19" s="159" t="s">
        <v>323</v>
      </c>
      <c r="E19" s="160"/>
      <c r="F19" s="161"/>
      <c r="G19" s="162">
        <f>SUM(G20:G25)</f>
        <v>234.29999999999998</v>
      </c>
      <c r="H19" s="782">
        <f>SUM(H20:H22)</f>
        <v>0</v>
      </c>
      <c r="I19" s="784">
        <f>SUM(I20,I21,I22)</f>
        <v>14388</v>
      </c>
      <c r="J19" s="785">
        <f>SUM(J20:J22)</f>
        <v>0</v>
      </c>
      <c r="K19" s="785">
        <f>SUM(K20,K21,K22)</f>
        <v>14000</v>
      </c>
      <c r="L19" s="785">
        <f>SUM(L20,L21,L22)</f>
        <v>0</v>
      </c>
      <c r="M19" s="785">
        <f>SUM(M20,M21,M22)</f>
        <v>0</v>
      </c>
      <c r="N19" s="785">
        <f>SUM(N20,N21,N22)</f>
        <v>0</v>
      </c>
    </row>
    <row r="20" spans="1:14" x14ac:dyDescent="0.2">
      <c r="A20" s="131">
        <f>A19+1</f>
        <v>14</v>
      </c>
      <c r="B20" s="274"/>
      <c r="C20" s="213" t="s">
        <v>327</v>
      </c>
      <c r="D20" s="214" t="s">
        <v>232</v>
      </c>
      <c r="E20" s="299" t="s">
        <v>328</v>
      </c>
      <c r="F20" s="182"/>
      <c r="G20" s="183"/>
      <c r="H20" s="586">
        <f>výdavky!F717</f>
        <v>0</v>
      </c>
      <c r="I20" s="309">
        <f>výdavky!G717</f>
        <v>0</v>
      </c>
      <c r="J20" s="175">
        <f>výdavky!H717</f>
        <v>0</v>
      </c>
      <c r="K20" s="175">
        <f>výdavky!I717</f>
        <v>0</v>
      </c>
      <c r="L20" s="175">
        <f>výdavky!J717</f>
        <v>0</v>
      </c>
      <c r="M20" s="175">
        <v>0</v>
      </c>
      <c r="N20" s="175">
        <v>0</v>
      </c>
    </row>
    <row r="21" spans="1:14" x14ac:dyDescent="0.2">
      <c r="A21" s="131">
        <v>15</v>
      </c>
      <c r="B21" s="274"/>
      <c r="C21" s="213" t="s">
        <v>329</v>
      </c>
      <c r="D21" s="214" t="s">
        <v>236</v>
      </c>
      <c r="E21" s="299" t="s">
        <v>947</v>
      </c>
      <c r="F21" s="182"/>
      <c r="G21" s="183"/>
      <c r="H21" s="586">
        <f>výdavky!F722+výdavky!F721+výdavky!F720</f>
        <v>0</v>
      </c>
      <c r="I21" s="309">
        <f>výdavky!G716</f>
        <v>14388</v>
      </c>
      <c r="J21" s="175">
        <f>výdavky!H716</f>
        <v>0</v>
      </c>
      <c r="K21" s="175">
        <f>výdavky!I716</f>
        <v>14000</v>
      </c>
      <c r="L21" s="175">
        <f>výdavky!J716+výdavky!J719+výdavky!J720+výdavky!J721+výdavky!J722</f>
        <v>0</v>
      </c>
      <c r="M21" s="175">
        <v>0</v>
      </c>
      <c r="N21" s="175">
        <v>0</v>
      </c>
    </row>
    <row r="22" spans="1:14" x14ac:dyDescent="0.2">
      <c r="A22" s="131">
        <v>16</v>
      </c>
      <c r="B22" s="274"/>
      <c r="C22" s="213" t="s">
        <v>329</v>
      </c>
      <c r="D22" s="214" t="s">
        <v>238</v>
      </c>
      <c r="E22" s="299" t="s">
        <v>701</v>
      </c>
      <c r="F22" s="182"/>
      <c r="G22" s="183"/>
      <c r="H22" s="586">
        <f>výdavky!F716</f>
        <v>0</v>
      </c>
      <c r="I22" s="309">
        <f>výdavky!G719</f>
        <v>0</v>
      </c>
      <c r="J22" s="175"/>
      <c r="K22" s="175">
        <f>výdavky!I719</f>
        <v>0</v>
      </c>
      <c r="L22" s="175">
        <v>0</v>
      </c>
      <c r="M22" s="175">
        <v>0</v>
      </c>
      <c r="N22" s="175">
        <v>0</v>
      </c>
    </row>
    <row r="23" spans="1:14" x14ac:dyDescent="0.2">
      <c r="A23" s="131">
        <f>A22+1</f>
        <v>17</v>
      </c>
      <c r="B23" s="270">
        <v>2</v>
      </c>
      <c r="C23" s="341" t="s">
        <v>330</v>
      </c>
      <c r="D23" s="138"/>
      <c r="E23" s="138"/>
      <c r="F23" s="139"/>
      <c r="G23" s="140">
        <f>SUM(G25)</f>
        <v>78.099999999999994</v>
      </c>
      <c r="H23" s="582">
        <f>H24+H30</f>
        <v>19924</v>
      </c>
      <c r="I23" s="310">
        <f t="shared" ref="I23:N24" si="4">I24</f>
        <v>31500</v>
      </c>
      <c r="J23" s="142">
        <f>J24+J30</f>
        <v>55500</v>
      </c>
      <c r="K23" s="142">
        <f t="shared" si="4"/>
        <v>30440</v>
      </c>
      <c r="L23" s="142">
        <f t="shared" si="4"/>
        <v>28500</v>
      </c>
      <c r="M23" s="142">
        <f t="shared" si="4"/>
        <v>28500</v>
      </c>
      <c r="N23" s="142">
        <f t="shared" si="4"/>
        <v>28500</v>
      </c>
    </row>
    <row r="24" spans="1:14" s="190" customFormat="1" x14ac:dyDescent="0.2">
      <c r="A24" s="131">
        <f>A23+1</f>
        <v>18</v>
      </c>
      <c r="B24" s="272"/>
      <c r="C24" s="342"/>
      <c r="D24" s="134" t="s">
        <v>181</v>
      </c>
      <c r="E24" s="153"/>
      <c r="F24" s="154"/>
      <c r="G24" s="155">
        <f>G25</f>
        <v>78.099999999999994</v>
      </c>
      <c r="H24" s="583">
        <f>H25</f>
        <v>19924</v>
      </c>
      <c r="I24" s="307">
        <f t="shared" si="4"/>
        <v>31500</v>
      </c>
      <c r="J24" s="156">
        <f>J25</f>
        <v>25500</v>
      </c>
      <c r="K24" s="156">
        <f t="shared" si="4"/>
        <v>30440</v>
      </c>
      <c r="L24" s="156">
        <f t="shared" si="4"/>
        <v>28500</v>
      </c>
      <c r="M24" s="156">
        <f t="shared" si="4"/>
        <v>28500</v>
      </c>
      <c r="N24" s="156">
        <f t="shared" si="4"/>
        <v>28500</v>
      </c>
    </row>
    <row r="25" spans="1:14" x14ac:dyDescent="0.2">
      <c r="A25" s="131">
        <f>A24+1</f>
        <v>19</v>
      </c>
      <c r="B25" s="274"/>
      <c r="C25" s="343" t="s">
        <v>331</v>
      </c>
      <c r="D25" s="192" t="s">
        <v>330</v>
      </c>
      <c r="E25" s="276"/>
      <c r="F25" s="277"/>
      <c r="G25" s="194">
        <f>G34</f>
        <v>78.099999999999994</v>
      </c>
      <c r="H25" s="584">
        <f>SUM(H26:H29)</f>
        <v>19924</v>
      </c>
      <c r="I25" s="340">
        <f>I34+SUM(I26,I27,I28,I29)</f>
        <v>31500</v>
      </c>
      <c r="J25" s="163">
        <f>SUM(J26:J29)</f>
        <v>25500</v>
      </c>
      <c r="K25" s="163">
        <f>K34+SUM(K26,K27,K28,K29)</f>
        <v>30440</v>
      </c>
      <c r="L25" s="163">
        <f>L34+SUM(L26,L27,L28,L29)</f>
        <v>28500</v>
      </c>
      <c r="M25" s="163">
        <f>M34+SUM(M26,M27,M28,M29)</f>
        <v>28500</v>
      </c>
      <c r="N25" s="163">
        <f>N34+SUM(N26,N27,N28,N29)</f>
        <v>28500</v>
      </c>
    </row>
    <row r="26" spans="1:14" x14ac:dyDescent="0.2">
      <c r="A26" s="131">
        <v>20</v>
      </c>
      <c r="B26" s="274"/>
      <c r="C26" s="213" t="s">
        <v>196</v>
      </c>
      <c r="D26" s="200">
        <v>1</v>
      </c>
      <c r="E26" s="201" t="s">
        <v>197</v>
      </c>
      <c r="F26" s="202"/>
      <c r="G26" s="203"/>
      <c r="H26" s="586">
        <f>výdavky!F290</f>
        <v>16000</v>
      </c>
      <c r="I26" s="309">
        <f>výdavky!G290</f>
        <v>22000</v>
      </c>
      <c r="J26" s="175">
        <f>výdavky!H290</f>
        <v>22000</v>
      </c>
      <c r="K26" s="175">
        <f>výdavky!I290</f>
        <v>26500</v>
      </c>
      <c r="L26" s="175">
        <f>výdavky!J290</f>
        <v>25000</v>
      </c>
      <c r="M26" s="175">
        <f>výdavky!K290</f>
        <v>25000</v>
      </c>
      <c r="N26" s="175">
        <f>výdavky!L290</f>
        <v>25000</v>
      </c>
    </row>
    <row r="27" spans="1:14" x14ac:dyDescent="0.2">
      <c r="A27" s="131">
        <v>21</v>
      </c>
      <c r="B27" s="274"/>
      <c r="C27" s="213" t="s">
        <v>198</v>
      </c>
      <c r="D27" s="200">
        <v>2</v>
      </c>
      <c r="E27" s="201" t="s">
        <v>199</v>
      </c>
      <c r="F27" s="202"/>
      <c r="G27" s="203"/>
      <c r="H27" s="586">
        <f>výdavky!F291</f>
        <v>2800</v>
      </c>
      <c r="I27" s="309">
        <f>výdavky!G291</f>
        <v>7000</v>
      </c>
      <c r="J27" s="175">
        <f>výdavky!H291</f>
        <v>1000</v>
      </c>
      <c r="K27" s="175">
        <f>výdavky!I291</f>
        <v>1600</v>
      </c>
      <c r="L27" s="175">
        <f>výdavky!J291</f>
        <v>1000</v>
      </c>
      <c r="M27" s="175">
        <f>výdavky!K291</f>
        <v>1000</v>
      </c>
      <c r="N27" s="175">
        <f>výdavky!L291</f>
        <v>1000</v>
      </c>
    </row>
    <row r="28" spans="1:14" x14ac:dyDescent="0.2">
      <c r="A28" s="131">
        <v>22</v>
      </c>
      <c r="B28" s="274"/>
      <c r="C28" s="213" t="s">
        <v>202</v>
      </c>
      <c r="D28" s="200">
        <v>3</v>
      </c>
      <c r="E28" s="201" t="s">
        <v>278</v>
      </c>
      <c r="F28" s="202"/>
      <c r="G28" s="203"/>
      <c r="H28" s="586">
        <f>výdavky!F292</f>
        <v>500</v>
      </c>
      <c r="I28" s="309">
        <f>výdavky!G292</f>
        <v>500</v>
      </c>
      <c r="J28" s="175">
        <f>výdavky!H292</f>
        <v>500</v>
      </c>
      <c r="K28" s="175">
        <f>výdavky!I292</f>
        <v>0</v>
      </c>
      <c r="L28" s="175">
        <f>výdavky!J292</f>
        <v>500</v>
      </c>
      <c r="M28" s="175">
        <f>výdavky!K292</f>
        <v>500</v>
      </c>
      <c r="N28" s="175">
        <f>výdavky!L292</f>
        <v>500</v>
      </c>
    </row>
    <row r="29" spans="1:14" x14ac:dyDescent="0.2">
      <c r="A29" s="131">
        <v>23</v>
      </c>
      <c r="B29" s="274"/>
      <c r="C29" s="213" t="s">
        <v>206</v>
      </c>
      <c r="D29" s="200">
        <v>4</v>
      </c>
      <c r="E29" s="201" t="s">
        <v>207</v>
      </c>
      <c r="F29" s="202"/>
      <c r="G29" s="203"/>
      <c r="H29" s="586">
        <f>výdavky!F293</f>
        <v>624</v>
      </c>
      <c r="I29" s="309">
        <f>výdavky!G293</f>
        <v>2000</v>
      </c>
      <c r="J29" s="175">
        <f>výdavky!H293</f>
        <v>2000</v>
      </c>
      <c r="K29" s="175">
        <f>výdavky!I293</f>
        <v>2340</v>
      </c>
      <c r="L29" s="175">
        <f>výdavky!J293</f>
        <v>2000</v>
      </c>
      <c r="M29" s="175">
        <f>výdavky!K293</f>
        <v>2000</v>
      </c>
      <c r="N29" s="175">
        <f>výdavky!L293</f>
        <v>2000</v>
      </c>
    </row>
    <row r="30" spans="1:14" x14ac:dyDescent="0.2">
      <c r="A30" s="131">
        <v>24</v>
      </c>
      <c r="B30" s="274"/>
      <c r="C30" s="213"/>
      <c r="D30" s="2029" t="s">
        <v>183</v>
      </c>
      <c r="E30" s="2029"/>
      <c r="F30" s="635"/>
      <c r="G30" s="632"/>
      <c r="H30" s="783">
        <f>H31</f>
        <v>0</v>
      </c>
      <c r="I30" s="636">
        <f>SUM(I31)</f>
        <v>0</v>
      </c>
      <c r="J30" s="633">
        <f>J31</f>
        <v>30000</v>
      </c>
      <c r="K30" s="633">
        <f>SUM(K31)</f>
        <v>7068</v>
      </c>
      <c r="L30" s="633">
        <f>SUM(L31)</f>
        <v>0</v>
      </c>
      <c r="M30" s="633">
        <f>SUM(M31)</f>
        <v>0</v>
      </c>
      <c r="N30" s="633">
        <f>SUM(N31)</f>
        <v>0</v>
      </c>
    </row>
    <row r="31" spans="1:14" x14ac:dyDescent="0.2">
      <c r="A31" s="131">
        <v>25</v>
      </c>
      <c r="B31" s="274"/>
      <c r="C31" s="343" t="s">
        <v>331</v>
      </c>
      <c r="D31" s="2028" t="s">
        <v>330</v>
      </c>
      <c r="E31" s="2028"/>
      <c r="F31" s="277"/>
      <c r="G31" s="194"/>
      <c r="H31" s="584">
        <f>SUM(H32:H34)</f>
        <v>0</v>
      </c>
      <c r="I31" s="345">
        <f>SUM(I32,I33,I34)</f>
        <v>0</v>
      </c>
      <c r="J31" s="344">
        <f>J32</f>
        <v>30000</v>
      </c>
      <c r="K31" s="344">
        <f>SUM(K32,K33,K34)</f>
        <v>7068</v>
      </c>
      <c r="L31" s="344">
        <f>SUM(L32,L33,L34)</f>
        <v>0</v>
      </c>
      <c r="M31" s="344">
        <f>SUM(M32,M33,M34)</f>
        <v>0</v>
      </c>
      <c r="N31" s="344">
        <f>SUM(N32,N33,N34)</f>
        <v>0</v>
      </c>
    </row>
    <row r="32" spans="1:14" x14ac:dyDescent="0.2">
      <c r="A32" s="131">
        <v>26</v>
      </c>
      <c r="B32" s="274"/>
      <c r="C32" s="213" t="s">
        <v>291</v>
      </c>
      <c r="D32" s="200">
        <v>5</v>
      </c>
      <c r="E32" s="201" t="s">
        <v>332</v>
      </c>
      <c r="F32" s="173"/>
      <c r="G32" s="346"/>
      <c r="H32" s="586">
        <v>0</v>
      </c>
      <c r="I32" s="309">
        <v>0</v>
      </c>
      <c r="J32" s="175">
        <f>výdavky!H726</f>
        <v>30000</v>
      </c>
      <c r="K32" s="175">
        <f>výdavky!I721</f>
        <v>7068</v>
      </c>
      <c r="L32" s="175">
        <f>výdavky!J726</f>
        <v>0</v>
      </c>
      <c r="M32" s="175">
        <v>0</v>
      </c>
      <c r="N32" s="175">
        <v>0</v>
      </c>
    </row>
    <row r="33" spans="1:14" x14ac:dyDescent="0.2">
      <c r="A33" s="131">
        <v>27</v>
      </c>
      <c r="B33" s="274"/>
      <c r="C33" s="213"/>
      <c r="D33" s="200"/>
      <c r="E33" s="201"/>
      <c r="F33" s="202"/>
      <c r="G33" s="203"/>
      <c r="H33" s="586"/>
      <c r="I33" s="309"/>
      <c r="J33" s="175"/>
      <c r="K33" s="175"/>
      <c r="L33" s="175"/>
      <c r="M33" s="175"/>
      <c r="N33" s="175"/>
    </row>
    <row r="34" spans="1:14" s="190" customFormat="1" ht="13.5" thickBot="1" x14ac:dyDescent="0.25">
      <c r="A34" s="244">
        <v>28</v>
      </c>
      <c r="B34" s="363"/>
      <c r="C34" s="281"/>
      <c r="D34" s="247"/>
      <c r="E34" s="364"/>
      <c r="F34" s="284"/>
      <c r="G34" s="336">
        <v>78.099999999999994</v>
      </c>
      <c r="H34" s="688"/>
      <c r="I34" s="337"/>
      <c r="J34" s="287"/>
      <c r="K34" s="287"/>
      <c r="L34" s="287"/>
      <c r="M34" s="287"/>
      <c r="N34" s="287"/>
    </row>
  </sheetData>
  <mergeCells count="4">
    <mergeCell ref="G3:N3"/>
    <mergeCell ref="D4:F6"/>
    <mergeCell ref="D30:E30"/>
    <mergeCell ref="D31:E31"/>
  </mergeCells>
  <phoneticPr fontId="44" type="noConversion"/>
  <pageMargins left="0.25" right="0.25" top="0.75" bottom="0.75" header="0.3" footer="0.3"/>
  <pageSetup paperSize="9" scale="87" firstPageNumber="0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3"/>
  <sheetViews>
    <sheetView workbookViewId="0">
      <selection activeCell="K24" sqref="K24"/>
    </sheetView>
  </sheetViews>
  <sheetFormatPr defaultRowHeight="12.75" x14ac:dyDescent="0.2"/>
  <cols>
    <col min="1" max="1" width="3.5703125" style="95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9.85546875" customWidth="1"/>
    <col min="7" max="7" width="0" hidden="1" customWidth="1"/>
    <col min="9" max="14" width="8.28515625" customWidth="1"/>
  </cols>
  <sheetData>
    <row r="1" spans="1:14" ht="15.75" x14ac:dyDescent="0.25">
      <c r="B1" s="99" t="s">
        <v>333</v>
      </c>
      <c r="E1" s="99" t="s">
        <v>334</v>
      </c>
      <c r="F1" s="97"/>
      <c r="G1" s="252" t="e">
        <f>G2-G7</f>
        <v>#REF!</v>
      </c>
      <c r="H1" s="252"/>
      <c r="I1" s="252"/>
      <c r="J1" s="252"/>
      <c r="K1" s="252"/>
      <c r="L1" s="253">
        <f>L2-L7</f>
        <v>0</v>
      </c>
      <c r="M1" s="253">
        <f>M2-M7</f>
        <v>0</v>
      </c>
      <c r="N1" s="253">
        <f>N2-N7</f>
        <v>0</v>
      </c>
    </row>
    <row r="2" spans="1:14" ht="15.75" x14ac:dyDescent="0.25">
      <c r="B2" s="99"/>
      <c r="G2" s="254" t="e">
        <f>SUM(G8:G10)</f>
        <v>#REF!</v>
      </c>
      <c r="H2" s="254"/>
      <c r="I2" s="254"/>
      <c r="J2" s="254"/>
      <c r="K2" s="254"/>
      <c r="L2" s="107">
        <f>SUM(L8:L10)</f>
        <v>48500</v>
      </c>
      <c r="M2" s="107">
        <f>SUM(M8:M10)</f>
        <v>51000</v>
      </c>
      <c r="N2" s="107">
        <f>SUM(N8:N10)</f>
        <v>51000</v>
      </c>
    </row>
    <row r="3" spans="1:14" ht="15.75" x14ac:dyDescent="0.25">
      <c r="A3" s="108"/>
      <c r="B3" s="109"/>
      <c r="C3" s="110"/>
      <c r="D3" s="110"/>
      <c r="E3" s="111"/>
      <c r="F3" s="112"/>
      <c r="G3" s="2017" t="s">
        <v>168</v>
      </c>
      <c r="H3" s="2017"/>
      <c r="I3" s="2017"/>
      <c r="J3" s="2017"/>
      <c r="K3" s="2017"/>
      <c r="L3" s="2017"/>
      <c r="M3" s="2017"/>
      <c r="N3" s="2017"/>
    </row>
    <row r="4" spans="1:14" ht="11.25" customHeight="1" x14ac:dyDescent="0.2">
      <c r="A4" s="113"/>
      <c r="B4" s="114" t="s">
        <v>169</v>
      </c>
      <c r="C4" s="115" t="s">
        <v>170</v>
      </c>
      <c r="D4" s="2020" t="s">
        <v>171</v>
      </c>
      <c r="E4" s="2020"/>
      <c r="F4" s="2020"/>
      <c r="G4" s="116"/>
      <c r="H4" s="672">
        <v>2021</v>
      </c>
      <c r="I4" s="117">
        <v>2022</v>
      </c>
      <c r="J4" s="117" t="s">
        <v>998</v>
      </c>
      <c r="K4" s="117" t="s">
        <v>999</v>
      </c>
      <c r="L4" s="117">
        <v>2024</v>
      </c>
      <c r="M4" s="117">
        <v>2025</v>
      </c>
      <c r="N4" s="117">
        <v>2026</v>
      </c>
    </row>
    <row r="5" spans="1:14" ht="15" customHeight="1" x14ac:dyDescent="0.2">
      <c r="A5" s="113"/>
      <c r="B5" s="114" t="s">
        <v>172</v>
      </c>
      <c r="C5" s="115" t="s">
        <v>173</v>
      </c>
      <c r="D5" s="2020"/>
      <c r="E5" s="2020"/>
      <c r="F5" s="2020"/>
      <c r="G5" s="118" t="s">
        <v>174</v>
      </c>
      <c r="H5" s="255" t="s">
        <v>175</v>
      </c>
      <c r="I5" s="119" t="s">
        <v>176</v>
      </c>
      <c r="J5" s="119" t="s">
        <v>175</v>
      </c>
      <c r="K5" s="119" t="s">
        <v>176</v>
      </c>
      <c r="L5" s="119" t="s">
        <v>175</v>
      </c>
      <c r="M5" s="119" t="s">
        <v>176</v>
      </c>
      <c r="N5" s="119" t="s">
        <v>176</v>
      </c>
    </row>
    <row r="6" spans="1:14" x14ac:dyDescent="0.2">
      <c r="A6" s="256"/>
      <c r="B6" s="257" t="s">
        <v>177</v>
      </c>
      <c r="C6" s="258" t="s">
        <v>178</v>
      </c>
      <c r="D6" s="2020"/>
      <c r="E6" s="2020"/>
      <c r="F6" s="2020"/>
      <c r="G6" s="259">
        <v>1</v>
      </c>
      <c r="H6" s="259">
        <v>-3</v>
      </c>
      <c r="I6" s="260">
        <v>-2</v>
      </c>
      <c r="J6" s="260">
        <v>-1</v>
      </c>
      <c r="K6" s="260">
        <v>-1</v>
      </c>
      <c r="L6" s="260">
        <v>0</v>
      </c>
      <c r="M6" s="260">
        <v>1</v>
      </c>
      <c r="N6" s="260">
        <v>2</v>
      </c>
    </row>
    <row r="7" spans="1:14" ht="15" x14ac:dyDescent="0.25">
      <c r="A7" s="131">
        <v>1</v>
      </c>
      <c r="B7" s="261" t="s">
        <v>333</v>
      </c>
      <c r="C7" s="262"/>
      <c r="D7" s="263"/>
      <c r="E7" s="264" t="s">
        <v>334</v>
      </c>
      <c r="F7" s="265"/>
      <c r="G7" s="266" t="e">
        <f>G11+#REF!</f>
        <v>#REF!</v>
      </c>
      <c r="H7" s="776">
        <f>H8+H9+H10</f>
        <v>936406.15</v>
      </c>
      <c r="I7" s="130">
        <f>SUM(I8:I10)</f>
        <v>56150</v>
      </c>
      <c r="J7" s="130">
        <f>J8+J9+J10</f>
        <v>75000</v>
      </c>
      <c r="K7" s="130">
        <f>SUM(K8:K10)</f>
        <v>93341</v>
      </c>
      <c r="L7" s="267">
        <f>SUM(L8:L10)</f>
        <v>48500</v>
      </c>
      <c r="M7" s="130">
        <f>SUM(M8:M10)</f>
        <v>51000</v>
      </c>
      <c r="N7" s="130">
        <f>SUM(N8:N10)</f>
        <v>51000</v>
      </c>
    </row>
    <row r="8" spans="1:14" x14ac:dyDescent="0.2">
      <c r="A8" s="131">
        <f t="shared" ref="A8:A14" si="0">A7+1</f>
        <v>2</v>
      </c>
      <c r="B8" s="268" t="s">
        <v>180</v>
      </c>
      <c r="C8" s="626" t="s">
        <v>181</v>
      </c>
      <c r="D8" s="627"/>
      <c r="E8" s="628"/>
      <c r="F8" s="629"/>
      <c r="G8" s="630" t="e">
        <f>G12+#REF!</f>
        <v>#REF!</v>
      </c>
      <c r="H8" s="710">
        <f>H12</f>
        <v>65212.15</v>
      </c>
      <c r="I8" s="631">
        <f>SUM(I12)</f>
        <v>56150</v>
      </c>
      <c r="J8" s="631">
        <f>J12</f>
        <v>45000</v>
      </c>
      <c r="K8" s="631">
        <f>SUM(K12)</f>
        <v>45332</v>
      </c>
      <c r="L8" s="709">
        <f>SUM(L12)</f>
        <v>48500</v>
      </c>
      <c r="M8" s="631">
        <f>SUM(M12)</f>
        <v>51000</v>
      </c>
      <c r="N8" s="631">
        <f>SUM(N12)</f>
        <v>51000</v>
      </c>
    </row>
    <row r="9" spans="1:14" x14ac:dyDescent="0.2">
      <c r="A9" s="131">
        <f t="shared" si="0"/>
        <v>3</v>
      </c>
      <c r="B9" s="268" t="s">
        <v>182</v>
      </c>
      <c r="C9" s="701" t="s">
        <v>183</v>
      </c>
      <c r="D9" s="702"/>
      <c r="E9" s="703"/>
      <c r="F9" s="704"/>
      <c r="G9" s="705" t="e">
        <f>#REF!</f>
        <v>#REF!</v>
      </c>
      <c r="H9" s="736">
        <f t="shared" ref="H9:N9" si="1">H20</f>
        <v>871194</v>
      </c>
      <c r="I9" s="707">
        <f t="shared" si="1"/>
        <v>0</v>
      </c>
      <c r="J9" s="707">
        <f t="shared" si="1"/>
        <v>30000</v>
      </c>
      <c r="K9" s="707">
        <f t="shared" si="1"/>
        <v>48009</v>
      </c>
      <c r="L9" s="707">
        <f t="shared" si="1"/>
        <v>0</v>
      </c>
      <c r="M9" s="707">
        <f t="shared" si="1"/>
        <v>0</v>
      </c>
      <c r="N9" s="707">
        <f t="shared" si="1"/>
        <v>0</v>
      </c>
    </row>
    <row r="10" spans="1:14" x14ac:dyDescent="0.2">
      <c r="A10" s="131">
        <f t="shared" si="0"/>
        <v>4</v>
      </c>
      <c r="B10" s="268"/>
      <c r="C10" s="738" t="s">
        <v>184</v>
      </c>
      <c r="D10" s="739"/>
      <c r="E10" s="740"/>
      <c r="F10" s="657"/>
      <c r="G10" s="751">
        <v>0</v>
      </c>
      <c r="H10" s="777">
        <v>0</v>
      </c>
      <c r="I10" s="746">
        <v>0</v>
      </c>
      <c r="J10" s="746">
        <v>0</v>
      </c>
      <c r="K10" s="746">
        <v>0</v>
      </c>
      <c r="L10" s="747">
        <v>0</v>
      </c>
      <c r="M10" s="746">
        <v>0</v>
      </c>
      <c r="N10" s="746">
        <v>0</v>
      </c>
    </row>
    <row r="11" spans="1:14" x14ac:dyDescent="0.2">
      <c r="A11" s="131">
        <f t="shared" si="0"/>
        <v>5</v>
      </c>
      <c r="B11" s="365">
        <v>1</v>
      </c>
      <c r="C11" s="366" t="s">
        <v>335</v>
      </c>
      <c r="D11" s="367"/>
      <c r="E11" s="367"/>
      <c r="F11" s="368"/>
      <c r="G11" s="369" t="e">
        <f>SUM(G13)+#REF!</f>
        <v>#REF!</v>
      </c>
      <c r="H11" s="778">
        <f t="shared" ref="H11:N11" si="2">H12+H20</f>
        <v>936406.15</v>
      </c>
      <c r="I11" s="141">
        <f t="shared" si="2"/>
        <v>56150</v>
      </c>
      <c r="J11" s="141">
        <f t="shared" si="2"/>
        <v>75000</v>
      </c>
      <c r="K11" s="141">
        <f t="shared" si="2"/>
        <v>93341</v>
      </c>
      <c r="L11" s="141">
        <f t="shared" si="2"/>
        <v>48500</v>
      </c>
      <c r="M11" s="141">
        <f t="shared" si="2"/>
        <v>51000</v>
      </c>
      <c r="N11" s="141">
        <f t="shared" si="2"/>
        <v>51000</v>
      </c>
    </row>
    <row r="12" spans="1:14" s="190" customFormat="1" x14ac:dyDescent="0.2">
      <c r="A12" s="131">
        <f t="shared" si="0"/>
        <v>6</v>
      </c>
      <c r="B12" s="272"/>
      <c r="C12" s="152"/>
      <c r="D12" s="134" t="s">
        <v>181</v>
      </c>
      <c r="E12" s="153"/>
      <c r="F12" s="154"/>
      <c r="G12" s="155" t="e">
        <f>G13</f>
        <v>#REF!</v>
      </c>
      <c r="H12" s="410">
        <f>H13</f>
        <v>65212.15</v>
      </c>
      <c r="I12" s="156">
        <f t="shared" ref="I12:N12" si="3">I13</f>
        <v>56150</v>
      </c>
      <c r="J12" s="156">
        <f>J13</f>
        <v>45000</v>
      </c>
      <c r="K12" s="156">
        <f t="shared" si="3"/>
        <v>45332</v>
      </c>
      <c r="L12" s="156">
        <f t="shared" si="3"/>
        <v>48500</v>
      </c>
      <c r="M12" s="156">
        <f t="shared" si="3"/>
        <v>51000</v>
      </c>
      <c r="N12" s="156">
        <f t="shared" si="3"/>
        <v>51000</v>
      </c>
    </row>
    <row r="13" spans="1:14" x14ac:dyDescent="0.2">
      <c r="A13" s="131">
        <f t="shared" si="0"/>
        <v>7</v>
      </c>
      <c r="B13" s="274"/>
      <c r="C13" s="275" t="s">
        <v>336</v>
      </c>
      <c r="D13" s="192" t="s">
        <v>337</v>
      </c>
      <c r="E13" s="276"/>
      <c r="F13" s="277"/>
      <c r="G13" s="194" t="e">
        <f>SUM(#REF!)</f>
        <v>#REF!</v>
      </c>
      <c r="H13" s="278">
        <f>SUM(H14:H19)</f>
        <v>65212.15</v>
      </c>
      <c r="I13" s="163">
        <f>SUM(I14,I15,I16,I17,I18,I19)</f>
        <v>56150</v>
      </c>
      <c r="J13" s="163">
        <f>SUM(J14:J19)</f>
        <v>45000</v>
      </c>
      <c r="K13" s="163">
        <f>SUM(K14,K15,K16,K17,K18,K19)</f>
        <v>45332</v>
      </c>
      <c r="L13" s="163">
        <f>SUM(L14,L15,L16,L17,L18,L19)</f>
        <v>48500</v>
      </c>
      <c r="M13" s="163">
        <f>SUM(M14,M15,M16,M17,M18,M19)</f>
        <v>51000</v>
      </c>
      <c r="N13" s="163">
        <f>SUM(N14,N15,N16,N17,N18,N19)</f>
        <v>51000</v>
      </c>
    </row>
    <row r="14" spans="1:14" x14ac:dyDescent="0.2">
      <c r="A14" s="131">
        <f t="shared" si="0"/>
        <v>8</v>
      </c>
      <c r="B14" s="274"/>
      <c r="C14" s="213" t="s">
        <v>190</v>
      </c>
      <c r="D14" s="214" t="s">
        <v>215</v>
      </c>
      <c r="E14" s="172" t="s">
        <v>191</v>
      </c>
      <c r="F14" s="202"/>
      <c r="G14" s="203"/>
      <c r="H14" s="415">
        <f>výdavky!F302</f>
        <v>11500</v>
      </c>
      <c r="I14" s="175">
        <f>výdavky!G302</f>
        <v>14400</v>
      </c>
      <c r="J14" s="175">
        <f>výdavky!H302</f>
        <v>15000</v>
      </c>
      <c r="K14" s="175">
        <f>výdavky!I302</f>
        <v>15750</v>
      </c>
      <c r="L14" s="175">
        <f>výdavky!J302</f>
        <v>15750</v>
      </c>
      <c r="M14" s="175">
        <f>výdavky!K302</f>
        <v>16000</v>
      </c>
      <c r="N14" s="175">
        <f>výdavky!L302</f>
        <v>16000</v>
      </c>
    </row>
    <row r="15" spans="1:14" x14ac:dyDescent="0.2">
      <c r="A15" s="131">
        <v>9</v>
      </c>
      <c r="B15" s="274"/>
      <c r="C15" s="213" t="s">
        <v>192</v>
      </c>
      <c r="D15" s="214" t="s">
        <v>217</v>
      </c>
      <c r="E15" s="172" t="s">
        <v>193</v>
      </c>
      <c r="F15" s="202"/>
      <c r="G15" s="203"/>
      <c r="H15" s="415">
        <f>výdavky!F304</f>
        <v>4100</v>
      </c>
      <c r="I15" s="175">
        <f>výdavky!G304</f>
        <v>5100</v>
      </c>
      <c r="J15" s="175">
        <f>výdavky!H304</f>
        <v>5500</v>
      </c>
      <c r="K15" s="175">
        <f>výdavky!I304</f>
        <v>5250</v>
      </c>
      <c r="L15" s="175">
        <f>výdavky!J304</f>
        <v>5250</v>
      </c>
      <c r="M15" s="175">
        <f>výdavky!K304</f>
        <v>5500</v>
      </c>
      <c r="N15" s="175">
        <f>výdavky!L304</f>
        <v>5500</v>
      </c>
    </row>
    <row r="16" spans="1:14" x14ac:dyDescent="0.2">
      <c r="A16" s="131">
        <v>10</v>
      </c>
      <c r="B16" s="274"/>
      <c r="C16" s="213" t="s">
        <v>196</v>
      </c>
      <c r="D16" s="214" t="s">
        <v>228</v>
      </c>
      <c r="E16" s="172" t="s">
        <v>197</v>
      </c>
      <c r="F16" s="202"/>
      <c r="G16" s="203"/>
      <c r="H16" s="415">
        <f>výdavky!F305</f>
        <v>14700</v>
      </c>
      <c r="I16" s="175">
        <f>výdavky!G305</f>
        <v>32450</v>
      </c>
      <c r="J16" s="175">
        <f>výdavky!H305</f>
        <v>20000</v>
      </c>
      <c r="K16" s="175">
        <f>výdavky!I305</f>
        <v>20000</v>
      </c>
      <c r="L16" s="175">
        <f>výdavky!J305</f>
        <v>23000</v>
      </c>
      <c r="M16" s="175">
        <f>výdavky!K305</f>
        <v>25000</v>
      </c>
      <c r="N16" s="175">
        <f>výdavky!L305</f>
        <v>25000</v>
      </c>
    </row>
    <row r="17" spans="1:14" x14ac:dyDescent="0.2">
      <c r="A17" s="131">
        <v>11</v>
      </c>
      <c r="B17" s="274"/>
      <c r="C17" s="213" t="s">
        <v>198</v>
      </c>
      <c r="D17" s="214" t="s">
        <v>230</v>
      </c>
      <c r="E17" s="172" t="s">
        <v>199</v>
      </c>
      <c r="F17" s="202"/>
      <c r="G17" s="203"/>
      <c r="H17" s="415">
        <f>výdavky!F306</f>
        <v>4010</v>
      </c>
      <c r="I17" s="175">
        <f>výdavky!G306</f>
        <v>1000</v>
      </c>
      <c r="J17" s="175">
        <f>výdavky!H306</f>
        <v>1000</v>
      </c>
      <c r="K17" s="175">
        <f>výdavky!I306+výdavky!I308</f>
        <v>2832</v>
      </c>
      <c r="L17" s="175">
        <f>výdavky!J306+výdavky!J308</f>
        <v>1000</v>
      </c>
      <c r="M17" s="175">
        <f>výdavky!K306</f>
        <v>1000</v>
      </c>
      <c r="N17" s="175">
        <f>výdavky!L306</f>
        <v>1000</v>
      </c>
    </row>
    <row r="18" spans="1:14" x14ac:dyDescent="0.2">
      <c r="A18" s="131">
        <v>12</v>
      </c>
      <c r="B18" s="274"/>
      <c r="C18" s="213" t="s">
        <v>202</v>
      </c>
      <c r="D18" s="214" t="s">
        <v>232</v>
      </c>
      <c r="E18" s="172" t="s">
        <v>278</v>
      </c>
      <c r="F18" s="202"/>
      <c r="G18" s="203"/>
      <c r="H18" s="415">
        <f>výdavky!F309</f>
        <v>2200</v>
      </c>
      <c r="I18" s="175">
        <f>výdavky!G309</f>
        <v>1200</v>
      </c>
      <c r="J18" s="175">
        <f>výdavky!H309</f>
        <v>500</v>
      </c>
      <c r="K18" s="175">
        <f>výdavky!I309</f>
        <v>500</v>
      </c>
      <c r="L18" s="175">
        <f>výdavky!J309</f>
        <v>500</v>
      </c>
      <c r="M18" s="175">
        <f>výdavky!K309</f>
        <v>500</v>
      </c>
      <c r="N18" s="175">
        <f>výdavky!L309</f>
        <v>500</v>
      </c>
    </row>
    <row r="19" spans="1:14" x14ac:dyDescent="0.2">
      <c r="A19" s="131">
        <f>A18+1</f>
        <v>13</v>
      </c>
      <c r="B19" s="274"/>
      <c r="C19" s="213" t="s">
        <v>206</v>
      </c>
      <c r="D19" s="214" t="s">
        <v>230</v>
      </c>
      <c r="E19" s="172" t="s">
        <v>207</v>
      </c>
      <c r="F19" s="202"/>
      <c r="G19" s="203"/>
      <c r="H19" s="415">
        <f>výdavky!F310+výdavky!F311+výdavky!F307+výdavky!F308</f>
        <v>28702.15</v>
      </c>
      <c r="I19" s="175">
        <f>výdavky!G310+výdavky!G307+výdavky!G308+výdavky!G311</f>
        <v>2000</v>
      </c>
      <c r="J19" s="175">
        <f>+výdavky!H308+výdavky!H310</f>
        <v>3000</v>
      </c>
      <c r="K19" s="175">
        <f>výdavky!I310+výdavky!I311</f>
        <v>1000</v>
      </c>
      <c r="L19" s="175">
        <f>výdavky!J310</f>
        <v>3000</v>
      </c>
      <c r="M19" s="175">
        <f>výdavky!K310</f>
        <v>3000</v>
      </c>
      <c r="N19" s="175">
        <f>výdavky!L310</f>
        <v>3000</v>
      </c>
    </row>
    <row r="20" spans="1:14" x14ac:dyDescent="0.2">
      <c r="A20" s="131">
        <v>14</v>
      </c>
      <c r="B20" s="295"/>
      <c r="C20" s="165"/>
      <c r="D20" s="604" t="s">
        <v>183</v>
      </c>
      <c r="E20" s="606"/>
      <c r="F20" s="610"/>
      <c r="G20" s="611">
        <f>G22</f>
        <v>0</v>
      </c>
      <c r="H20" s="617">
        <f t="shared" ref="H20:N20" si="4">H21</f>
        <v>871194</v>
      </c>
      <c r="I20" s="612">
        <f t="shared" si="4"/>
        <v>0</v>
      </c>
      <c r="J20" s="612">
        <f t="shared" si="4"/>
        <v>30000</v>
      </c>
      <c r="K20" s="612">
        <f t="shared" si="4"/>
        <v>48009</v>
      </c>
      <c r="L20" s="612">
        <f t="shared" si="4"/>
        <v>0</v>
      </c>
      <c r="M20" s="612">
        <f t="shared" si="4"/>
        <v>0</v>
      </c>
      <c r="N20" s="612">
        <f t="shared" si="4"/>
        <v>0</v>
      </c>
    </row>
    <row r="21" spans="1:14" x14ac:dyDescent="0.2">
      <c r="A21" s="131">
        <f>A20+1</f>
        <v>15</v>
      </c>
      <c r="B21" s="295"/>
      <c r="C21" s="235" t="s">
        <v>338</v>
      </c>
      <c r="D21" s="159" t="s">
        <v>337</v>
      </c>
      <c r="E21" s="160"/>
      <c r="F21" s="161"/>
      <c r="G21" s="162">
        <f>SUM(G22:G23)</f>
        <v>0</v>
      </c>
      <c r="H21" s="779">
        <f>H22+H23</f>
        <v>871194</v>
      </c>
      <c r="I21" s="163">
        <f>SUM(I22,I23)</f>
        <v>0</v>
      </c>
      <c r="J21" s="163">
        <f>J22+J23</f>
        <v>30000</v>
      </c>
      <c r="K21" s="163">
        <f>SUM(K22,K23)</f>
        <v>48009</v>
      </c>
      <c r="L21" s="163">
        <f>SUM(L22,L23)</f>
        <v>0</v>
      </c>
      <c r="M21" s="163">
        <f>M22+SUM(M22,M23)</f>
        <v>0</v>
      </c>
      <c r="N21" s="163">
        <f>N22+SUM(N22,N23)</f>
        <v>0</v>
      </c>
    </row>
    <row r="22" spans="1:14" x14ac:dyDescent="0.2">
      <c r="A22" s="131">
        <f>A21+1</f>
        <v>16</v>
      </c>
      <c r="B22" s="274"/>
      <c r="C22" s="213" t="s">
        <v>327</v>
      </c>
      <c r="D22" s="214" t="s">
        <v>232</v>
      </c>
      <c r="E22" s="299" t="s">
        <v>328</v>
      </c>
      <c r="F22" s="182"/>
      <c r="G22" s="183"/>
      <c r="H22" s="415">
        <f>výdavky!F728</f>
        <v>0</v>
      </c>
      <c r="I22" s="175">
        <f>výdavky!G728</f>
        <v>0</v>
      </c>
      <c r="J22" s="175">
        <v>0</v>
      </c>
      <c r="K22" s="175">
        <f>výdavky!G728</f>
        <v>0</v>
      </c>
      <c r="L22" s="175">
        <f>výdavky!H728</f>
        <v>0</v>
      </c>
      <c r="M22" s="175">
        <v>0</v>
      </c>
      <c r="N22" s="175">
        <v>0</v>
      </c>
    </row>
    <row r="23" spans="1:14" x14ac:dyDescent="0.2">
      <c r="A23" s="244">
        <f>A22+1</f>
        <v>17</v>
      </c>
      <c r="B23" s="280"/>
      <c r="C23" s="281" t="s">
        <v>329</v>
      </c>
      <c r="D23" s="370" t="s">
        <v>236</v>
      </c>
      <c r="E23" s="371" t="s">
        <v>980</v>
      </c>
      <c r="F23" s="372"/>
      <c r="G23" s="373"/>
      <c r="H23" s="780">
        <f>výdavky!F727</f>
        <v>871194</v>
      </c>
      <c r="I23" s="374">
        <f>výdavky!G731+výdavky!G732+výdavky!G733+výdavky!G734</f>
        <v>0</v>
      </c>
      <c r="J23" s="374">
        <f>výdavky!H727</f>
        <v>30000</v>
      </c>
      <c r="K23" s="374">
        <f>výdavky!I727</f>
        <v>48009</v>
      </c>
      <c r="L23" s="374">
        <f>výdavky!J730</f>
        <v>0</v>
      </c>
      <c r="M23" s="374">
        <f>výdavky!K732</f>
        <v>0</v>
      </c>
      <c r="N23" s="374">
        <f>výdavky!L732</f>
        <v>0</v>
      </c>
    </row>
  </sheetData>
  <mergeCells count="2">
    <mergeCell ref="G3:N3"/>
    <mergeCell ref="D4:F6"/>
  </mergeCells>
  <phoneticPr fontId="44" type="noConversion"/>
  <pageMargins left="0.25" right="0.25" top="0.75" bottom="0.75" header="0.3" footer="0.3"/>
  <pageSetup paperSize="9" scale="85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3</vt:i4>
      </vt:variant>
    </vt:vector>
  </HeadingPairs>
  <TitlesOfParts>
    <vt:vector size="17" baseType="lpstr">
      <vt:lpstr>príjmová časť</vt:lpstr>
      <vt:lpstr>príjmy</vt:lpstr>
      <vt:lpstr>Program 1</vt:lpstr>
      <vt:lpstr>Program 2</vt:lpstr>
      <vt:lpstr>Program 3</vt:lpstr>
      <vt:lpstr>Program 4</vt:lpstr>
      <vt:lpstr>Program 5</vt:lpstr>
      <vt:lpstr>Program 6</vt:lpstr>
      <vt:lpstr>Program 7</vt:lpstr>
      <vt:lpstr>Program 8</vt:lpstr>
      <vt:lpstr>Program 9</vt:lpstr>
      <vt:lpstr>Program 10</vt:lpstr>
      <vt:lpstr>Bilancia</vt:lpstr>
      <vt:lpstr>výdavky</vt:lpstr>
      <vt:lpstr>Excel_BuiltIn_Print_Area_1</vt:lpstr>
      <vt:lpstr>príjmy!Oblasť_tlače</vt:lpstr>
      <vt:lpstr>výdavky!Oblasť_tlače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KOTORA Marián</dc:creator>
  <cp:lastModifiedBy>KOTORA Marián</cp:lastModifiedBy>
  <cp:lastPrinted>2023-12-06T14:51:05Z</cp:lastPrinted>
  <dcterms:created xsi:type="dcterms:W3CDTF">2017-01-04T11:01:38Z</dcterms:created>
  <dcterms:modified xsi:type="dcterms:W3CDTF">2023-12-06T14:53:02Z</dcterms:modified>
</cp:coreProperties>
</file>