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Prenos\Zápisnice OZ\Zápisnice 2024\navrhované dokumenty\15\"/>
    </mc:Choice>
  </mc:AlternateContent>
  <xr:revisionPtr revIDLastSave="0" documentId="13_ncr:1_{6C5B738C-BD49-4BED-A4EC-2A6903251AF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obal" sheetId="26" r:id="rId1"/>
    <sheet name="návrh" sheetId="27" r:id="rId2"/>
    <sheet name="príjmová časť" sheetId="1" r:id="rId3"/>
    <sheet name="príjmy" sheetId="2" r:id="rId4"/>
    <sheet name="Program 1" sheetId="3" r:id="rId5"/>
    <sheet name="TP1" sheetId="16" r:id="rId6"/>
    <sheet name="Program 2" sheetId="4" r:id="rId7"/>
    <sheet name="TP2" sheetId="17" r:id="rId8"/>
    <sheet name="Program 3" sheetId="5" r:id="rId9"/>
    <sheet name="TP3" sheetId="18" r:id="rId10"/>
    <sheet name="Program 4" sheetId="6" r:id="rId11"/>
    <sheet name="TP4" sheetId="19" r:id="rId12"/>
    <sheet name="Program 5" sheetId="7" r:id="rId13"/>
    <sheet name="TP5" sheetId="20" r:id="rId14"/>
    <sheet name="Program 6" sheetId="8" r:id="rId15"/>
    <sheet name="TP6" sheetId="21" r:id="rId16"/>
    <sheet name="Program 7" sheetId="9" r:id="rId17"/>
    <sheet name="TP7" sheetId="22" r:id="rId18"/>
    <sheet name="Program 8" sheetId="10" r:id="rId19"/>
    <sheet name="TP8" sheetId="23" r:id="rId20"/>
    <sheet name="Program 9" sheetId="11" r:id="rId21"/>
    <sheet name="TP9" sheetId="24" r:id="rId22"/>
    <sheet name="Program 10" sheetId="12" r:id="rId23"/>
    <sheet name="TP10" sheetId="25" r:id="rId24"/>
    <sheet name="Bilancia" sheetId="13" r:id="rId25"/>
    <sheet name="výdavky" sheetId="15" r:id="rId26"/>
  </sheets>
  <externalReferences>
    <externalReference r:id="rId27"/>
  </externalReferences>
  <definedNames>
    <definedName name="Excel_BuiltIn_Print_Area_1">výdavky!$A$1:$AU$841</definedName>
    <definedName name="_xlnm.Print_Area" localSheetId="3">príjmy!$A$1:$T$305</definedName>
    <definedName name="_xlnm.Print_Area" localSheetId="25">výdavky!$A$1:$J$861</definedName>
  </definedNames>
  <calcPr calcId="191029"/>
</workbook>
</file>

<file path=xl/calcChain.xml><?xml version="1.0" encoding="utf-8"?>
<calcChain xmlns="http://schemas.openxmlformats.org/spreadsheetml/2006/main">
  <c r="H814" i="15" l="1"/>
  <c r="M148" i="1"/>
  <c r="R207" i="2"/>
  <c r="H833" i="15" l="1"/>
  <c r="L14" i="11"/>
  <c r="H169" i="23"/>
  <c r="G169" i="23"/>
  <c r="F169" i="23"/>
  <c r="E169" i="23"/>
  <c r="D169" i="23"/>
  <c r="C169" i="23"/>
  <c r="B169" i="23"/>
  <c r="H150" i="23"/>
  <c r="G150" i="23"/>
  <c r="F150" i="23"/>
  <c r="E150" i="23"/>
  <c r="D150" i="23"/>
  <c r="C150" i="23"/>
  <c r="B150" i="23"/>
  <c r="H134" i="23"/>
  <c r="G134" i="23"/>
  <c r="F134" i="23"/>
  <c r="E134" i="23"/>
  <c r="D134" i="23"/>
  <c r="C134" i="23"/>
  <c r="B134" i="23"/>
  <c r="H117" i="23"/>
  <c r="G117" i="23"/>
  <c r="F117" i="23"/>
  <c r="E117" i="23"/>
  <c r="D117" i="23"/>
  <c r="C117" i="23"/>
  <c r="B117" i="23"/>
  <c r="H102" i="23"/>
  <c r="G102" i="23"/>
  <c r="F102" i="23"/>
  <c r="E102" i="23"/>
  <c r="D102" i="23"/>
  <c r="C102" i="23"/>
  <c r="B102" i="23"/>
  <c r="H84" i="23"/>
  <c r="G84" i="23"/>
  <c r="F84" i="23"/>
  <c r="E84" i="23"/>
  <c r="D84" i="23"/>
  <c r="C84" i="23"/>
  <c r="B84" i="23"/>
  <c r="H66" i="23"/>
  <c r="G66" i="23"/>
  <c r="F66" i="23"/>
  <c r="E66" i="23"/>
  <c r="D66" i="23"/>
  <c r="C66" i="23"/>
  <c r="B66" i="23"/>
  <c r="H55" i="23"/>
  <c r="G55" i="23"/>
  <c r="F55" i="23"/>
  <c r="E55" i="23"/>
  <c r="D55" i="23"/>
  <c r="C55" i="23"/>
  <c r="B55" i="23"/>
  <c r="H37" i="23"/>
  <c r="G37" i="23"/>
  <c r="F37" i="23"/>
  <c r="E37" i="23"/>
  <c r="D37" i="23"/>
  <c r="C37" i="23"/>
  <c r="B37" i="23"/>
  <c r="H20" i="23"/>
  <c r="G20" i="23"/>
  <c r="F20" i="23"/>
  <c r="E20" i="23"/>
  <c r="D20" i="23"/>
  <c r="C20" i="23"/>
  <c r="B20" i="23"/>
  <c r="H8" i="23"/>
  <c r="G8" i="23"/>
  <c r="F8" i="23"/>
  <c r="E8" i="23"/>
  <c r="D8" i="23"/>
  <c r="C8" i="23"/>
  <c r="B8" i="23"/>
  <c r="L76" i="10"/>
  <c r="N75" i="10"/>
  <c r="M75" i="10"/>
  <c r="L75" i="10"/>
  <c r="K75" i="10"/>
  <c r="J75" i="10"/>
  <c r="I75" i="10"/>
  <c r="H75" i="10"/>
  <c r="G75" i="10"/>
  <c r="N74" i="10"/>
  <c r="M74" i="10"/>
  <c r="G74" i="10" s="1"/>
  <c r="L74" i="10"/>
  <c r="K74" i="10"/>
  <c r="J74" i="10"/>
  <c r="I74" i="10"/>
  <c r="H74" i="10"/>
  <c r="N73" i="10"/>
  <c r="M73" i="10"/>
  <c r="G73" i="10" s="1"/>
  <c r="L73" i="10"/>
  <c r="K73" i="10"/>
  <c r="J73" i="10"/>
  <c r="I73" i="10"/>
  <c r="I72" i="10" s="1"/>
  <c r="I71" i="10" s="1"/>
  <c r="I70" i="10" s="1"/>
  <c r="H73" i="10"/>
  <c r="H72" i="10" s="1"/>
  <c r="H71" i="10" s="1"/>
  <c r="H70" i="10" s="1"/>
  <c r="N72" i="10"/>
  <c r="M72" i="10"/>
  <c r="L72" i="10"/>
  <c r="K72" i="10"/>
  <c r="J72" i="10"/>
  <c r="J71" i="10" s="1"/>
  <c r="J70" i="10" s="1"/>
  <c r="N71" i="10"/>
  <c r="M71" i="10"/>
  <c r="L71" i="10"/>
  <c r="K71" i="10"/>
  <c r="K70" i="10" s="1"/>
  <c r="N70" i="10"/>
  <c r="M70" i="10"/>
  <c r="L70" i="10"/>
  <c r="N69" i="10"/>
  <c r="N67" i="10" s="1"/>
  <c r="M69" i="10"/>
  <c r="M67" i="10" s="1"/>
  <c r="L69" i="10"/>
  <c r="K69" i="10"/>
  <c r="J69" i="10"/>
  <c r="I69" i="10"/>
  <c r="H69" i="10"/>
  <c r="G68" i="10"/>
  <c r="G65" i="10" s="1"/>
  <c r="A68" i="10"/>
  <c r="A69" i="10" s="1"/>
  <c r="A70" i="10" s="1"/>
  <c r="A71" i="10" s="1"/>
  <c r="A72" i="10" s="1"/>
  <c r="A73" i="10" s="1"/>
  <c r="A74" i="10" s="1"/>
  <c r="L67" i="10"/>
  <c r="K67" i="10"/>
  <c r="J67" i="10"/>
  <c r="I67" i="10"/>
  <c r="H67" i="10"/>
  <c r="G67" i="10"/>
  <c r="G66" i="10" s="1"/>
  <c r="A67" i="10"/>
  <c r="L66" i="10"/>
  <c r="K66" i="10"/>
  <c r="J66" i="10"/>
  <c r="I66" i="10"/>
  <c r="H66" i="10"/>
  <c r="H65" i="10" s="1"/>
  <c r="A66" i="10"/>
  <c r="L65" i="10"/>
  <c r="K65" i="10"/>
  <c r="J65" i="10"/>
  <c r="I65" i="10"/>
  <c r="N64" i="10"/>
  <c r="M64" i="10"/>
  <c r="L64" i="10"/>
  <c r="K64" i="10"/>
  <c r="J64" i="10"/>
  <c r="I64" i="10"/>
  <c r="H64" i="10"/>
  <c r="N63" i="10"/>
  <c r="M63" i="10"/>
  <c r="L63" i="10"/>
  <c r="K63" i="10"/>
  <c r="J63" i="10"/>
  <c r="I63" i="10"/>
  <c r="I62" i="10" s="1"/>
  <c r="I56" i="10" s="1"/>
  <c r="H63" i="10"/>
  <c r="H62" i="10" s="1"/>
  <c r="H56" i="10" s="1"/>
  <c r="G63" i="10"/>
  <c r="A63" i="10"/>
  <c r="A64" i="10" s="1"/>
  <c r="N62" i="10"/>
  <c r="M62" i="10"/>
  <c r="L62" i="10"/>
  <c r="K62" i="10"/>
  <c r="J62" i="10"/>
  <c r="G62" i="10"/>
  <c r="N61" i="10"/>
  <c r="M61" i="10"/>
  <c r="L61" i="10"/>
  <c r="K61" i="10"/>
  <c r="J61" i="10"/>
  <c r="J58" i="10" s="1"/>
  <c r="J57" i="10" s="1"/>
  <c r="J56" i="10" s="1"/>
  <c r="I61" i="10"/>
  <c r="H61" i="10"/>
  <c r="G61" i="10"/>
  <c r="N60" i="10"/>
  <c r="M60" i="10"/>
  <c r="G60" i="10" s="1"/>
  <c r="L60" i="10"/>
  <c r="K60" i="10"/>
  <c r="J60" i="10"/>
  <c r="I60" i="10"/>
  <c r="H60" i="10"/>
  <c r="N59" i="10"/>
  <c r="M59" i="10"/>
  <c r="G59" i="10" s="1"/>
  <c r="L59" i="10"/>
  <c r="L58" i="10" s="1"/>
  <c r="L57" i="10" s="1"/>
  <c r="L56" i="10" s="1"/>
  <c r="K59" i="10"/>
  <c r="K58" i="10" s="1"/>
  <c r="K57" i="10" s="1"/>
  <c r="K56" i="10" s="1"/>
  <c r="J59" i="10"/>
  <c r="I59" i="10"/>
  <c r="H59" i="10"/>
  <c r="N58" i="10"/>
  <c r="M58" i="10"/>
  <c r="M57" i="10" s="1"/>
  <c r="M56" i="10" s="1"/>
  <c r="I58" i="10"/>
  <c r="H58" i="10"/>
  <c r="N57" i="10"/>
  <c r="N56" i="10" s="1"/>
  <c r="I57" i="10"/>
  <c r="H57" i="10"/>
  <c r="A57" i="10"/>
  <c r="A58" i="10" s="1"/>
  <c r="A59" i="10" s="1"/>
  <c r="A60" i="10" s="1"/>
  <c r="A61" i="10" s="1"/>
  <c r="N55" i="10"/>
  <c r="M55" i="10"/>
  <c r="L55" i="10"/>
  <c r="K55" i="10"/>
  <c r="K53" i="10" s="1"/>
  <c r="K52" i="10" s="1"/>
  <c r="K51" i="10" s="1"/>
  <c r="J55" i="10"/>
  <c r="I55" i="10"/>
  <c r="H55" i="10"/>
  <c r="N54" i="10"/>
  <c r="N53" i="10" s="1"/>
  <c r="N52" i="10" s="1"/>
  <c r="N51" i="10" s="1"/>
  <c r="N28" i="10" s="1"/>
  <c r="M54" i="10"/>
  <c r="L54" i="10"/>
  <c r="K54" i="10"/>
  <c r="J54" i="10"/>
  <c r="J53" i="10" s="1"/>
  <c r="J52" i="10" s="1"/>
  <c r="J51" i="10" s="1"/>
  <c r="I54" i="10"/>
  <c r="I53" i="10" s="1"/>
  <c r="I52" i="10" s="1"/>
  <c r="I51" i="10" s="1"/>
  <c r="H54" i="10"/>
  <c r="H53" i="10" s="1"/>
  <c r="H52" i="10" s="1"/>
  <c r="H51" i="10" s="1"/>
  <c r="M53" i="10"/>
  <c r="M52" i="10" s="1"/>
  <c r="M51" i="10" s="1"/>
  <c r="L53" i="10"/>
  <c r="L52" i="10"/>
  <c r="L51" i="10" s="1"/>
  <c r="N50" i="10"/>
  <c r="N49" i="10" s="1"/>
  <c r="N48" i="10" s="1"/>
  <c r="N47" i="10" s="1"/>
  <c r="M50" i="10"/>
  <c r="M49" i="10" s="1"/>
  <c r="M48" i="10" s="1"/>
  <c r="M47" i="10" s="1"/>
  <c r="L50" i="10"/>
  <c r="L49" i="10" s="1"/>
  <c r="L48" i="10" s="1"/>
  <c r="L47" i="10" s="1"/>
  <c r="K50" i="10"/>
  <c r="K49" i="10" s="1"/>
  <c r="K48" i="10" s="1"/>
  <c r="K47" i="10" s="1"/>
  <c r="J50" i="10"/>
  <c r="J49" i="10" s="1"/>
  <c r="J48" i="10" s="1"/>
  <c r="J47" i="10" s="1"/>
  <c r="I50" i="10"/>
  <c r="H50" i="10"/>
  <c r="I49" i="10"/>
  <c r="I48" i="10" s="1"/>
  <c r="I47" i="10" s="1"/>
  <c r="H49" i="10"/>
  <c r="H48" i="10"/>
  <c r="H47" i="10" s="1"/>
  <c r="N46" i="10"/>
  <c r="N45" i="10" s="1"/>
  <c r="N44" i="10" s="1"/>
  <c r="N43" i="10" s="1"/>
  <c r="M46" i="10"/>
  <c r="L46" i="10"/>
  <c r="K46" i="10"/>
  <c r="J46" i="10"/>
  <c r="I46" i="10"/>
  <c r="H46" i="10"/>
  <c r="M45" i="10"/>
  <c r="L45" i="10"/>
  <c r="L44" i="10" s="1"/>
  <c r="L43" i="10" s="1"/>
  <c r="K45" i="10"/>
  <c r="J45" i="10"/>
  <c r="I45" i="10"/>
  <c r="H45" i="10"/>
  <c r="M44" i="10"/>
  <c r="M43" i="10" s="1"/>
  <c r="K44" i="10"/>
  <c r="J44" i="10"/>
  <c r="I44" i="10"/>
  <c r="H44" i="10"/>
  <c r="K43" i="10"/>
  <c r="J43" i="10"/>
  <c r="I43" i="10"/>
  <c r="H43" i="10"/>
  <c r="G43" i="10"/>
  <c r="N42" i="10"/>
  <c r="M42" i="10"/>
  <c r="G42" i="10" s="1"/>
  <c r="G41" i="10" s="1"/>
  <c r="L42" i="10"/>
  <c r="K42" i="10"/>
  <c r="J42" i="10"/>
  <c r="I42" i="10"/>
  <c r="I41" i="10" s="1"/>
  <c r="H42" i="10"/>
  <c r="N41" i="10"/>
  <c r="N9" i="10" s="1"/>
  <c r="M41" i="10"/>
  <c r="L41" i="10"/>
  <c r="K41" i="10"/>
  <c r="J41" i="10"/>
  <c r="J9" i="10" s="1"/>
  <c r="H41" i="10"/>
  <c r="N39" i="10"/>
  <c r="M39" i="10"/>
  <c r="L39" i="10"/>
  <c r="K39" i="10"/>
  <c r="J39" i="10"/>
  <c r="I39" i="10"/>
  <c r="H39" i="10"/>
  <c r="N38" i="10"/>
  <c r="M38" i="10"/>
  <c r="L38" i="10"/>
  <c r="K38" i="10"/>
  <c r="J38" i="10"/>
  <c r="I38" i="10"/>
  <c r="H38" i="10"/>
  <c r="A38" i="10"/>
  <c r="A39" i="10" s="1"/>
  <c r="A40" i="10" s="1"/>
  <c r="A41" i="10" s="1"/>
  <c r="A42" i="10" s="1"/>
  <c r="A43" i="10" s="1"/>
  <c r="A44" i="10" s="1"/>
  <c r="A45" i="10" s="1"/>
  <c r="A46" i="10" s="1"/>
  <c r="N37" i="10"/>
  <c r="M37" i="10"/>
  <c r="L37" i="10"/>
  <c r="K37" i="10"/>
  <c r="J37" i="10"/>
  <c r="I37" i="10"/>
  <c r="H37" i="10"/>
  <c r="N36" i="10"/>
  <c r="M36" i="10"/>
  <c r="L36" i="10"/>
  <c r="K36" i="10"/>
  <c r="J36" i="10"/>
  <c r="I36" i="10"/>
  <c r="H36" i="10"/>
  <c r="N35" i="10"/>
  <c r="M35" i="10"/>
  <c r="L35" i="10"/>
  <c r="K35" i="10"/>
  <c r="J35" i="10"/>
  <c r="I35" i="10"/>
  <c r="H35" i="10"/>
  <c r="N34" i="10"/>
  <c r="M34" i="10"/>
  <c r="L34" i="10"/>
  <c r="K34" i="10"/>
  <c r="J34" i="10"/>
  <c r="I34" i="10"/>
  <c r="H34" i="10"/>
  <c r="N33" i="10"/>
  <c r="M33" i="10"/>
  <c r="L33" i="10"/>
  <c r="K33" i="10"/>
  <c r="J33" i="10"/>
  <c r="I33" i="10"/>
  <c r="H33" i="10"/>
  <c r="N32" i="10"/>
  <c r="M32" i="10"/>
  <c r="G32" i="10" s="1"/>
  <c r="L32" i="10"/>
  <c r="K32" i="10"/>
  <c r="K31" i="10" s="1"/>
  <c r="K30" i="10" s="1"/>
  <c r="K29" i="10" s="1"/>
  <c r="J32" i="10"/>
  <c r="I32" i="10"/>
  <c r="I31" i="10" s="1"/>
  <c r="I30" i="10" s="1"/>
  <c r="H32" i="10"/>
  <c r="N31" i="10"/>
  <c r="M31" i="10"/>
  <c r="L31" i="10"/>
  <c r="L30" i="10" s="1"/>
  <c r="L29" i="10" s="1"/>
  <c r="J31" i="10"/>
  <c r="J30" i="10" s="1"/>
  <c r="J29" i="10" s="1"/>
  <c r="H31" i="10"/>
  <c r="N30" i="10"/>
  <c r="M30" i="10"/>
  <c r="M29" i="10" s="1"/>
  <c r="H30" i="10"/>
  <c r="N29" i="10"/>
  <c r="H29" i="10"/>
  <c r="G29" i="10"/>
  <c r="A29" i="10"/>
  <c r="A30" i="10" s="1"/>
  <c r="A31" i="10" s="1"/>
  <c r="A32" i="10" s="1"/>
  <c r="A33" i="10" s="1"/>
  <c r="A34" i="10" s="1"/>
  <c r="A35" i="10" s="1"/>
  <c r="A36" i="10" s="1"/>
  <c r="N27" i="10"/>
  <c r="M27" i="10"/>
  <c r="L27" i="10"/>
  <c r="K27" i="10"/>
  <c r="K26" i="10" s="1"/>
  <c r="K25" i="10" s="1"/>
  <c r="K9" i="10" s="1"/>
  <c r="J27" i="10"/>
  <c r="I27" i="10"/>
  <c r="I26" i="10" s="1"/>
  <c r="I25" i="10" s="1"/>
  <c r="H27" i="10"/>
  <c r="N26" i="10"/>
  <c r="M26" i="10"/>
  <c r="M25" i="10" s="1"/>
  <c r="M9" i="10" s="1"/>
  <c r="L26" i="10"/>
  <c r="J26" i="10"/>
  <c r="H26" i="10"/>
  <c r="G26" i="10"/>
  <c r="G25" i="10" s="1"/>
  <c r="G9" i="10" s="1"/>
  <c r="N25" i="10"/>
  <c r="L25" i="10"/>
  <c r="J25" i="10"/>
  <c r="H25" i="10"/>
  <c r="H9" i="10" s="1"/>
  <c r="N24" i="10"/>
  <c r="M24" i="10"/>
  <c r="L24" i="10"/>
  <c r="K24" i="10"/>
  <c r="J24" i="10"/>
  <c r="I24" i="10"/>
  <c r="H24" i="10"/>
  <c r="N23" i="10"/>
  <c r="M23" i="10"/>
  <c r="L23" i="10"/>
  <c r="K23" i="10"/>
  <c r="J23" i="10"/>
  <c r="I23" i="10"/>
  <c r="H23" i="10"/>
  <c r="G23" i="10"/>
  <c r="N22" i="10"/>
  <c r="M22" i="10"/>
  <c r="G22" i="10" s="1"/>
  <c r="G21" i="10" s="1"/>
  <c r="L22" i="10"/>
  <c r="K22" i="10"/>
  <c r="J22" i="10"/>
  <c r="J21" i="10" s="1"/>
  <c r="J20" i="10" s="1"/>
  <c r="J19" i="10" s="1"/>
  <c r="I22" i="10"/>
  <c r="H22" i="10"/>
  <c r="H21" i="10" s="1"/>
  <c r="H20" i="10" s="1"/>
  <c r="N21" i="10"/>
  <c r="M21" i="10"/>
  <c r="L21" i="10"/>
  <c r="K21" i="10"/>
  <c r="K20" i="10" s="1"/>
  <c r="N20" i="10"/>
  <c r="M20" i="10"/>
  <c r="L20" i="10"/>
  <c r="L19" i="10" s="1"/>
  <c r="N19" i="10"/>
  <c r="A19" i="10"/>
  <c r="A20" i="10" s="1"/>
  <c r="A21" i="10" s="1"/>
  <c r="A22" i="10" s="1"/>
  <c r="A23" i="10" s="1"/>
  <c r="A24" i="10" s="1"/>
  <c r="A25" i="10" s="1"/>
  <c r="A26" i="10" s="1"/>
  <c r="A27" i="10" s="1"/>
  <c r="N18" i="10"/>
  <c r="M18" i="10"/>
  <c r="L18" i="10"/>
  <c r="K18" i="10"/>
  <c r="J18" i="10"/>
  <c r="I18" i="10"/>
  <c r="H18" i="10"/>
  <c r="N17" i="10"/>
  <c r="M17" i="10"/>
  <c r="L17" i="10"/>
  <c r="K17" i="10"/>
  <c r="J17" i="10"/>
  <c r="I17" i="10"/>
  <c r="I13" i="10" s="1"/>
  <c r="I12" i="10" s="1"/>
  <c r="I11" i="10" s="1"/>
  <c r="H17" i="10"/>
  <c r="N16" i="10"/>
  <c r="M16" i="10"/>
  <c r="L16" i="10"/>
  <c r="L13" i="10" s="1"/>
  <c r="L12" i="10" s="1"/>
  <c r="K16" i="10"/>
  <c r="J16" i="10"/>
  <c r="J13" i="10" s="1"/>
  <c r="J12" i="10" s="1"/>
  <c r="I16" i="10"/>
  <c r="H16" i="10"/>
  <c r="H13" i="10" s="1"/>
  <c r="H12" i="10" s="1"/>
  <c r="N15" i="10"/>
  <c r="M15" i="10"/>
  <c r="L15" i="10"/>
  <c r="K15" i="10"/>
  <c r="J15" i="10"/>
  <c r="I15" i="10"/>
  <c r="H15" i="10"/>
  <c r="N14" i="10"/>
  <c r="M14" i="10"/>
  <c r="L14" i="10"/>
  <c r="K14" i="10"/>
  <c r="K13" i="10" s="1"/>
  <c r="K12" i="10" s="1"/>
  <c r="J14" i="10"/>
  <c r="I14" i="10"/>
  <c r="H14" i="10"/>
  <c r="G13" i="10"/>
  <c r="G12" i="10"/>
  <c r="G11" i="10"/>
  <c r="G7" i="10" s="1"/>
  <c r="G10" i="10"/>
  <c r="L9" i="10"/>
  <c r="A9" i="10"/>
  <c r="A10" i="10" s="1"/>
  <c r="A11" i="10" s="1"/>
  <c r="A12" i="10" s="1"/>
  <c r="A13" i="10" s="1"/>
  <c r="A14" i="10" s="1"/>
  <c r="A15" i="10" s="1"/>
  <c r="A8" i="10"/>
  <c r="L11" i="10" l="1"/>
  <c r="L8" i="10"/>
  <c r="L7" i="10" s="1"/>
  <c r="K11" i="10"/>
  <c r="K8" i="10"/>
  <c r="K7" i="10" s="1"/>
  <c r="K19" i="10"/>
  <c r="I29" i="10"/>
  <c r="I28" i="10"/>
  <c r="G8" i="10"/>
  <c r="M19" i="10"/>
  <c r="J28" i="10"/>
  <c r="K28" i="10"/>
  <c r="M66" i="10"/>
  <c r="M65" i="10"/>
  <c r="I21" i="10"/>
  <c r="I20" i="10" s="1"/>
  <c r="J8" i="10"/>
  <c r="J7" i="10" s="1"/>
  <c r="J11" i="10"/>
  <c r="M28" i="10"/>
  <c r="G20" i="10"/>
  <c r="G19" i="10"/>
  <c r="M13" i="10"/>
  <c r="M12" i="10" s="1"/>
  <c r="H19" i="10"/>
  <c r="G31" i="10"/>
  <c r="G58" i="10"/>
  <c r="N66" i="10"/>
  <c r="N65" i="10"/>
  <c r="N13" i="10"/>
  <c r="N12" i="10" s="1"/>
  <c r="H8" i="10"/>
  <c r="H7" i="10" s="1"/>
  <c r="H11" i="10"/>
  <c r="I9" i="10"/>
  <c r="H28" i="10"/>
  <c r="L28" i="10"/>
  <c r="G72" i="10"/>
  <c r="G57" i="10" l="1"/>
  <c r="G56" i="10"/>
  <c r="I19" i="10"/>
  <c r="I8" i="10"/>
  <c r="I7" i="10" s="1"/>
  <c r="M8" i="10"/>
  <c r="M7" i="10" s="1"/>
  <c r="M11" i="10"/>
  <c r="N11" i="10"/>
  <c r="N8" i="10"/>
  <c r="N7" i="10" s="1"/>
  <c r="G71" i="10"/>
  <c r="G70" i="10"/>
  <c r="G28" i="10"/>
  <c r="G30" i="10"/>
  <c r="G45" i="10" l="1"/>
  <c r="G44" i="10" s="1"/>
  <c r="L21" i="7" l="1"/>
  <c r="H226" i="15"/>
  <c r="L28" i="6"/>
  <c r="L39" i="3" l="1"/>
  <c r="G30" i="13" l="1"/>
  <c r="G344" i="15"/>
  <c r="H455" i="15"/>
  <c r="H523" i="15"/>
  <c r="G366" i="15" l="1"/>
  <c r="F366" i="15"/>
  <c r="Q121" i="2"/>
  <c r="Q84" i="2"/>
  <c r="Q16" i="2"/>
  <c r="Q9" i="2"/>
  <c r="H761" i="15"/>
  <c r="H748" i="15"/>
  <c r="H757" i="15"/>
  <c r="G523" i="15"/>
  <c r="G190" i="15"/>
  <c r="G196" i="15"/>
  <c r="H241" i="15" l="1"/>
  <c r="H398" i="15"/>
  <c r="H522" i="15"/>
  <c r="G588" i="15"/>
  <c r="G584" i="15"/>
  <c r="G73" i="15"/>
  <c r="H73" i="15"/>
  <c r="G398" i="15"/>
  <c r="H37" i="6" l="1"/>
  <c r="G775" i="15" l="1"/>
  <c r="G211" i="15" l="1"/>
  <c r="L43" i="11" l="1"/>
  <c r="I32" i="6" l="1"/>
  <c r="D20" i="13" l="1"/>
  <c r="D17" i="13"/>
  <c r="N23" i="11"/>
  <c r="M23" i="11"/>
  <c r="L23" i="11"/>
  <c r="K23" i="11"/>
  <c r="J23" i="11"/>
  <c r="N22" i="11"/>
  <c r="M22" i="11"/>
  <c r="L22" i="11"/>
  <c r="K22" i="11"/>
  <c r="J22" i="11"/>
  <c r="I22" i="11"/>
  <c r="I23" i="11"/>
  <c r="H22" i="11"/>
  <c r="H23" i="11"/>
  <c r="L20" i="8"/>
  <c r="L56" i="3"/>
  <c r="K56" i="3"/>
  <c r="I56" i="3"/>
  <c r="N54" i="3"/>
  <c r="M54" i="3"/>
  <c r="L54" i="3"/>
  <c r="K54" i="3"/>
  <c r="J54" i="3"/>
  <c r="I54" i="3"/>
  <c r="H54" i="3"/>
  <c r="N53" i="3"/>
  <c r="M53" i="3"/>
  <c r="L53" i="3"/>
  <c r="K53" i="3"/>
  <c r="J53" i="3"/>
  <c r="I53" i="3"/>
  <c r="H53" i="3"/>
  <c r="K40" i="3"/>
  <c r="G49" i="15"/>
  <c r="K23" i="3" s="1"/>
  <c r="J24" i="3"/>
  <c r="N69" i="3" l="1"/>
  <c r="M69" i="3"/>
  <c r="N65" i="3"/>
  <c r="N64" i="3"/>
  <c r="N62" i="3"/>
  <c r="N61" i="3"/>
  <c r="N60" i="3"/>
  <c r="N56" i="3"/>
  <c r="N55" i="3"/>
  <c r="N52" i="3"/>
  <c r="N49" i="3"/>
  <c r="N47" i="3"/>
  <c r="N46" i="3"/>
  <c r="N44" i="3"/>
  <c r="N40" i="3"/>
  <c r="N39" i="3"/>
  <c r="N35" i="3"/>
  <c r="N34" i="3"/>
  <c r="N33" i="3"/>
  <c r="N32" i="3"/>
  <c r="N31" i="3"/>
  <c r="N24" i="3"/>
  <c r="N18" i="3"/>
  <c r="N17" i="3"/>
  <c r="N16" i="3"/>
  <c r="N15" i="3"/>
  <c r="M70" i="3"/>
  <c r="M65" i="3"/>
  <c r="M64" i="3"/>
  <c r="M62" i="3"/>
  <c r="M61" i="3"/>
  <c r="M60" i="3"/>
  <c r="M56" i="3"/>
  <c r="M55" i="3"/>
  <c r="M52" i="3"/>
  <c r="M49" i="3"/>
  <c r="M47" i="3"/>
  <c r="M46" i="3"/>
  <c r="M44" i="3"/>
  <c r="M40" i="3"/>
  <c r="M39" i="3"/>
  <c r="M35" i="3"/>
  <c r="M34" i="3"/>
  <c r="M33" i="3"/>
  <c r="M32" i="3"/>
  <c r="M31" i="3"/>
  <c r="M24" i="3"/>
  <c r="M18" i="3"/>
  <c r="M17" i="3"/>
  <c r="M16" i="3"/>
  <c r="M15" i="3"/>
  <c r="L70" i="3"/>
  <c r="L69" i="3"/>
  <c r="L65" i="3"/>
  <c r="L64" i="3"/>
  <c r="L62" i="3"/>
  <c r="L61" i="3"/>
  <c r="L60" i="3"/>
  <c r="L55" i="3"/>
  <c r="L52" i="3"/>
  <c r="L49" i="3"/>
  <c r="L47" i="3"/>
  <c r="L46" i="3"/>
  <c r="L44" i="3"/>
  <c r="L40" i="3"/>
  <c r="L35" i="3"/>
  <c r="L34" i="3"/>
  <c r="L33" i="3"/>
  <c r="L32" i="3"/>
  <c r="L31" i="3"/>
  <c r="L24" i="3"/>
  <c r="L18" i="3"/>
  <c r="L17" i="3"/>
  <c r="L16" i="3"/>
  <c r="L15" i="3"/>
  <c r="K69" i="3"/>
  <c r="K65" i="3"/>
  <c r="K64" i="3"/>
  <c r="K62" i="3"/>
  <c r="K61" i="3"/>
  <c r="K60" i="3"/>
  <c r="K55" i="3"/>
  <c r="K52" i="3"/>
  <c r="K49" i="3"/>
  <c r="K46" i="3"/>
  <c r="K47" i="3"/>
  <c r="K44" i="3"/>
  <c r="K39" i="3"/>
  <c r="K35" i="3"/>
  <c r="K34" i="3"/>
  <c r="K33" i="3"/>
  <c r="K32" i="3"/>
  <c r="K31" i="3"/>
  <c r="K24" i="3"/>
  <c r="K18" i="3"/>
  <c r="K17" i="3"/>
  <c r="K16" i="3"/>
  <c r="K15" i="3"/>
  <c r="J69" i="3"/>
  <c r="J65" i="3"/>
  <c r="J64" i="3"/>
  <c r="J62" i="3"/>
  <c r="J61" i="3"/>
  <c r="J60" i="3"/>
  <c r="J56" i="3"/>
  <c r="J55" i="3"/>
  <c r="J52" i="3"/>
  <c r="J49" i="3"/>
  <c r="J47" i="3"/>
  <c r="J46" i="3"/>
  <c r="J44" i="3"/>
  <c r="J40" i="3"/>
  <c r="J39" i="3"/>
  <c r="J35" i="3"/>
  <c r="J34" i="3"/>
  <c r="J33" i="3"/>
  <c r="J32" i="3"/>
  <c r="J31" i="3"/>
  <c r="J18" i="3"/>
  <c r="J17" i="3"/>
  <c r="J16" i="3"/>
  <c r="J15" i="3"/>
  <c r="I69" i="3"/>
  <c r="I65" i="3"/>
  <c r="I64" i="3"/>
  <c r="I62" i="3"/>
  <c r="I61" i="3"/>
  <c r="I60" i="3"/>
  <c r="I52" i="3"/>
  <c r="I55" i="3"/>
  <c r="I49" i="3"/>
  <c r="I47" i="3"/>
  <c r="I46" i="3"/>
  <c r="I44" i="3"/>
  <c r="I40" i="3"/>
  <c r="I39" i="3"/>
  <c r="I35" i="3"/>
  <c r="I34" i="3"/>
  <c r="I33" i="3"/>
  <c r="I32" i="3"/>
  <c r="I31" i="3"/>
  <c r="I18" i="3"/>
  <c r="I17" i="3"/>
  <c r="I16" i="3"/>
  <c r="I15" i="3"/>
  <c r="H46" i="3"/>
  <c r="H60" i="3"/>
  <c r="H56" i="3"/>
  <c r="H55" i="3"/>
  <c r="H52" i="3"/>
  <c r="H51" i="3" s="1"/>
  <c r="H40" i="3"/>
  <c r="H69" i="3"/>
  <c r="H65" i="3"/>
  <c r="H64" i="3"/>
  <c r="H62" i="3"/>
  <c r="H61" i="3"/>
  <c r="H49" i="3"/>
  <c r="H47" i="3"/>
  <c r="H44" i="3"/>
  <c r="H39" i="3"/>
  <c r="H35" i="3"/>
  <c r="H34" i="3"/>
  <c r="H33" i="3"/>
  <c r="H32" i="3"/>
  <c r="H31" i="3"/>
  <c r="H18" i="3"/>
  <c r="H17" i="3"/>
  <c r="H16" i="3"/>
  <c r="H15" i="3"/>
  <c r="N17" i="4"/>
  <c r="N16" i="4"/>
  <c r="N15" i="4"/>
  <c r="N14" i="4"/>
  <c r="M17" i="4"/>
  <c r="M16" i="4"/>
  <c r="M15" i="4"/>
  <c r="M14" i="4"/>
  <c r="L17" i="4"/>
  <c r="L16" i="4"/>
  <c r="L15" i="4"/>
  <c r="L14" i="4"/>
  <c r="K17" i="4"/>
  <c r="K16" i="4"/>
  <c r="K15" i="4"/>
  <c r="K14" i="4"/>
  <c r="J17" i="4"/>
  <c r="J16" i="4"/>
  <c r="J15" i="4"/>
  <c r="J14" i="4"/>
  <c r="I17" i="4"/>
  <c r="I16" i="4"/>
  <c r="I15" i="4"/>
  <c r="I14" i="4"/>
  <c r="H17" i="4"/>
  <c r="H16" i="4"/>
  <c r="H15" i="4"/>
  <c r="H14" i="4"/>
  <c r="M37" i="5"/>
  <c r="M26" i="5"/>
  <c r="M23" i="5"/>
  <c r="M22" i="5"/>
  <c r="M21" i="5"/>
  <c r="M20" i="5"/>
  <c r="M17" i="5"/>
  <c r="M16" i="5"/>
  <c r="M15" i="5"/>
  <c r="M14" i="5"/>
  <c r="L45" i="5"/>
  <c r="L42" i="5"/>
  <c r="L41" i="5"/>
  <c r="L40" i="5"/>
  <c r="L37" i="5"/>
  <c r="L26" i="5"/>
  <c r="L23" i="5"/>
  <c r="L22" i="5"/>
  <c r="L21" i="5"/>
  <c r="L20" i="5"/>
  <c r="L17" i="5"/>
  <c r="L16" i="5"/>
  <c r="L15" i="5"/>
  <c r="L14" i="5"/>
  <c r="K42" i="5"/>
  <c r="K41" i="5"/>
  <c r="K40" i="5"/>
  <c r="K37" i="5"/>
  <c r="K33" i="5"/>
  <c r="K29" i="5"/>
  <c r="K26" i="5"/>
  <c r="K23" i="5"/>
  <c r="K22" i="5"/>
  <c r="K21" i="5"/>
  <c r="K20" i="5"/>
  <c r="K17" i="5"/>
  <c r="K16" i="5"/>
  <c r="K15" i="5"/>
  <c r="K14" i="5"/>
  <c r="J42" i="5"/>
  <c r="J41" i="5"/>
  <c r="J40" i="5"/>
  <c r="J37" i="5"/>
  <c r="J33" i="5"/>
  <c r="J29" i="5"/>
  <c r="J26" i="5"/>
  <c r="J23" i="5"/>
  <c r="J22" i="5"/>
  <c r="J21" i="5"/>
  <c r="J20" i="5"/>
  <c r="J17" i="5"/>
  <c r="J16" i="5"/>
  <c r="J15" i="5"/>
  <c r="J14" i="5"/>
  <c r="I42" i="5"/>
  <c r="I41" i="5"/>
  <c r="I40" i="5"/>
  <c r="I37" i="5"/>
  <c r="I33" i="5"/>
  <c r="I29" i="5"/>
  <c r="I26" i="5"/>
  <c r="I23" i="5"/>
  <c r="I22" i="5"/>
  <c r="I21" i="5"/>
  <c r="I20" i="5"/>
  <c r="I17" i="5"/>
  <c r="I16" i="5"/>
  <c r="I15" i="5"/>
  <c r="I14" i="5"/>
  <c r="H42" i="5"/>
  <c r="H41" i="5"/>
  <c r="H40" i="5"/>
  <c r="H38" i="5"/>
  <c r="H37" i="5"/>
  <c r="H33" i="5"/>
  <c r="H29" i="5"/>
  <c r="H26" i="5"/>
  <c r="H23" i="5"/>
  <c r="H22" i="5"/>
  <c r="H21" i="5"/>
  <c r="H20" i="5"/>
  <c r="H17" i="5"/>
  <c r="H16" i="5"/>
  <c r="H15" i="5"/>
  <c r="H14" i="5"/>
  <c r="N45" i="6"/>
  <c r="N44" i="6"/>
  <c r="N43" i="6"/>
  <c r="N42" i="6"/>
  <c r="N41" i="6"/>
  <c r="N39" i="6"/>
  <c r="N38" i="6"/>
  <c r="N37" i="6"/>
  <c r="J202" i="15"/>
  <c r="N33" i="6"/>
  <c r="M33" i="6"/>
  <c r="K33" i="6"/>
  <c r="N32" i="6"/>
  <c r="N31" i="6" s="1"/>
  <c r="M32" i="6"/>
  <c r="N28" i="6"/>
  <c r="N27" i="6"/>
  <c r="N24" i="6"/>
  <c r="N19" i="6"/>
  <c r="N18" i="6"/>
  <c r="N17" i="6"/>
  <c r="N16" i="6"/>
  <c r="N15" i="6"/>
  <c r="N14" i="6"/>
  <c r="M44" i="6"/>
  <c r="M43" i="6"/>
  <c r="M42" i="6"/>
  <c r="M41" i="6"/>
  <c r="M39" i="6"/>
  <c r="M38" i="6"/>
  <c r="M37" i="6"/>
  <c r="M28" i="6"/>
  <c r="M27" i="6"/>
  <c r="M19" i="6"/>
  <c r="M18" i="6"/>
  <c r="M17" i="6"/>
  <c r="M16" i="6"/>
  <c r="M15" i="6"/>
  <c r="M14" i="6"/>
  <c r="H202" i="15"/>
  <c r="L41" i="6" s="1"/>
  <c r="K41" i="6"/>
  <c r="H196" i="15"/>
  <c r="L40" i="6" s="1"/>
  <c r="L48" i="6"/>
  <c r="L45" i="6"/>
  <c r="L44" i="6"/>
  <c r="L43" i="6"/>
  <c r="L42" i="6"/>
  <c r="L39" i="6"/>
  <c r="L38" i="6"/>
  <c r="L37" i="6"/>
  <c r="L33" i="6"/>
  <c r="L32" i="6"/>
  <c r="L27" i="6"/>
  <c r="L24" i="6"/>
  <c r="L23" i="6"/>
  <c r="L19" i="6"/>
  <c r="L18" i="6"/>
  <c r="L17" i="6"/>
  <c r="L16" i="6"/>
  <c r="L15" i="6"/>
  <c r="L14" i="6"/>
  <c r="K28" i="6"/>
  <c r="K23" i="6"/>
  <c r="K45" i="6"/>
  <c r="K44" i="6"/>
  <c r="K43" i="6"/>
  <c r="K42" i="6"/>
  <c r="K40" i="6"/>
  <c r="K39" i="6"/>
  <c r="K38" i="6"/>
  <c r="K37" i="6"/>
  <c r="K27" i="6"/>
  <c r="K24" i="6"/>
  <c r="K19" i="6"/>
  <c r="K18" i="6"/>
  <c r="K17" i="6"/>
  <c r="K16" i="6"/>
  <c r="K15" i="6"/>
  <c r="K14" i="6"/>
  <c r="J48" i="6"/>
  <c r="J45" i="6"/>
  <c r="J44" i="6"/>
  <c r="J43" i="6"/>
  <c r="J42" i="6"/>
  <c r="J39" i="6"/>
  <c r="J38" i="6"/>
  <c r="J37" i="6"/>
  <c r="J33" i="6"/>
  <c r="J32" i="6"/>
  <c r="J28" i="6"/>
  <c r="J27" i="6"/>
  <c r="M24" i="6"/>
  <c r="J24" i="6"/>
  <c r="I24" i="6"/>
  <c r="J23" i="6"/>
  <c r="J19" i="6"/>
  <c r="J18" i="6"/>
  <c r="J17" i="6"/>
  <c r="J16" i="6"/>
  <c r="J15" i="6"/>
  <c r="J14" i="6"/>
  <c r="I45" i="6"/>
  <c r="I44" i="6"/>
  <c r="I43" i="6"/>
  <c r="I42" i="6"/>
  <c r="I39" i="6"/>
  <c r="I38" i="6"/>
  <c r="I37" i="6"/>
  <c r="I33" i="6"/>
  <c r="I31" i="6" s="1"/>
  <c r="I28" i="6"/>
  <c r="I27" i="6"/>
  <c r="I23" i="6"/>
  <c r="I19" i="6"/>
  <c r="I18" i="6"/>
  <c r="I17" i="6"/>
  <c r="I16" i="6"/>
  <c r="I15" i="6"/>
  <c r="I14" i="6"/>
  <c r="H45" i="6"/>
  <c r="H44" i="6"/>
  <c r="H43" i="6"/>
  <c r="H42" i="6"/>
  <c r="H39" i="6"/>
  <c r="H38" i="6"/>
  <c r="H33" i="6"/>
  <c r="H32" i="6"/>
  <c r="H28" i="6"/>
  <c r="H27" i="6"/>
  <c r="H23" i="6"/>
  <c r="H19" i="6"/>
  <c r="H18" i="6"/>
  <c r="H17" i="6"/>
  <c r="H16" i="6"/>
  <c r="H15" i="6"/>
  <c r="H14" i="6"/>
  <c r="M31" i="6" l="1"/>
  <c r="G56" i="19" s="1"/>
  <c r="K51" i="3"/>
  <c r="J51" i="3"/>
  <c r="L36" i="6"/>
  <c r="H190" i="15"/>
  <c r="N35" i="7"/>
  <c r="M35" i="7"/>
  <c r="N19" i="7"/>
  <c r="N51" i="7"/>
  <c r="N50" i="7"/>
  <c r="N46" i="7"/>
  <c r="N45" i="7"/>
  <c r="N44" i="7"/>
  <c r="N41" i="7"/>
  <c r="N39" i="7"/>
  <c r="N36" i="7"/>
  <c r="N34" i="7"/>
  <c r="N33" i="7"/>
  <c r="N32" i="7"/>
  <c r="N31" i="7"/>
  <c r="N30" i="7"/>
  <c r="N26" i="7"/>
  <c r="N25" i="7"/>
  <c r="N22" i="7"/>
  <c r="N21" i="7"/>
  <c r="N20" i="7"/>
  <c r="N17" i="7"/>
  <c r="N16" i="7"/>
  <c r="N15" i="7"/>
  <c r="N14" i="7"/>
  <c r="M51" i="7"/>
  <c r="M50" i="7"/>
  <c r="M46" i="7"/>
  <c r="M45" i="7"/>
  <c r="M44" i="7"/>
  <c r="M41" i="7"/>
  <c r="M40" i="7"/>
  <c r="M39" i="7"/>
  <c r="M36" i="7"/>
  <c r="M34" i="7"/>
  <c r="M33" i="7"/>
  <c r="M32" i="7"/>
  <c r="M31" i="7"/>
  <c r="M30" i="7"/>
  <c r="M26" i="7"/>
  <c r="M25" i="7"/>
  <c r="M22" i="7"/>
  <c r="M21" i="7"/>
  <c r="M20" i="7"/>
  <c r="M19" i="7"/>
  <c r="M17" i="7"/>
  <c r="M16" i="7"/>
  <c r="M15" i="7"/>
  <c r="M14" i="7"/>
  <c r="L35" i="7"/>
  <c r="H266" i="15"/>
  <c r="H260" i="15" s="1"/>
  <c r="L51" i="7"/>
  <c r="L50" i="7"/>
  <c r="L46" i="7"/>
  <c r="L45" i="7"/>
  <c r="L44" i="7"/>
  <c r="L41" i="7"/>
  <c r="L40" i="7"/>
  <c r="L39" i="7"/>
  <c r="L36" i="7"/>
  <c r="L33" i="7"/>
  <c r="L32" i="7"/>
  <c r="L31" i="7"/>
  <c r="L30" i="7"/>
  <c r="L26" i="7"/>
  <c r="L25" i="7"/>
  <c r="L22" i="7"/>
  <c r="L20" i="7"/>
  <c r="L19" i="7"/>
  <c r="L17" i="7"/>
  <c r="L16" i="7"/>
  <c r="L15" i="7"/>
  <c r="L14" i="7"/>
  <c r="K50" i="7"/>
  <c r="K46" i="7"/>
  <c r="K45" i="7"/>
  <c r="K44" i="7"/>
  <c r="K41" i="7"/>
  <c r="K40" i="7"/>
  <c r="K39" i="7"/>
  <c r="K36" i="7"/>
  <c r="K35" i="7"/>
  <c r="K33" i="7"/>
  <c r="K32" i="7"/>
  <c r="K31" i="7"/>
  <c r="K30" i="7"/>
  <c r="K26" i="7"/>
  <c r="K25" i="7"/>
  <c r="K22" i="7"/>
  <c r="K21" i="7"/>
  <c r="K20" i="7"/>
  <c r="K19" i="7"/>
  <c r="K17" i="7"/>
  <c r="K16" i="7"/>
  <c r="K15" i="7"/>
  <c r="K14" i="7"/>
  <c r="J51" i="7"/>
  <c r="J50" i="7"/>
  <c r="J46" i="7"/>
  <c r="J45" i="7"/>
  <c r="J44" i="7"/>
  <c r="J41" i="7"/>
  <c r="J39" i="7"/>
  <c r="J36" i="7"/>
  <c r="J35" i="7"/>
  <c r="J33" i="7"/>
  <c r="J32" i="7"/>
  <c r="J31" i="7"/>
  <c r="J30" i="7"/>
  <c r="J26" i="7"/>
  <c r="J25" i="7"/>
  <c r="J22" i="7"/>
  <c r="J21" i="7"/>
  <c r="J20" i="7"/>
  <c r="J19" i="7"/>
  <c r="J17" i="7"/>
  <c r="J16" i="7"/>
  <c r="J15" i="7"/>
  <c r="J14" i="7"/>
  <c r="E248" i="15"/>
  <c r="I18" i="7" s="1"/>
  <c r="E241" i="15"/>
  <c r="I20" i="7"/>
  <c r="I51" i="7"/>
  <c r="I50" i="7"/>
  <c r="I46" i="7"/>
  <c r="I45" i="7"/>
  <c r="I44" i="7"/>
  <c r="I41" i="7"/>
  <c r="I40" i="7"/>
  <c r="I39" i="7"/>
  <c r="I36" i="7"/>
  <c r="I35" i="7"/>
  <c r="I33" i="7"/>
  <c r="I32" i="7"/>
  <c r="I31" i="7"/>
  <c r="I30" i="7"/>
  <c r="I26" i="7"/>
  <c r="I25" i="7"/>
  <c r="I22" i="7"/>
  <c r="I21" i="7"/>
  <c r="I19" i="7"/>
  <c r="I17" i="7"/>
  <c r="I16" i="7"/>
  <c r="I15" i="7"/>
  <c r="I14" i="7"/>
  <c r="H51" i="7"/>
  <c r="H50" i="7"/>
  <c r="H46" i="7"/>
  <c r="H45" i="7"/>
  <c r="H44" i="7"/>
  <c r="H41" i="7"/>
  <c r="H40" i="7"/>
  <c r="H39" i="7"/>
  <c r="H36" i="7"/>
  <c r="H35" i="7"/>
  <c r="H33" i="7"/>
  <c r="H32" i="7"/>
  <c r="H31" i="7"/>
  <c r="H30" i="7"/>
  <c r="H26" i="7"/>
  <c r="H25" i="7"/>
  <c r="H22" i="7"/>
  <c r="H21" i="7"/>
  <c r="H20" i="7"/>
  <c r="H19" i="7"/>
  <c r="H17" i="7"/>
  <c r="H16" i="7"/>
  <c r="H15" i="7"/>
  <c r="H14" i="7"/>
  <c r="N29" i="8"/>
  <c r="N28" i="8"/>
  <c r="N27" i="8"/>
  <c r="N26" i="8"/>
  <c r="N17" i="8"/>
  <c r="N16" i="8"/>
  <c r="N15" i="8"/>
  <c r="N14" i="8"/>
  <c r="M29" i="8"/>
  <c r="M28" i="8"/>
  <c r="M27" i="8"/>
  <c r="M26" i="8"/>
  <c r="M17" i="8"/>
  <c r="M16" i="8"/>
  <c r="M15" i="8"/>
  <c r="M14" i="8"/>
  <c r="L32" i="8"/>
  <c r="L29" i="8"/>
  <c r="L28" i="8"/>
  <c r="L27" i="8"/>
  <c r="L26" i="8"/>
  <c r="L21" i="8"/>
  <c r="L17" i="8"/>
  <c r="L16" i="8"/>
  <c r="L15" i="8"/>
  <c r="L14" i="8"/>
  <c r="K32" i="8"/>
  <c r="K29" i="8"/>
  <c r="K28" i="8"/>
  <c r="K27" i="8"/>
  <c r="K26" i="8"/>
  <c r="K22" i="8"/>
  <c r="K21" i="8"/>
  <c r="K20" i="8"/>
  <c r="K17" i="8"/>
  <c r="K16" i="8"/>
  <c r="K15" i="8"/>
  <c r="K14" i="8"/>
  <c r="J32" i="8"/>
  <c r="J29" i="8"/>
  <c r="J28" i="8"/>
  <c r="J27" i="8"/>
  <c r="J26" i="8"/>
  <c r="J21" i="8"/>
  <c r="J20" i="8"/>
  <c r="J17" i="8"/>
  <c r="J16" i="8"/>
  <c r="J15" i="8"/>
  <c r="J14" i="8"/>
  <c r="I22" i="8"/>
  <c r="I29" i="8"/>
  <c r="I28" i="8"/>
  <c r="I27" i="8"/>
  <c r="I26" i="8"/>
  <c r="I21" i="8"/>
  <c r="I20" i="8"/>
  <c r="I17" i="8"/>
  <c r="I16" i="8"/>
  <c r="I15" i="8"/>
  <c r="I14" i="8"/>
  <c r="H21" i="8"/>
  <c r="H29" i="8"/>
  <c r="H28" i="8"/>
  <c r="H27" i="8"/>
  <c r="H26" i="8"/>
  <c r="H20" i="8"/>
  <c r="H17" i="8"/>
  <c r="H16" i="8"/>
  <c r="H15" i="8"/>
  <c r="H14" i="8"/>
  <c r="N23" i="9"/>
  <c r="N19" i="9"/>
  <c r="N18" i="9"/>
  <c r="N17" i="9"/>
  <c r="N16" i="9"/>
  <c r="N15" i="9"/>
  <c r="N14" i="9"/>
  <c r="M23" i="9"/>
  <c r="M19" i="9"/>
  <c r="M18" i="9"/>
  <c r="M17" i="9"/>
  <c r="M16" i="9"/>
  <c r="M15" i="9"/>
  <c r="M14" i="9"/>
  <c r="L23" i="9"/>
  <c r="L22" i="9"/>
  <c r="L19" i="9"/>
  <c r="L18" i="9"/>
  <c r="L17" i="9"/>
  <c r="L16" i="9"/>
  <c r="L15" i="9"/>
  <c r="L14" i="9"/>
  <c r="K17" i="9"/>
  <c r="K23" i="9"/>
  <c r="K22" i="9"/>
  <c r="K19" i="9"/>
  <c r="K18" i="9"/>
  <c r="K16" i="9"/>
  <c r="K15" i="9"/>
  <c r="K14" i="9"/>
  <c r="J19" i="9"/>
  <c r="J18" i="9"/>
  <c r="J17" i="9"/>
  <c r="J16" i="9"/>
  <c r="J15" i="9"/>
  <c r="J14" i="9"/>
  <c r="I22" i="9"/>
  <c r="I19" i="9"/>
  <c r="I18" i="9"/>
  <c r="I17" i="9"/>
  <c r="I16" i="9"/>
  <c r="I15" i="9"/>
  <c r="I14" i="9"/>
  <c r="H22" i="9"/>
  <c r="H19" i="9"/>
  <c r="H18" i="9"/>
  <c r="H17" i="9"/>
  <c r="H16" i="9"/>
  <c r="H15" i="9"/>
  <c r="H14" i="9"/>
  <c r="J335" i="15"/>
  <c r="N59" i="11"/>
  <c r="N56" i="11"/>
  <c r="N55" i="11"/>
  <c r="N54" i="11"/>
  <c r="N53" i="11"/>
  <c r="N52" i="11"/>
  <c r="N51" i="11"/>
  <c r="N50" i="11"/>
  <c r="N49" i="11"/>
  <c r="N48" i="11"/>
  <c r="N47" i="11"/>
  <c r="N39" i="11"/>
  <c r="N38" i="11"/>
  <c r="N37" i="11"/>
  <c r="N36" i="11"/>
  <c r="N34" i="11"/>
  <c r="N33" i="11"/>
  <c r="N32" i="11"/>
  <c r="N19" i="11"/>
  <c r="N18" i="11"/>
  <c r="N14" i="11"/>
  <c r="M59" i="11"/>
  <c r="M56" i="11"/>
  <c r="M55" i="11"/>
  <c r="M54" i="11"/>
  <c r="M53" i="11"/>
  <c r="M52" i="11"/>
  <c r="M51" i="11"/>
  <c r="M50" i="11"/>
  <c r="M49" i="11"/>
  <c r="M48" i="11"/>
  <c r="M47" i="11"/>
  <c r="M39" i="11"/>
  <c r="M38" i="11"/>
  <c r="M37" i="11"/>
  <c r="M36" i="11"/>
  <c r="M34" i="11"/>
  <c r="M33" i="11"/>
  <c r="M32" i="11"/>
  <c r="M19" i="11"/>
  <c r="M18" i="11"/>
  <c r="M14" i="11"/>
  <c r="L59" i="11"/>
  <c r="L50" i="11"/>
  <c r="L56" i="11"/>
  <c r="L55" i="11"/>
  <c r="L54" i="11"/>
  <c r="L53" i="11"/>
  <c r="L52" i="11"/>
  <c r="L51" i="11"/>
  <c r="L49" i="11"/>
  <c r="L48" i="11"/>
  <c r="L47" i="11"/>
  <c r="L42" i="11"/>
  <c r="L39" i="11"/>
  <c r="L38" i="11"/>
  <c r="L37" i="11"/>
  <c r="L36" i="11"/>
  <c r="L35" i="11"/>
  <c r="L34" i="11"/>
  <c r="L33" i="11"/>
  <c r="L32" i="11"/>
  <c r="L19" i="11"/>
  <c r="L18" i="11"/>
  <c r="I14" i="11"/>
  <c r="H14" i="11"/>
  <c r="K39" i="11"/>
  <c r="K50" i="11"/>
  <c r="K59" i="11"/>
  <c r="K56" i="11"/>
  <c r="K55" i="11"/>
  <c r="K54" i="11"/>
  <c r="K53" i="11"/>
  <c r="K52" i="11"/>
  <c r="K51" i="11"/>
  <c r="K49" i="11"/>
  <c r="K48" i="11"/>
  <c r="K47" i="11"/>
  <c r="K43" i="11"/>
  <c r="K42" i="11"/>
  <c r="K38" i="11"/>
  <c r="K37" i="11"/>
  <c r="K36" i="11"/>
  <c r="K34" i="11"/>
  <c r="K33" i="11"/>
  <c r="K32" i="11"/>
  <c r="K29" i="11"/>
  <c r="K18" i="11"/>
  <c r="K16" i="11"/>
  <c r="K14" i="11"/>
  <c r="J50" i="11"/>
  <c r="J59" i="11"/>
  <c r="J56" i="11"/>
  <c r="J55" i="11"/>
  <c r="J54" i="11"/>
  <c r="J53" i="11"/>
  <c r="J52" i="11"/>
  <c r="J51" i="11"/>
  <c r="J49" i="11"/>
  <c r="J48" i="11"/>
  <c r="J47" i="11"/>
  <c r="J43" i="11"/>
  <c r="J42" i="11"/>
  <c r="J39" i="11"/>
  <c r="J38" i="11"/>
  <c r="J37" i="11"/>
  <c r="J36" i="11"/>
  <c r="J35" i="11"/>
  <c r="J34" i="11"/>
  <c r="J33" i="11"/>
  <c r="J32" i="11"/>
  <c r="J19" i="11"/>
  <c r="J18" i="11"/>
  <c r="J14" i="11"/>
  <c r="H59" i="11"/>
  <c r="H56" i="11"/>
  <c r="H55" i="11"/>
  <c r="H54" i="11"/>
  <c r="H53" i="11"/>
  <c r="H52" i="11"/>
  <c r="H51" i="11"/>
  <c r="H50" i="11"/>
  <c r="H49" i="11"/>
  <c r="H48" i="11"/>
  <c r="H47" i="11"/>
  <c r="H39" i="11"/>
  <c r="H38" i="11"/>
  <c r="H37" i="11"/>
  <c r="H36" i="11"/>
  <c r="H35" i="11"/>
  <c r="H34" i="11"/>
  <c r="H33" i="11"/>
  <c r="H32" i="11"/>
  <c r="H29" i="11"/>
  <c r="H19" i="11"/>
  <c r="H18" i="11"/>
  <c r="H16" i="11"/>
  <c r="L34" i="7" l="1"/>
  <c r="L29" i="7" s="1"/>
  <c r="N40" i="12"/>
  <c r="N39" i="12"/>
  <c r="N38" i="12"/>
  <c r="N34" i="12"/>
  <c r="N33" i="12"/>
  <c r="N26" i="12"/>
  <c r="N25" i="12"/>
  <c r="N21" i="12"/>
  <c r="N20" i="12"/>
  <c r="N16" i="12"/>
  <c r="N15" i="12"/>
  <c r="N14" i="12"/>
  <c r="M40" i="12"/>
  <c r="M39" i="12"/>
  <c r="M38" i="12"/>
  <c r="M34" i="12"/>
  <c r="M33" i="12"/>
  <c r="M26" i="12"/>
  <c r="M25" i="12"/>
  <c r="M21" i="12"/>
  <c r="M20" i="12"/>
  <c r="M16" i="12"/>
  <c r="M15" i="12"/>
  <c r="M14" i="12"/>
  <c r="L40" i="12"/>
  <c r="L39" i="12"/>
  <c r="L38" i="12"/>
  <c r="L34" i="12"/>
  <c r="L33" i="12"/>
  <c r="L26" i="12"/>
  <c r="L25" i="12"/>
  <c r="L21" i="12"/>
  <c r="L20" i="12"/>
  <c r="L16" i="12"/>
  <c r="L15" i="12"/>
  <c r="L14" i="12"/>
  <c r="K40" i="12"/>
  <c r="K39" i="12"/>
  <c r="K38" i="12"/>
  <c r="K34" i="12"/>
  <c r="K33" i="12"/>
  <c r="K29" i="12"/>
  <c r="K26" i="12"/>
  <c r="K25" i="12"/>
  <c r="K21" i="12"/>
  <c r="K20" i="12"/>
  <c r="K16" i="12"/>
  <c r="K15" i="12"/>
  <c r="K14" i="12"/>
  <c r="J26" i="12"/>
  <c r="J40" i="12"/>
  <c r="J39" i="12"/>
  <c r="J38" i="12"/>
  <c r="J34" i="12"/>
  <c r="J33" i="12"/>
  <c r="J29" i="12"/>
  <c r="J25" i="12"/>
  <c r="J21" i="12"/>
  <c r="J20" i="12"/>
  <c r="J16" i="12"/>
  <c r="J15" i="12"/>
  <c r="J14" i="12"/>
  <c r="I26" i="12"/>
  <c r="I40" i="12"/>
  <c r="I39" i="12"/>
  <c r="I38" i="12"/>
  <c r="I34" i="12"/>
  <c r="I33" i="12"/>
  <c r="I25" i="12"/>
  <c r="I21" i="12"/>
  <c r="I20" i="12"/>
  <c r="I16" i="12"/>
  <c r="I15" i="12"/>
  <c r="I14" i="12"/>
  <c r="H40" i="12"/>
  <c r="H39" i="12"/>
  <c r="H38" i="12"/>
  <c r="H34" i="12"/>
  <c r="H33" i="12"/>
  <c r="H29" i="12"/>
  <c r="H26" i="12"/>
  <c r="H25" i="12"/>
  <c r="H21" i="12"/>
  <c r="H20" i="12"/>
  <c r="H16" i="12"/>
  <c r="H15" i="12"/>
  <c r="H14" i="12"/>
  <c r="K24" i="12" l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25" i="1"/>
  <c r="O123" i="1"/>
  <c r="O120" i="1"/>
  <c r="O119" i="1"/>
  <c r="O118" i="1"/>
  <c r="O117" i="1"/>
  <c r="O116" i="1"/>
  <c r="O112" i="1"/>
  <c r="O110" i="1"/>
  <c r="O80" i="1"/>
  <c r="O88" i="1"/>
  <c r="O85" i="1"/>
  <c r="O82" i="1"/>
  <c r="O81" i="1"/>
  <c r="O93" i="1"/>
  <c r="O90" i="1"/>
  <c r="O89" i="1"/>
  <c r="O86" i="1"/>
  <c r="O84" i="1"/>
  <c r="O83" i="1"/>
  <c r="O79" i="1"/>
  <c r="O78" i="1"/>
  <c r="O77" i="1"/>
  <c r="O76" i="1"/>
  <c r="O75" i="1"/>
  <c r="O74" i="1"/>
  <c r="O73" i="1"/>
  <c r="O72" i="1"/>
  <c r="O71" i="1"/>
  <c r="O70" i="1"/>
  <c r="O69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0" i="1"/>
  <c r="O18" i="1"/>
  <c r="O16" i="1"/>
  <c r="O14" i="1"/>
  <c r="O12" i="1"/>
  <c r="O8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25" i="1"/>
  <c r="N123" i="1"/>
  <c r="N120" i="1"/>
  <c r="N119" i="1"/>
  <c r="N118" i="1"/>
  <c r="N117" i="1"/>
  <c r="N116" i="1"/>
  <c r="N112" i="1"/>
  <c r="N110" i="1"/>
  <c r="N88" i="1"/>
  <c r="N85" i="1"/>
  <c r="N80" i="1"/>
  <c r="N81" i="1"/>
  <c r="N82" i="1"/>
  <c r="N93" i="1"/>
  <c r="N90" i="1"/>
  <c r="N89" i="1"/>
  <c r="N86" i="1"/>
  <c r="N84" i="1"/>
  <c r="N83" i="1"/>
  <c r="N79" i="1"/>
  <c r="N78" i="1"/>
  <c r="N77" i="1"/>
  <c r="N76" i="1"/>
  <c r="N75" i="1"/>
  <c r="N74" i="1"/>
  <c r="N73" i="1"/>
  <c r="N72" i="1"/>
  <c r="N71" i="1"/>
  <c r="N70" i="1"/>
  <c r="N69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0" i="1"/>
  <c r="N18" i="1"/>
  <c r="N16" i="1"/>
  <c r="N14" i="1"/>
  <c r="N12" i="1"/>
  <c r="N8" i="1"/>
  <c r="M147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19" i="1"/>
  <c r="M125" i="1"/>
  <c r="M124" i="1"/>
  <c r="M123" i="1"/>
  <c r="M120" i="1"/>
  <c r="M118" i="1"/>
  <c r="M117" i="1"/>
  <c r="M116" i="1"/>
  <c r="M112" i="1"/>
  <c r="M110" i="1"/>
  <c r="M80" i="1"/>
  <c r="M81" i="1"/>
  <c r="M82" i="1"/>
  <c r="M85" i="1"/>
  <c r="M86" i="1"/>
  <c r="M88" i="1"/>
  <c r="M89" i="1"/>
  <c r="M93" i="1"/>
  <c r="M92" i="1"/>
  <c r="M90" i="1"/>
  <c r="M84" i="1"/>
  <c r="M83" i="1"/>
  <c r="M79" i="1"/>
  <c r="M78" i="1"/>
  <c r="M77" i="1"/>
  <c r="M76" i="1"/>
  <c r="M75" i="1"/>
  <c r="M74" i="1"/>
  <c r="M73" i="1"/>
  <c r="M72" i="1"/>
  <c r="M71" i="1"/>
  <c r="M70" i="1"/>
  <c r="M69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0" i="1"/>
  <c r="M18" i="1"/>
  <c r="M16" i="1"/>
  <c r="M14" i="1"/>
  <c r="M12" i="1"/>
  <c r="M8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0" i="1"/>
  <c r="L18" i="1"/>
  <c r="L16" i="1"/>
  <c r="L14" i="1"/>
  <c r="L12" i="1"/>
  <c r="L8" i="1"/>
  <c r="L148" i="1"/>
  <c r="L137" i="1"/>
  <c r="L141" i="1"/>
  <c r="L140" i="1"/>
  <c r="L147" i="1"/>
  <c r="L119" i="1"/>
  <c r="L146" i="1"/>
  <c r="L144" i="1"/>
  <c r="L143" i="1"/>
  <c r="L142" i="1"/>
  <c r="L139" i="1"/>
  <c r="L138" i="1"/>
  <c r="L136" i="1"/>
  <c r="L135" i="1"/>
  <c r="L134" i="1"/>
  <c r="L133" i="1"/>
  <c r="L125" i="1"/>
  <c r="L123" i="1"/>
  <c r="L121" i="1"/>
  <c r="L120" i="1"/>
  <c r="L118" i="1"/>
  <c r="L117" i="1"/>
  <c r="L116" i="1"/>
  <c r="L112" i="1"/>
  <c r="L110" i="1"/>
  <c r="L89" i="1"/>
  <c r="L80" i="1"/>
  <c r="L88" i="1"/>
  <c r="L85" i="1"/>
  <c r="L86" i="1"/>
  <c r="L82" i="1"/>
  <c r="L93" i="1"/>
  <c r="L92" i="1"/>
  <c r="L90" i="1"/>
  <c r="L87" i="1"/>
  <c r="L84" i="1"/>
  <c r="L83" i="1"/>
  <c r="L81" i="1"/>
  <c r="L79" i="1"/>
  <c r="L78" i="1"/>
  <c r="L77" i="1"/>
  <c r="L76" i="1"/>
  <c r="L75" i="1"/>
  <c r="L74" i="1"/>
  <c r="L73" i="1"/>
  <c r="L72" i="1"/>
  <c r="L71" i="1"/>
  <c r="L70" i="1"/>
  <c r="L69" i="1"/>
  <c r="K140" i="1"/>
  <c r="K148" i="1"/>
  <c r="K147" i="1"/>
  <c r="K146" i="1"/>
  <c r="K145" i="1"/>
  <c r="K144" i="1"/>
  <c r="K143" i="1"/>
  <c r="K142" i="1"/>
  <c r="K141" i="1"/>
  <c r="K139" i="1"/>
  <c r="K138" i="1"/>
  <c r="K137" i="1"/>
  <c r="K136" i="1"/>
  <c r="K135" i="1"/>
  <c r="K134" i="1"/>
  <c r="K133" i="1"/>
  <c r="K125" i="1"/>
  <c r="K123" i="1"/>
  <c r="K120" i="1"/>
  <c r="K119" i="1"/>
  <c r="K118" i="1"/>
  <c r="K117" i="1"/>
  <c r="K116" i="1"/>
  <c r="K112" i="1"/>
  <c r="K110" i="1"/>
  <c r="K82" i="1"/>
  <c r="K81" i="1"/>
  <c r="J81" i="1"/>
  <c r="J82" i="1"/>
  <c r="P84" i="2"/>
  <c r="K88" i="1"/>
  <c r="K75" i="1"/>
  <c r="K80" i="1"/>
  <c r="K85" i="1"/>
  <c r="K86" i="1"/>
  <c r="K90" i="1"/>
  <c r="K89" i="1"/>
  <c r="K87" i="1"/>
  <c r="K84" i="1"/>
  <c r="K83" i="1"/>
  <c r="K79" i="1"/>
  <c r="K78" i="1"/>
  <c r="K77" i="1"/>
  <c r="K76" i="1"/>
  <c r="K74" i="1"/>
  <c r="K73" i="1"/>
  <c r="K72" i="1"/>
  <c r="K71" i="1"/>
  <c r="K70" i="1"/>
  <c r="K69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0" i="1"/>
  <c r="K18" i="1"/>
  <c r="K16" i="1"/>
  <c r="K14" i="1"/>
  <c r="K12" i="1"/>
  <c r="K8" i="1"/>
  <c r="J148" i="1"/>
  <c r="J137" i="1"/>
  <c r="J147" i="1"/>
  <c r="J146" i="1"/>
  <c r="J145" i="1"/>
  <c r="J144" i="1"/>
  <c r="J143" i="1"/>
  <c r="J142" i="1"/>
  <c r="J141" i="1"/>
  <c r="J140" i="1"/>
  <c r="J139" i="1"/>
  <c r="J138" i="1"/>
  <c r="J136" i="1"/>
  <c r="J135" i="1"/>
  <c r="J134" i="1"/>
  <c r="J133" i="1"/>
  <c r="J125" i="1"/>
  <c r="J124" i="1"/>
  <c r="J123" i="1"/>
  <c r="J122" i="1"/>
  <c r="J120" i="1"/>
  <c r="J119" i="1"/>
  <c r="J118" i="1"/>
  <c r="J117" i="1"/>
  <c r="J116" i="1"/>
  <c r="J112" i="1"/>
  <c r="J111" i="1"/>
  <c r="J110" i="1"/>
  <c r="J92" i="1"/>
  <c r="J80" i="1"/>
  <c r="J88" i="1"/>
  <c r="J85" i="1"/>
  <c r="J86" i="1"/>
  <c r="J75" i="1"/>
  <c r="J74" i="1"/>
  <c r="J90" i="1"/>
  <c r="J89" i="1"/>
  <c r="J84" i="1"/>
  <c r="J83" i="1"/>
  <c r="J79" i="1"/>
  <c r="J77" i="1"/>
  <c r="J76" i="1"/>
  <c r="N67" i="1" l="1"/>
  <c r="J73" i="1"/>
  <c r="J72" i="1"/>
  <c r="J71" i="1"/>
  <c r="J70" i="1"/>
  <c r="J69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0" i="1"/>
  <c r="J18" i="1"/>
  <c r="J16" i="1"/>
  <c r="J14" i="1"/>
  <c r="J12" i="1"/>
  <c r="J8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25" i="1"/>
  <c r="I124" i="1"/>
  <c r="I123" i="1"/>
  <c r="I122" i="1"/>
  <c r="I120" i="1"/>
  <c r="I119" i="1"/>
  <c r="I118" i="1"/>
  <c r="I117" i="1"/>
  <c r="I116" i="1"/>
  <c r="I112" i="1"/>
  <c r="I110" i="1"/>
  <c r="I92" i="1"/>
  <c r="I9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0" i="1"/>
  <c r="I18" i="1"/>
  <c r="I16" i="1"/>
  <c r="I14" i="1"/>
  <c r="I12" i="1"/>
  <c r="I8" i="1"/>
  <c r="F226" i="15" l="1"/>
  <c r="H566" i="15" l="1"/>
  <c r="E226" i="15" l="1"/>
  <c r="G226" i="15"/>
  <c r="Q207" i="2" l="1"/>
  <c r="G498" i="15" l="1"/>
  <c r="G488" i="15"/>
  <c r="G484" i="15"/>
  <c r="G472" i="15"/>
  <c r="L27" i="11"/>
  <c r="I566" i="15" l="1"/>
  <c r="G37" i="15" l="1"/>
  <c r="K21" i="3" s="1"/>
  <c r="G30" i="15"/>
  <c r="K20" i="3" s="1"/>
  <c r="G17" i="15"/>
  <c r="K19" i="3" s="1"/>
  <c r="Q61" i="2" l="1"/>
  <c r="Q46" i="2"/>
  <c r="Q38" i="2"/>
  <c r="Q23" i="2"/>
  <c r="J716" i="15" l="1"/>
  <c r="I716" i="15"/>
  <c r="H716" i="15"/>
  <c r="G716" i="15"/>
  <c r="D716" i="15"/>
  <c r="H24" i="6" s="1"/>
  <c r="G622" i="15"/>
  <c r="G814" i="15"/>
  <c r="F19" i="13" s="1"/>
  <c r="G695" i="15"/>
  <c r="K27" i="3" s="1"/>
  <c r="G305" i="15" l="1"/>
  <c r="E85" i="15"/>
  <c r="O270" i="2"/>
  <c r="J155" i="1" s="1"/>
  <c r="O251" i="2"/>
  <c r="J154" i="1" s="1"/>
  <c r="O221" i="2"/>
  <c r="J153" i="1" s="1"/>
  <c r="O117" i="2"/>
  <c r="O121" i="2" s="1"/>
  <c r="O84" i="2"/>
  <c r="O61" i="2"/>
  <c r="O46" i="2"/>
  <c r="O38" i="2"/>
  <c r="O23" i="2"/>
  <c r="O16" i="2"/>
  <c r="J10" i="1" s="1"/>
  <c r="O69" i="2" l="1"/>
  <c r="Q270" i="2"/>
  <c r="L155" i="1" s="1"/>
  <c r="Q251" i="2"/>
  <c r="L154" i="1" s="1"/>
  <c r="Q221" i="2"/>
  <c r="L153" i="1" s="1"/>
  <c r="Q196" i="2"/>
  <c r="Q208" i="2" s="1"/>
  <c r="Q158" i="2"/>
  <c r="Q136" i="2"/>
  <c r="Q159" i="2" s="1"/>
  <c r="Q300" i="2" s="1"/>
  <c r="Q117" i="2"/>
  <c r="Q69" i="2"/>
  <c r="P16" i="2"/>
  <c r="K10" i="1" s="1"/>
  <c r="T270" i="2"/>
  <c r="O155" i="1" s="1"/>
  <c r="T251" i="2"/>
  <c r="O154" i="1" s="1"/>
  <c r="T221" i="2"/>
  <c r="O153" i="1" s="1"/>
  <c r="T207" i="2"/>
  <c r="T196" i="2"/>
  <c r="T158" i="2"/>
  <c r="T136" i="2"/>
  <c r="T159" i="2" s="1"/>
  <c r="T300" i="2" s="1"/>
  <c r="T117" i="2"/>
  <c r="T84" i="2"/>
  <c r="T61" i="2"/>
  <c r="T46" i="2"/>
  <c r="T38" i="2"/>
  <c r="T23" i="2"/>
  <c r="T16" i="2"/>
  <c r="O10" i="1" s="1"/>
  <c r="T9" i="2"/>
  <c r="T32" i="2" s="1"/>
  <c r="G835" i="15"/>
  <c r="G761" i="15"/>
  <c r="G757" i="15"/>
  <c r="G709" i="15"/>
  <c r="K45" i="5" s="1"/>
  <c r="G640" i="15"/>
  <c r="E622" i="15"/>
  <c r="G617" i="15"/>
  <c r="G610" i="15"/>
  <c r="G599" i="15"/>
  <c r="E588" i="15"/>
  <c r="I557" i="15"/>
  <c r="I553" i="15"/>
  <c r="I551" i="15"/>
  <c r="I540" i="15"/>
  <c r="I523" i="15"/>
  <c r="H557" i="15"/>
  <c r="H553" i="15"/>
  <c r="H551" i="15"/>
  <c r="H540" i="15"/>
  <c r="G566" i="15"/>
  <c r="G557" i="15"/>
  <c r="G553" i="15"/>
  <c r="G551" i="15"/>
  <c r="G540" i="15"/>
  <c r="F566" i="15"/>
  <c r="F557" i="15"/>
  <c r="F553" i="15"/>
  <c r="F551" i="15"/>
  <c r="F540" i="15"/>
  <c r="F523" i="15"/>
  <c r="G482" i="15"/>
  <c r="G470" i="15" s="1"/>
  <c r="G455" i="15"/>
  <c r="K27" i="11" s="1"/>
  <c r="G448" i="15"/>
  <c r="G444" i="15"/>
  <c r="G438" i="15"/>
  <c r="G428" i="15"/>
  <c r="G420" i="15"/>
  <c r="G416" i="15"/>
  <c r="G406" i="15"/>
  <c r="G382" i="15"/>
  <c r="G379" i="15"/>
  <c r="G377" i="15"/>
  <c r="G365" i="15"/>
  <c r="I344" i="15"/>
  <c r="H344" i="15"/>
  <c r="G341" i="15"/>
  <c r="F344" i="15"/>
  <c r="E344" i="15"/>
  <c r="I335" i="15"/>
  <c r="I327" i="15" s="1"/>
  <c r="H335" i="15"/>
  <c r="H327" i="15" s="1"/>
  <c r="G335" i="15"/>
  <c r="G327" i="15" s="1"/>
  <c r="G317" i="15"/>
  <c r="G293" i="15"/>
  <c r="G287" i="15"/>
  <c r="I260" i="15"/>
  <c r="G266" i="15"/>
  <c r="F266" i="15"/>
  <c r="E266" i="15"/>
  <c r="I248" i="15"/>
  <c r="H248" i="15"/>
  <c r="G248" i="15"/>
  <c r="F248" i="15"/>
  <c r="F211" i="15"/>
  <c r="F202" i="15"/>
  <c r="J41" i="6" s="1"/>
  <c r="F196" i="15"/>
  <c r="E202" i="15"/>
  <c r="I41" i="6" s="1"/>
  <c r="E196" i="15"/>
  <c r="I211" i="15"/>
  <c r="H211" i="15"/>
  <c r="E211" i="15"/>
  <c r="I196" i="15"/>
  <c r="G223" i="15"/>
  <c r="I162" i="15"/>
  <c r="H162" i="15"/>
  <c r="L39" i="5" s="1"/>
  <c r="G162" i="15"/>
  <c r="K39" i="5" s="1"/>
  <c r="I155" i="15"/>
  <c r="H155" i="15"/>
  <c r="L38" i="5" s="1"/>
  <c r="G155" i="15"/>
  <c r="K38" i="5" s="1"/>
  <c r="F162" i="15"/>
  <c r="J39" i="5" s="1"/>
  <c r="F155" i="15"/>
  <c r="J38" i="5" s="1"/>
  <c r="E162" i="15"/>
  <c r="I39" i="5" s="1"/>
  <c r="E155" i="15"/>
  <c r="I38" i="5" s="1"/>
  <c r="I144" i="15"/>
  <c r="M19" i="5" s="1"/>
  <c r="H144" i="15"/>
  <c r="L19" i="5" s="1"/>
  <c r="G144" i="15"/>
  <c r="K19" i="5" s="1"/>
  <c r="I135" i="15"/>
  <c r="M18" i="5" s="1"/>
  <c r="H135" i="15"/>
  <c r="L18" i="5" s="1"/>
  <c r="G135" i="15"/>
  <c r="K18" i="5" s="1"/>
  <c r="F144" i="15"/>
  <c r="J19" i="5" s="1"/>
  <c r="F135" i="15"/>
  <c r="J18" i="5" s="1"/>
  <c r="E144" i="15"/>
  <c r="I19" i="5" s="1"/>
  <c r="E135" i="15"/>
  <c r="I18" i="5" s="1"/>
  <c r="G119" i="15"/>
  <c r="G124" i="15" s="1"/>
  <c r="I100" i="15"/>
  <c r="M63" i="3" s="1"/>
  <c r="H100" i="15"/>
  <c r="L63" i="3" s="1"/>
  <c r="G100" i="15"/>
  <c r="F100" i="15"/>
  <c r="J63" i="3" s="1"/>
  <c r="J100" i="15"/>
  <c r="G82" i="15"/>
  <c r="G85" i="15"/>
  <c r="E100" i="15"/>
  <c r="I63" i="3" s="1"/>
  <c r="I73" i="15"/>
  <c r="I49" i="15"/>
  <c r="M23" i="3" s="1"/>
  <c r="H49" i="15"/>
  <c r="L23" i="3" s="1"/>
  <c r="I41" i="15"/>
  <c r="M22" i="3" s="1"/>
  <c r="H41" i="15"/>
  <c r="L22" i="3" s="1"/>
  <c r="I37" i="15"/>
  <c r="M21" i="3" s="1"/>
  <c r="H37" i="15"/>
  <c r="L21" i="3" s="1"/>
  <c r="I30" i="15"/>
  <c r="M20" i="3" s="1"/>
  <c r="H30" i="15"/>
  <c r="L20" i="3" s="1"/>
  <c r="I17" i="15"/>
  <c r="M19" i="3" s="1"/>
  <c r="H17" i="15"/>
  <c r="L19" i="3" s="1"/>
  <c r="G41" i="15"/>
  <c r="F73" i="15"/>
  <c r="F49" i="15"/>
  <c r="J23" i="3" s="1"/>
  <c r="F41" i="15"/>
  <c r="J22" i="3" s="1"/>
  <c r="F37" i="15"/>
  <c r="J21" i="3" s="1"/>
  <c r="F30" i="15"/>
  <c r="J20" i="3" s="1"/>
  <c r="F17" i="15"/>
  <c r="J19" i="3" s="1"/>
  <c r="E73" i="15"/>
  <c r="E49" i="15"/>
  <c r="I23" i="3" s="1"/>
  <c r="E41" i="15"/>
  <c r="I22" i="3" s="1"/>
  <c r="E37" i="15"/>
  <c r="I21" i="3" s="1"/>
  <c r="E30" i="15"/>
  <c r="I20" i="3" s="1"/>
  <c r="E17" i="15"/>
  <c r="I19" i="3" s="1"/>
  <c r="D17" i="15"/>
  <c r="H19" i="3" s="1"/>
  <c r="D30" i="15"/>
  <c r="H20" i="3" s="1"/>
  <c r="D37" i="15"/>
  <c r="H21" i="3" s="1"/>
  <c r="D41" i="15"/>
  <c r="H22" i="3" s="1"/>
  <c r="D49" i="15"/>
  <c r="H23" i="3" s="1"/>
  <c r="D73" i="15"/>
  <c r="J814" i="15"/>
  <c r="J835" i="15" s="1"/>
  <c r="I19" i="13" s="1"/>
  <c r="J784" i="15"/>
  <c r="J775" i="15"/>
  <c r="N42" i="11" s="1"/>
  <c r="J766" i="15"/>
  <c r="J757" i="15"/>
  <c r="J745" i="15"/>
  <c r="J736" i="15"/>
  <c r="J731" i="15"/>
  <c r="J723" i="15"/>
  <c r="J702" i="15"/>
  <c r="J695" i="15"/>
  <c r="N27" i="3" s="1"/>
  <c r="J640" i="15"/>
  <c r="J622" i="15"/>
  <c r="J617" i="15"/>
  <c r="J610" i="15"/>
  <c r="J599" i="15"/>
  <c r="J588" i="15"/>
  <c r="J584" i="15" s="1"/>
  <c r="J566" i="15"/>
  <c r="J557" i="15"/>
  <c r="J553" i="15"/>
  <c r="J551" i="15"/>
  <c r="J540" i="15"/>
  <c r="J523" i="15"/>
  <c r="J498" i="15"/>
  <c r="J488" i="15"/>
  <c r="J484" i="15"/>
  <c r="J482" i="15"/>
  <c r="J472" i="15"/>
  <c r="J455" i="15"/>
  <c r="J448" i="15"/>
  <c r="J444" i="15"/>
  <c r="J438" i="15"/>
  <c r="J428" i="15"/>
  <c r="J420" i="15"/>
  <c r="J416" i="15"/>
  <c r="J406" i="15"/>
  <c r="J382" i="15"/>
  <c r="J379" i="15"/>
  <c r="J377" i="15"/>
  <c r="J366" i="15"/>
  <c r="J344" i="15"/>
  <c r="J341" i="15" s="1"/>
  <c r="J327" i="15"/>
  <c r="J305" i="15"/>
  <c r="J317" i="15" s="1"/>
  <c r="J293" i="15"/>
  <c r="J287" i="15"/>
  <c r="J276" i="15"/>
  <c r="J260" i="15"/>
  <c r="J248" i="15"/>
  <c r="J231" i="15"/>
  <c r="J226" i="15"/>
  <c r="J222" i="15"/>
  <c r="J211" i="15"/>
  <c r="J196" i="15"/>
  <c r="N40" i="6" s="1"/>
  <c r="J162" i="15"/>
  <c r="J155" i="15"/>
  <c r="J135" i="15"/>
  <c r="J130" i="15" s="1"/>
  <c r="J119" i="15"/>
  <c r="J124" i="15" s="1"/>
  <c r="J85" i="15"/>
  <c r="J82" i="15"/>
  <c r="J73" i="15"/>
  <c r="J49" i="15"/>
  <c r="N23" i="3" s="1"/>
  <c r="J41" i="15"/>
  <c r="N22" i="3" s="1"/>
  <c r="J37" i="15"/>
  <c r="N21" i="3" s="1"/>
  <c r="J30" i="15"/>
  <c r="N20" i="3" s="1"/>
  <c r="J17" i="15"/>
  <c r="N19" i="3" s="1"/>
  <c r="N27" i="11" l="1"/>
  <c r="G538" i="15"/>
  <c r="K28" i="11" s="1"/>
  <c r="I538" i="15"/>
  <c r="K22" i="3"/>
  <c r="G13" i="15"/>
  <c r="G7" i="15" s="1"/>
  <c r="T121" i="2"/>
  <c r="G94" i="15"/>
  <c r="K63" i="3"/>
  <c r="F190" i="15"/>
  <c r="J40" i="6"/>
  <c r="J782" i="15"/>
  <c r="N29" i="12"/>
  <c r="J14" i="3"/>
  <c r="F241" i="15"/>
  <c r="J18" i="7"/>
  <c r="K18" i="7"/>
  <c r="G241" i="15"/>
  <c r="J840" i="15"/>
  <c r="I11" i="13"/>
  <c r="G222" i="15"/>
  <c r="K32" i="6"/>
  <c r="K31" i="6" s="1"/>
  <c r="J241" i="15"/>
  <c r="J279" i="15" s="1"/>
  <c r="N18" i="7"/>
  <c r="J365" i="15"/>
  <c r="J386" i="15" s="1"/>
  <c r="L18" i="7"/>
  <c r="G840" i="15"/>
  <c r="F11" i="13"/>
  <c r="I190" i="15"/>
  <c r="M40" i="6"/>
  <c r="K34" i="7"/>
  <c r="G260" i="15"/>
  <c r="G279" i="15" s="1"/>
  <c r="J376" i="15"/>
  <c r="J94" i="15"/>
  <c r="N63" i="3"/>
  <c r="E190" i="15"/>
  <c r="I40" i="6"/>
  <c r="I241" i="15"/>
  <c r="M18" i="7"/>
  <c r="F538" i="15"/>
  <c r="J748" i="15"/>
  <c r="J791" i="15" s="1"/>
  <c r="J834" i="15" s="1"/>
  <c r="I18" i="13" s="1"/>
  <c r="F260" i="15"/>
  <c r="J34" i="7"/>
  <c r="G376" i="15"/>
  <c r="G386" i="15" s="1"/>
  <c r="E260" i="15"/>
  <c r="I34" i="7"/>
  <c r="T208" i="2"/>
  <c r="T301" i="2" s="1"/>
  <c r="H538" i="15"/>
  <c r="J646" i="15"/>
  <c r="Q286" i="2"/>
  <c r="Q302" i="2" s="1"/>
  <c r="Q301" i="2"/>
  <c r="G791" i="15"/>
  <c r="G130" i="15"/>
  <c r="G646" i="15"/>
  <c r="G522" i="15"/>
  <c r="G454" i="15"/>
  <c r="G437" i="15"/>
  <c r="G434" i="15" s="1"/>
  <c r="K17" i="11" s="1"/>
  <c r="G404" i="15"/>
  <c r="T286" i="2"/>
  <c r="T69" i="2"/>
  <c r="T122" i="2" s="1"/>
  <c r="T299" i="2" s="1"/>
  <c r="I10" i="13" s="1"/>
  <c r="J404" i="15"/>
  <c r="J153" i="15"/>
  <c r="J171" i="15" s="1"/>
  <c r="G298" i="15"/>
  <c r="J437" i="15"/>
  <c r="J434" i="15" s="1"/>
  <c r="N17" i="11" s="1"/>
  <c r="I13" i="15"/>
  <c r="J190" i="15"/>
  <c r="J234" i="15" s="1"/>
  <c r="H13" i="15"/>
  <c r="J13" i="15"/>
  <c r="J7" i="15" s="1"/>
  <c r="J298" i="15"/>
  <c r="J470" i="15"/>
  <c r="G153" i="15"/>
  <c r="J538" i="15"/>
  <c r="J522" i="15" s="1"/>
  <c r="F13" i="15"/>
  <c r="D13" i="15"/>
  <c r="E13" i="15"/>
  <c r="G171" i="15" l="1"/>
  <c r="G107" i="15"/>
  <c r="J107" i="15"/>
  <c r="G841" i="15"/>
  <c r="G850" i="15" s="1"/>
  <c r="F12" i="13"/>
  <c r="J454" i="15"/>
  <c r="J453" i="15" s="1"/>
  <c r="N28" i="11"/>
  <c r="I12" i="13"/>
  <c r="J841" i="15"/>
  <c r="T302" i="2"/>
  <c r="J842" i="15" s="1"/>
  <c r="I13" i="13"/>
  <c r="J398" i="15"/>
  <c r="N15" i="11"/>
  <c r="G834" i="15"/>
  <c r="G849" i="15" s="1"/>
  <c r="F18" i="13"/>
  <c r="G842" i="15"/>
  <c r="G851" i="15" s="1"/>
  <c r="F13" i="13"/>
  <c r="G836" i="15"/>
  <c r="F20" i="13" s="1"/>
  <c r="K15" i="11"/>
  <c r="G453" i="15"/>
  <c r="J833" i="15"/>
  <c r="I17" i="13" s="1"/>
  <c r="J839" i="15"/>
  <c r="J397" i="15"/>
  <c r="J601" i="15" s="1"/>
  <c r="J647" i="15" s="1"/>
  <c r="G397" i="15" l="1"/>
  <c r="G601" i="15" s="1"/>
  <c r="J836" i="15"/>
  <c r="I20" i="13" s="1"/>
  <c r="J843" i="15"/>
  <c r="T303" i="2"/>
  <c r="J837" i="15" l="1"/>
  <c r="J845" i="15" s="1"/>
  <c r="E748" i="15"/>
  <c r="I23" i="9" s="1"/>
  <c r="E153" i="15"/>
  <c r="E584" i="15" l="1"/>
  <c r="E335" i="15"/>
  <c r="E327" i="15" s="1"/>
  <c r="O196" i="2" l="1"/>
  <c r="E814" i="15"/>
  <c r="E835" i="15" s="1"/>
  <c r="D19" i="13" s="1"/>
  <c r="K93" i="1" l="1"/>
  <c r="K67" i="1" s="1"/>
  <c r="K92" i="1"/>
  <c r="I93" i="1"/>
  <c r="D523" i="15"/>
  <c r="I59" i="11"/>
  <c r="I56" i="11"/>
  <c r="I55" i="11"/>
  <c r="I54" i="11"/>
  <c r="I53" i="11"/>
  <c r="I52" i="11"/>
  <c r="I51" i="11"/>
  <c r="I50" i="11"/>
  <c r="I49" i="11"/>
  <c r="I48" i="11"/>
  <c r="I47" i="11"/>
  <c r="I39" i="11"/>
  <c r="I38" i="11"/>
  <c r="I37" i="11"/>
  <c r="I36" i="11"/>
  <c r="I35" i="11"/>
  <c r="I34" i="11"/>
  <c r="I33" i="11"/>
  <c r="I32" i="11"/>
  <c r="I19" i="11"/>
  <c r="I18" i="11"/>
  <c r="I16" i="11"/>
  <c r="N26" i="5"/>
  <c r="H31" i="11" l="1"/>
  <c r="I31" i="11"/>
  <c r="I27" i="1"/>
  <c r="I14" i="3" l="1"/>
  <c r="F472" i="15"/>
  <c r="F488" i="15"/>
  <c r="F498" i="15"/>
  <c r="F406" i="15"/>
  <c r="D588" i="15"/>
  <c r="D553" i="15"/>
  <c r="D551" i="15"/>
  <c r="D484" i="15"/>
  <c r="D482" i="15"/>
  <c r="D814" i="15"/>
  <c r="D766" i="15"/>
  <c r="D695" i="15"/>
  <c r="H27" i="3" s="1"/>
  <c r="D566" i="15"/>
  <c r="D455" i="15"/>
  <c r="D377" i="15"/>
  <c r="D344" i="15"/>
  <c r="D335" i="15"/>
  <c r="D266" i="15"/>
  <c r="H34" i="7" s="1"/>
  <c r="D248" i="15"/>
  <c r="H18" i="7" s="1"/>
  <c r="D202" i="15"/>
  <c r="H41" i="6" s="1"/>
  <c r="D196" i="15"/>
  <c r="H40" i="6" s="1"/>
  <c r="D162" i="15"/>
  <c r="H39" i="5" s="1"/>
  <c r="D144" i="15"/>
  <c r="H19" i="5" s="1"/>
  <c r="D135" i="15"/>
  <c r="H18" i="5" s="1"/>
  <c r="D100" i="15"/>
  <c r="H63" i="3" s="1"/>
  <c r="I27" i="11" l="1"/>
  <c r="H27" i="11"/>
  <c r="S270" i="2"/>
  <c r="N155" i="1" s="1"/>
  <c r="R270" i="2"/>
  <c r="M155" i="1" s="1"/>
  <c r="P270" i="2"/>
  <c r="K155" i="1" s="1"/>
  <c r="N221" i="2" l="1"/>
  <c r="P221" i="2"/>
  <c r="K153" i="1" s="1"/>
  <c r="M221" i="2"/>
  <c r="I153" i="1" s="1"/>
  <c r="I472" i="15" l="1"/>
  <c r="H588" i="15"/>
  <c r="H584" i="15" s="1"/>
  <c r="I617" i="15" l="1"/>
  <c r="H617" i="15"/>
  <c r="F617" i="15"/>
  <c r="E617" i="15"/>
  <c r="I622" i="15"/>
  <c r="F622" i="15"/>
  <c r="H622" i="15"/>
  <c r="I814" i="15" l="1"/>
  <c r="I835" i="15" s="1"/>
  <c r="H19" i="13" s="1"/>
  <c r="H835" i="15"/>
  <c r="G19" i="13" s="1"/>
  <c r="F814" i="15"/>
  <c r="O136" i="2"/>
  <c r="E695" i="15"/>
  <c r="I27" i="3" s="1"/>
  <c r="I498" i="15" l="1"/>
  <c r="H498" i="15"/>
  <c r="S221" i="2"/>
  <c r="N153" i="1" s="1"/>
  <c r="R221" i="2"/>
  <c r="M153" i="1" s="1"/>
  <c r="E775" i="15" l="1"/>
  <c r="E766" i="15"/>
  <c r="E723" i="15"/>
  <c r="D775" i="15" l="1"/>
  <c r="D557" i="15"/>
  <c r="D540" i="15"/>
  <c r="D498" i="15"/>
  <c r="D488" i="15"/>
  <c r="D472" i="15"/>
  <c r="D470" i="15" s="1"/>
  <c r="D448" i="15"/>
  <c r="D444" i="15"/>
  <c r="D438" i="15"/>
  <c r="D428" i="15"/>
  <c r="D420" i="15"/>
  <c r="D416" i="15"/>
  <c r="D406" i="15"/>
  <c r="D341" i="15"/>
  <c r="D305" i="15"/>
  <c r="D119" i="15"/>
  <c r="D94" i="15"/>
  <c r="D85" i="15"/>
  <c r="D82" i="15"/>
  <c r="L221" i="2"/>
  <c r="L270" i="2"/>
  <c r="L207" i="2"/>
  <c r="L196" i="2"/>
  <c r="L142" i="2"/>
  <c r="L46" i="2"/>
  <c r="I42" i="11" l="1"/>
  <c r="H42" i="11"/>
  <c r="D404" i="15"/>
  <c r="D538" i="15"/>
  <c r="I28" i="11" s="1"/>
  <c r="I26" i="11" s="1"/>
  <c r="D454" i="15"/>
  <c r="D7" i="15"/>
  <c r="D437" i="15"/>
  <c r="E702" i="15"/>
  <c r="E341" i="15"/>
  <c r="P46" i="2"/>
  <c r="O207" i="2"/>
  <c r="N251" i="2"/>
  <c r="N207" i="2"/>
  <c r="I15" i="11" l="1"/>
  <c r="H15" i="11"/>
  <c r="H28" i="11"/>
  <c r="D522" i="15"/>
  <c r="H26" i="11"/>
  <c r="M251" i="2"/>
  <c r="I154" i="1" s="1"/>
  <c r="P251" i="2"/>
  <c r="K154" i="1" s="1"/>
  <c r="M46" i="2"/>
  <c r="K221" i="2"/>
  <c r="K196" i="2"/>
  <c r="K84" i="2"/>
  <c r="L84" i="2"/>
  <c r="L31" i="11" l="1"/>
  <c r="J31" i="11"/>
  <c r="K31" i="11"/>
  <c r="I58" i="11"/>
  <c r="I57" i="11" s="1"/>
  <c r="C79" i="24" s="1"/>
  <c r="H58" i="11"/>
  <c r="H57" i="11" s="1"/>
  <c r="B79" i="24" s="1"/>
  <c r="K58" i="11"/>
  <c r="K57" i="11" s="1"/>
  <c r="E79" i="24" s="1"/>
  <c r="J58" i="11"/>
  <c r="J57" i="11" s="1"/>
  <c r="D79" i="24" s="1"/>
  <c r="K21" i="11"/>
  <c r="I21" i="11"/>
  <c r="I379" i="15"/>
  <c r="H379" i="15"/>
  <c r="F379" i="15"/>
  <c r="E379" i="15"/>
  <c r="D379" i="15"/>
  <c r="I46" i="11" l="1"/>
  <c r="L41" i="11"/>
  <c r="J47" i="6" l="1"/>
  <c r="K28" i="5"/>
  <c r="K27" i="5" s="1"/>
  <c r="K10" i="5"/>
  <c r="J28" i="5"/>
  <c r="J27" i="5" s="1"/>
  <c r="I28" i="5"/>
  <c r="I27" i="5" s="1"/>
  <c r="H28" i="5"/>
  <c r="H27" i="5" s="1"/>
  <c r="N28" i="5"/>
  <c r="N27" i="5" s="1"/>
  <c r="M28" i="5"/>
  <c r="M27" i="5" s="1"/>
  <c r="L28" i="5"/>
  <c r="L27" i="5" s="1"/>
  <c r="N43" i="7" l="1"/>
  <c r="N42" i="7" s="1"/>
  <c r="N10" i="7" s="1"/>
  <c r="J31" i="6"/>
  <c r="J43" i="7"/>
  <c r="J42" i="7" s="1"/>
  <c r="J10" i="7" s="1"/>
  <c r="L43" i="7"/>
  <c r="L42" i="7" s="1"/>
  <c r="L10" i="7" s="1"/>
  <c r="M43" i="7"/>
  <c r="M42" i="7" s="1"/>
  <c r="M10" i="7" s="1"/>
  <c r="L31" i="6"/>
  <c r="L13" i="6"/>
  <c r="K43" i="7"/>
  <c r="K42" i="7" s="1"/>
  <c r="K10" i="7" s="1"/>
  <c r="H43" i="7"/>
  <c r="H42" i="7" s="1"/>
  <c r="H10" i="7" s="1"/>
  <c r="I43" i="7"/>
  <c r="I42" i="7" s="1"/>
  <c r="I10" i="7" s="1"/>
  <c r="H38" i="7"/>
  <c r="H37" i="7" s="1"/>
  <c r="K29" i="7"/>
  <c r="I29" i="7"/>
  <c r="F775" i="15" l="1"/>
  <c r="S46" i="2" l="1"/>
  <c r="R46" i="2"/>
  <c r="I114" i="1"/>
  <c r="J108" i="1"/>
  <c r="P23" i="2"/>
  <c r="P9" i="2"/>
  <c r="K27" i="1" l="1"/>
  <c r="J27" i="1"/>
  <c r="L27" i="1"/>
  <c r="M27" i="1"/>
  <c r="K131" i="1"/>
  <c r="J131" i="1"/>
  <c r="L67" i="1"/>
  <c r="H21" i="11" l="1"/>
  <c r="F723" i="15"/>
  <c r="K270" i="2"/>
  <c r="L158" i="2" l="1"/>
  <c r="L61" i="2"/>
  <c r="K23" i="2" l="1"/>
  <c r="K16" i="2"/>
  <c r="E94" i="15" l="1"/>
  <c r="I341" i="15" l="1"/>
  <c r="H341" i="15"/>
  <c r="F341" i="15"/>
  <c r="I695" i="15" l="1"/>
  <c r="M27" i="3" s="1"/>
  <c r="H695" i="15"/>
  <c r="L27" i="3" s="1"/>
  <c r="E782" i="15"/>
  <c r="F455" i="15"/>
  <c r="J27" i="11" s="1"/>
  <c r="F428" i="15"/>
  <c r="E305" i="15"/>
  <c r="F119" i="15"/>
  <c r="F124" i="15" s="1"/>
  <c r="E119" i="15"/>
  <c r="E124" i="15" s="1"/>
  <c r="O142" i="2"/>
  <c r="N270" i="2"/>
  <c r="N61" i="2"/>
  <c r="N46" i="2"/>
  <c r="D748" i="15"/>
  <c r="H23" i="9" s="1"/>
  <c r="F695" i="15" l="1"/>
  <c r="J27" i="3" s="1"/>
  <c r="P142" i="2" l="1"/>
  <c r="F782" i="15" l="1"/>
  <c r="F702" i="15"/>
  <c r="F305" i="15"/>
  <c r="F317" i="15" s="1"/>
  <c r="F835" i="15"/>
  <c r="E19" i="13" s="1"/>
  <c r="F784" i="15"/>
  <c r="F766" i="15"/>
  <c r="L21" i="11" s="1"/>
  <c r="L20" i="11" s="1"/>
  <c r="F757" i="15"/>
  <c r="F745" i="15"/>
  <c r="F736" i="15"/>
  <c r="F731" i="15"/>
  <c r="J40" i="7" s="1"/>
  <c r="F720" i="15"/>
  <c r="F714" i="15"/>
  <c r="F709" i="15"/>
  <c r="F640" i="15"/>
  <c r="F610" i="15"/>
  <c r="F599" i="15"/>
  <c r="F584" i="15"/>
  <c r="F484" i="15"/>
  <c r="F482" i="15"/>
  <c r="F448" i="15"/>
  <c r="F444" i="15"/>
  <c r="F438" i="15"/>
  <c r="F420" i="15"/>
  <c r="F416" i="15"/>
  <c r="F382" i="15"/>
  <c r="F377" i="15"/>
  <c r="F327" i="15"/>
  <c r="F293" i="15"/>
  <c r="F287" i="15"/>
  <c r="F276" i="15"/>
  <c r="F279" i="15" s="1"/>
  <c r="F222" i="15"/>
  <c r="F153" i="15"/>
  <c r="F85" i="15"/>
  <c r="F82" i="15"/>
  <c r="L14" i="3"/>
  <c r="N158" i="2"/>
  <c r="J158" i="2"/>
  <c r="P158" i="2"/>
  <c r="O158" i="2"/>
  <c r="P286" i="2"/>
  <c r="P207" i="2"/>
  <c r="P196" i="2"/>
  <c r="P136" i="2"/>
  <c r="P117" i="2"/>
  <c r="P121" i="2" s="1"/>
  <c r="P61" i="2"/>
  <c r="P38" i="2"/>
  <c r="E82" i="15"/>
  <c r="E784" i="15"/>
  <c r="E757" i="15"/>
  <c r="E745" i="15"/>
  <c r="E736" i="15"/>
  <c r="E731" i="15"/>
  <c r="E720" i="15"/>
  <c r="E714" i="15"/>
  <c r="E709" i="15"/>
  <c r="E640" i="15"/>
  <c r="E610" i="15"/>
  <c r="E599" i="15"/>
  <c r="E382" i="15"/>
  <c r="E377" i="15"/>
  <c r="E365" i="15"/>
  <c r="E317" i="15"/>
  <c r="E293" i="15"/>
  <c r="E287" i="15"/>
  <c r="E276" i="15"/>
  <c r="E231" i="15"/>
  <c r="E222" i="15"/>
  <c r="E130" i="15"/>
  <c r="H39" i="13"/>
  <c r="O208" i="2"/>
  <c r="O301" i="2" s="1"/>
  <c r="D12" i="13" s="1"/>
  <c r="S251" i="2"/>
  <c r="N154" i="1" s="1"/>
  <c r="R251" i="2"/>
  <c r="M154" i="1" s="1"/>
  <c r="D731" i="15"/>
  <c r="D709" i="15"/>
  <c r="H45" i="5" s="1"/>
  <c r="F39" i="13"/>
  <c r="J21" i="11"/>
  <c r="J20" i="11" s="1"/>
  <c r="D757" i="15"/>
  <c r="I22" i="6"/>
  <c r="I21" i="6" s="1"/>
  <c r="D584" i="15"/>
  <c r="D226" i="15"/>
  <c r="D610" i="15"/>
  <c r="I757" i="15"/>
  <c r="N9" i="2"/>
  <c r="M270" i="2"/>
  <c r="I155" i="1" s="1"/>
  <c r="M84" i="2"/>
  <c r="N196" i="2"/>
  <c r="L23" i="2"/>
  <c r="N23" i="2"/>
  <c r="L16" i="2"/>
  <c r="K251" i="2"/>
  <c r="J270" i="2"/>
  <c r="J251" i="2"/>
  <c r="J221" i="2"/>
  <c r="J117" i="2"/>
  <c r="J91" i="2"/>
  <c r="J84" i="2" s="1"/>
  <c r="J121" i="2" s="1"/>
  <c r="J61" i="2"/>
  <c r="J46" i="2"/>
  <c r="J38" i="2"/>
  <c r="K38" i="2"/>
  <c r="J23" i="2"/>
  <c r="J16" i="2"/>
  <c r="J9" i="2" s="1"/>
  <c r="D782" i="15"/>
  <c r="D761" i="15"/>
  <c r="D599" i="15"/>
  <c r="I584" i="15"/>
  <c r="I455" i="15"/>
  <c r="M27" i="11" s="1"/>
  <c r="I448" i="15"/>
  <c r="H448" i="15"/>
  <c r="I444" i="15"/>
  <c r="H444" i="15"/>
  <c r="I438" i="15"/>
  <c r="H438" i="15"/>
  <c r="I428" i="15"/>
  <c r="H428" i="15"/>
  <c r="I420" i="15"/>
  <c r="H420" i="15"/>
  <c r="I416" i="15"/>
  <c r="H416" i="15"/>
  <c r="I406" i="15"/>
  <c r="H406" i="15"/>
  <c r="I377" i="15"/>
  <c r="H377" i="15"/>
  <c r="D327" i="15"/>
  <c r="D260" i="15"/>
  <c r="I226" i="15"/>
  <c r="D211" i="15"/>
  <c r="D190" i="15"/>
  <c r="M39" i="5"/>
  <c r="G39" i="5" s="1"/>
  <c r="N38" i="5"/>
  <c r="N19" i="5"/>
  <c r="I130" i="15"/>
  <c r="G18" i="5"/>
  <c r="I82" i="15"/>
  <c r="H82" i="15"/>
  <c r="G63" i="3"/>
  <c r="G21" i="3"/>
  <c r="G22" i="3"/>
  <c r="H85" i="15"/>
  <c r="I85" i="15"/>
  <c r="M23" i="2"/>
  <c r="S196" i="2"/>
  <c r="S84" i="2"/>
  <c r="S23" i="2"/>
  <c r="S16" i="2"/>
  <c r="N10" i="1" s="1"/>
  <c r="R196" i="2"/>
  <c r="R84" i="2"/>
  <c r="R23" i="2"/>
  <c r="R16" i="2"/>
  <c r="M10" i="1" s="1"/>
  <c r="M196" i="2"/>
  <c r="M16" i="2"/>
  <c r="I10" i="1" s="1"/>
  <c r="J196" i="2"/>
  <c r="N21" i="9"/>
  <c r="N20" i="9" s="1"/>
  <c r="N9" i="9" s="1"/>
  <c r="L21" i="9"/>
  <c r="L20" i="9" s="1"/>
  <c r="L9" i="9" s="1"/>
  <c r="K26" i="3"/>
  <c r="K25" i="3" s="1"/>
  <c r="K9" i="3" s="1"/>
  <c r="G14" i="11"/>
  <c r="N58" i="11"/>
  <c r="N57" i="11" s="1"/>
  <c r="H79" i="24" s="1"/>
  <c r="M58" i="11"/>
  <c r="M57" i="11" s="1"/>
  <c r="G79" i="24" s="1"/>
  <c r="L58" i="11"/>
  <c r="K20" i="11"/>
  <c r="H766" i="15"/>
  <c r="M21" i="11" s="1"/>
  <c r="M20" i="11" s="1"/>
  <c r="I20" i="11"/>
  <c r="M21" i="9"/>
  <c r="M20" i="9" s="1"/>
  <c r="M9" i="9" s="1"/>
  <c r="I21" i="9"/>
  <c r="I20" i="9" s="1"/>
  <c r="I9" i="9" s="1"/>
  <c r="H21" i="9"/>
  <c r="H20" i="9" s="1"/>
  <c r="H9" i="9" s="1"/>
  <c r="I38" i="7"/>
  <c r="I37" i="7" s="1"/>
  <c r="I599" i="15"/>
  <c r="H599" i="15"/>
  <c r="I745" i="15"/>
  <c r="H745" i="15"/>
  <c r="I488" i="15"/>
  <c r="H488" i="15"/>
  <c r="D745" i="15"/>
  <c r="N45" i="5"/>
  <c r="N44" i="5" s="1"/>
  <c r="N43" i="5" s="1"/>
  <c r="M45" i="5"/>
  <c r="M44" i="5" s="1"/>
  <c r="M43" i="5" s="1"/>
  <c r="H472" i="15"/>
  <c r="D317" i="15"/>
  <c r="J207" i="2"/>
  <c r="M61" i="2"/>
  <c r="K61" i="2"/>
  <c r="K46" i="2"/>
  <c r="N70" i="3"/>
  <c r="N68" i="3" s="1"/>
  <c r="N67" i="3" s="1"/>
  <c r="N66" i="3" s="1"/>
  <c r="H123" i="16" s="1"/>
  <c r="M68" i="3"/>
  <c r="M67" i="3" s="1"/>
  <c r="M66" i="3" s="1"/>
  <c r="G123" i="16" s="1"/>
  <c r="I482" i="15"/>
  <c r="H482" i="15"/>
  <c r="I484" i="15"/>
  <c r="H484" i="15"/>
  <c r="K22" i="6"/>
  <c r="K21" i="6" s="1"/>
  <c r="L117" i="2"/>
  <c r="L136" i="2"/>
  <c r="L159" i="2" s="1"/>
  <c r="N41" i="5"/>
  <c r="M41" i="5"/>
  <c r="I610" i="15"/>
  <c r="H610" i="15"/>
  <c r="G19" i="5"/>
  <c r="S207" i="2"/>
  <c r="I736" i="15"/>
  <c r="I39" i="13"/>
  <c r="I731" i="15"/>
  <c r="H731" i="15"/>
  <c r="D714" i="15"/>
  <c r="D382" i="15"/>
  <c r="M117" i="2"/>
  <c r="I30" i="6"/>
  <c r="I29" i="6" s="1"/>
  <c r="C56" i="19" s="1"/>
  <c r="G64" i="3"/>
  <c r="I68" i="3"/>
  <c r="I67" i="3" s="1"/>
  <c r="I66" i="3" s="1"/>
  <c r="C123" i="16" s="1"/>
  <c r="H68" i="3"/>
  <c r="H67" i="3" s="1"/>
  <c r="H66" i="3" s="1"/>
  <c r="B123" i="16" s="1"/>
  <c r="J68" i="3"/>
  <c r="J67" i="3" s="1"/>
  <c r="J66" i="3" s="1"/>
  <c r="D123" i="16" s="1"/>
  <c r="J43" i="3"/>
  <c r="H43" i="3"/>
  <c r="J32" i="5"/>
  <c r="J31" i="5" s="1"/>
  <c r="I32" i="5"/>
  <c r="I31" i="5" s="1"/>
  <c r="H32" i="5"/>
  <c r="H31" i="5" s="1"/>
  <c r="K25" i="5"/>
  <c r="H25" i="5"/>
  <c r="H24" i="5" s="1"/>
  <c r="H10" i="5" s="1"/>
  <c r="G17" i="6"/>
  <c r="G13" i="6" s="1"/>
  <c r="G12" i="6" s="1"/>
  <c r="G8" i="6" s="1"/>
  <c r="G2" i="6" s="1"/>
  <c r="J30" i="6"/>
  <c r="J29" i="6" s="1"/>
  <c r="D56" i="19" s="1"/>
  <c r="J22" i="6"/>
  <c r="J21" i="6" s="1"/>
  <c r="J25" i="5"/>
  <c r="J24" i="5" s="1"/>
  <c r="J10" i="5" s="1"/>
  <c r="J46" i="6"/>
  <c r="H47" i="6"/>
  <c r="H46" i="6" s="1"/>
  <c r="J24" i="7"/>
  <c r="J23" i="7" s="1"/>
  <c r="J31" i="8"/>
  <c r="J30" i="8" s="1"/>
  <c r="H31" i="8"/>
  <c r="H30" i="8" s="1"/>
  <c r="J41" i="11"/>
  <c r="J40" i="11" s="1"/>
  <c r="H20" i="11"/>
  <c r="H28" i="12"/>
  <c r="H27" i="12" s="1"/>
  <c r="H9" i="12" s="1"/>
  <c r="J28" i="12"/>
  <c r="J27" i="12" s="1"/>
  <c r="J9" i="12" s="1"/>
  <c r="L38" i="2"/>
  <c r="J136" i="2"/>
  <c r="G20" i="12"/>
  <c r="G19" i="12" s="1"/>
  <c r="G18" i="12" s="1"/>
  <c r="G26" i="12"/>
  <c r="G25" i="12"/>
  <c r="L25" i="5"/>
  <c r="L24" i="5" s="1"/>
  <c r="L10" i="5" s="1"/>
  <c r="N25" i="5"/>
  <c r="N24" i="5" s="1"/>
  <c r="N10" i="5" s="1"/>
  <c r="M25" i="5"/>
  <c r="M24" i="5" s="1"/>
  <c r="M10" i="5" s="1"/>
  <c r="I25" i="5"/>
  <c r="I24" i="5" s="1"/>
  <c r="I10" i="5" s="1"/>
  <c r="I723" i="15"/>
  <c r="H736" i="15"/>
  <c r="I775" i="15"/>
  <c r="H775" i="15"/>
  <c r="I784" i="15"/>
  <c r="M29" i="12" s="1"/>
  <c r="H784" i="15"/>
  <c r="D784" i="15"/>
  <c r="D736" i="15"/>
  <c r="D723" i="15"/>
  <c r="D702" i="15"/>
  <c r="K32" i="5"/>
  <c r="K31" i="5" s="1"/>
  <c r="H640" i="15"/>
  <c r="D617" i="15"/>
  <c r="D622" i="15"/>
  <c r="L22" i="6"/>
  <c r="L21" i="6" s="1"/>
  <c r="H723" i="15"/>
  <c r="K136" i="2"/>
  <c r="K68" i="3"/>
  <c r="K67" i="3" s="1"/>
  <c r="K66" i="3" s="1"/>
  <c r="E123" i="16" s="1"/>
  <c r="I49" i="7"/>
  <c r="K117" i="2"/>
  <c r="K121" i="2" s="1"/>
  <c r="M38" i="2"/>
  <c r="N38" i="2"/>
  <c r="N117" i="2"/>
  <c r="R38" i="2"/>
  <c r="R61" i="2"/>
  <c r="R117" i="2"/>
  <c r="S38" i="2"/>
  <c r="S61" i="2"/>
  <c r="S117" i="2"/>
  <c r="N136" i="2"/>
  <c r="D124" i="15"/>
  <c r="D222" i="15"/>
  <c r="D231" i="15"/>
  <c r="D276" i="15"/>
  <c r="D287" i="15"/>
  <c r="D293" i="15"/>
  <c r="D640" i="15"/>
  <c r="G17" i="3"/>
  <c r="G18" i="3"/>
  <c r="G35" i="3"/>
  <c r="G39" i="3"/>
  <c r="G38" i="3" s="1"/>
  <c r="M43" i="3"/>
  <c r="G47" i="3"/>
  <c r="G60" i="3"/>
  <c r="G61" i="3"/>
  <c r="G65" i="3"/>
  <c r="G14" i="5"/>
  <c r="G15" i="5"/>
  <c r="G16" i="5"/>
  <c r="G17" i="5"/>
  <c r="G21" i="5"/>
  <c r="G22" i="5"/>
  <c r="G37" i="5"/>
  <c r="M40" i="5"/>
  <c r="G40" i="5" s="1"/>
  <c r="M42" i="5"/>
  <c r="G42" i="5" s="1"/>
  <c r="G37" i="6"/>
  <c r="G39" i="6"/>
  <c r="M45" i="6"/>
  <c r="G32" i="6"/>
  <c r="G29" i="6" s="1"/>
  <c r="G26" i="6" s="1"/>
  <c r="G22" i="6" s="1"/>
  <c r="G20" i="6" s="1"/>
  <c r="G47" i="11"/>
  <c r="G48" i="11"/>
  <c r="G50" i="11"/>
  <c r="G14" i="12"/>
  <c r="G15" i="12"/>
  <c r="N43" i="3"/>
  <c r="N14" i="5"/>
  <c r="N15" i="5"/>
  <c r="N16" i="5"/>
  <c r="N17" i="5"/>
  <c r="N20" i="5"/>
  <c r="N21" i="5"/>
  <c r="N22" i="5"/>
  <c r="N23" i="5"/>
  <c r="N37" i="5"/>
  <c r="N40" i="5"/>
  <c r="N42" i="5"/>
  <c r="N30" i="6"/>
  <c r="N29" i="6" s="1"/>
  <c r="H56" i="19" s="1"/>
  <c r="N19" i="8"/>
  <c r="N18" i="8" s="1"/>
  <c r="N31" i="8"/>
  <c r="N30" i="8" s="1"/>
  <c r="L26" i="3"/>
  <c r="L25" i="3" s="1"/>
  <c r="L9" i="3" s="1"/>
  <c r="L47" i="6"/>
  <c r="L46" i="6" s="1"/>
  <c r="L31" i="8"/>
  <c r="L30" i="8" s="1"/>
  <c r="L40" i="11"/>
  <c r="M26" i="3"/>
  <c r="M25" i="3" s="1"/>
  <c r="M9" i="3" s="1"/>
  <c r="H702" i="15"/>
  <c r="M22" i="6"/>
  <c r="M21" i="6" s="1"/>
  <c r="M47" i="6"/>
  <c r="M46" i="6" s="1"/>
  <c r="M24" i="7"/>
  <c r="M23" i="7" s="1"/>
  <c r="M19" i="8"/>
  <c r="M18" i="8" s="1"/>
  <c r="M31" i="8"/>
  <c r="M30" i="8" s="1"/>
  <c r="N26" i="3"/>
  <c r="N25" i="3" s="1"/>
  <c r="N9" i="3" s="1"/>
  <c r="I702" i="15"/>
  <c r="N22" i="6"/>
  <c r="N21" i="6" s="1"/>
  <c r="N47" i="6"/>
  <c r="N46" i="6" s="1"/>
  <c r="N24" i="7"/>
  <c r="N23" i="7" s="1"/>
  <c r="N9" i="7" s="1"/>
  <c r="D136" i="2"/>
  <c r="E136" i="2"/>
  <c r="F136" i="2"/>
  <c r="G136" i="2"/>
  <c r="H136" i="2"/>
  <c r="I136" i="2"/>
  <c r="M136" i="2"/>
  <c r="R136" i="2"/>
  <c r="S136" i="2"/>
  <c r="D158" i="2"/>
  <c r="E158" i="2"/>
  <c r="F158" i="2"/>
  <c r="G158" i="2"/>
  <c r="H158" i="2"/>
  <c r="I158" i="2"/>
  <c r="M158" i="2"/>
  <c r="R158" i="2"/>
  <c r="D196" i="2"/>
  <c r="F196" i="2"/>
  <c r="H196" i="2"/>
  <c r="D207" i="2"/>
  <c r="E207" i="2"/>
  <c r="E208" i="2" s="1"/>
  <c r="E301" i="2" s="1"/>
  <c r="F207" i="2"/>
  <c r="G207" i="2"/>
  <c r="G208" i="2" s="1"/>
  <c r="G301" i="2" s="1"/>
  <c r="H207" i="2"/>
  <c r="I207" i="2"/>
  <c r="I208" i="2" s="1"/>
  <c r="I301" i="2" s="1"/>
  <c r="K207" i="2"/>
  <c r="M207" i="2"/>
  <c r="D286" i="2"/>
  <c r="D302" i="2" s="1"/>
  <c r="F286" i="2"/>
  <c r="F302" i="2"/>
  <c r="H286" i="2"/>
  <c r="H302" i="2" s="1"/>
  <c r="D299" i="2"/>
  <c r="E299" i="2"/>
  <c r="F299" i="2"/>
  <c r="G299" i="2"/>
  <c r="H299" i="2"/>
  <c r="I299" i="2"/>
  <c r="E302" i="2"/>
  <c r="G302" i="2"/>
  <c r="I302" i="2"/>
  <c r="G46" i="3"/>
  <c r="G45" i="3" s="1"/>
  <c r="G12" i="3" s="1"/>
  <c r="G11" i="3" s="1"/>
  <c r="G7" i="3" s="1"/>
  <c r="G1" i="3" s="1"/>
  <c r="L38" i="3"/>
  <c r="L37" i="3" s="1"/>
  <c r="L36" i="3" s="1"/>
  <c r="F68" i="16" s="1"/>
  <c r="L43" i="3"/>
  <c r="L68" i="3"/>
  <c r="L67" i="3" s="1"/>
  <c r="L66" i="3" s="1"/>
  <c r="F123" i="16" s="1"/>
  <c r="I43" i="3"/>
  <c r="K4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G9" i="3"/>
  <c r="D16" i="3"/>
  <c r="D17" i="3" s="1"/>
  <c r="D18" i="3" s="1"/>
  <c r="D19" i="3" s="1"/>
  <c r="D20" i="3" s="1"/>
  <c r="D21" i="3" s="1"/>
  <c r="D22" i="3" s="1"/>
  <c r="D23" i="3" s="1"/>
  <c r="A26" i="3"/>
  <c r="A27" i="3" s="1"/>
  <c r="A29" i="3"/>
  <c r="A30" i="3" s="1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G51" i="3"/>
  <c r="G50" i="3" s="1"/>
  <c r="A59" i="3"/>
  <c r="A60" i="3"/>
  <c r="A61" i="3" s="1"/>
  <c r="A62" i="3" s="1"/>
  <c r="A63" i="3" s="1"/>
  <c r="A64" i="3" s="1"/>
  <c r="A65" i="3" s="1"/>
  <c r="A67" i="3"/>
  <c r="A68" i="3" s="1"/>
  <c r="A69" i="3" s="1"/>
  <c r="A70" i="3" s="1"/>
  <c r="G68" i="3"/>
  <c r="G67" i="3"/>
  <c r="G28" i="12"/>
  <c r="G17" i="12"/>
  <c r="A8" i="12"/>
  <c r="A9" i="12" s="1"/>
  <c r="A10" i="12" s="1"/>
  <c r="A11" i="12" s="1"/>
  <c r="A12" i="12" s="1"/>
  <c r="A13" i="12" s="1"/>
  <c r="A14" i="12" s="1"/>
  <c r="A15" i="12" s="1"/>
  <c r="G9" i="12"/>
  <c r="G10" i="12"/>
  <c r="A19" i="12"/>
  <c r="A20" i="12" s="1"/>
  <c r="A21" i="12" s="1"/>
  <c r="A22" i="12" s="1"/>
  <c r="A23" i="12" s="1"/>
  <c r="A24" i="12" s="1"/>
  <c r="A25" i="12" s="1"/>
  <c r="A26" i="12" s="1"/>
  <c r="G13" i="4"/>
  <c r="G11" i="4" s="1"/>
  <c r="G7" i="4" s="1"/>
  <c r="G12" i="4"/>
  <c r="G8" i="4" s="1"/>
  <c r="G2" i="4" s="1"/>
  <c r="A8" i="4"/>
  <c r="A9" i="4" s="1"/>
  <c r="A10" i="4" s="1"/>
  <c r="A11" i="4" s="1"/>
  <c r="A12" i="4" s="1"/>
  <c r="A13" i="4" s="1"/>
  <c r="A14" i="4" s="1"/>
  <c r="G9" i="4"/>
  <c r="A8" i="5"/>
  <c r="A9" i="5" s="1"/>
  <c r="A10" i="5" s="1"/>
  <c r="A11" i="5" s="1"/>
  <c r="A12" i="5" s="1"/>
  <c r="A13" i="5" s="1"/>
  <c r="A14" i="5" s="1"/>
  <c r="A15" i="5" s="1"/>
  <c r="A16" i="5" s="1"/>
  <c r="A17" i="5" s="1"/>
  <c r="G9" i="5"/>
  <c r="G10" i="5"/>
  <c r="A19" i="5"/>
  <c r="A20" i="5" s="1"/>
  <c r="A21" i="5" s="1"/>
  <c r="G31" i="5"/>
  <c r="A32" i="5"/>
  <c r="A33" i="5" s="1"/>
  <c r="A35" i="5"/>
  <c r="A36" i="5" s="1"/>
  <c r="A37" i="5" s="1"/>
  <c r="A38" i="5" s="1"/>
  <c r="A39" i="5" s="1"/>
  <c r="A40" i="5" s="1"/>
  <c r="L30" i="6"/>
  <c r="L29" i="6" s="1"/>
  <c r="F56" i="19" s="1"/>
  <c r="I47" i="6"/>
  <c r="I46" i="6" s="1"/>
  <c r="K30" i="6"/>
  <c r="K29" i="6" s="1"/>
  <c r="E56" i="19" s="1"/>
  <c r="K47" i="6"/>
  <c r="K46" i="6" s="1"/>
  <c r="A8" i="6"/>
  <c r="A9" i="6" s="1"/>
  <c r="A10" i="6" s="1"/>
  <c r="A11" i="6" s="1"/>
  <c r="A12" i="6" s="1"/>
  <c r="A13" i="6" s="1"/>
  <c r="A18" i="6"/>
  <c r="A19" i="6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30" i="6"/>
  <c r="G34" i="6"/>
  <c r="A35" i="6"/>
  <c r="A36" i="6" s="1"/>
  <c r="A37" i="6" s="1"/>
  <c r="A38" i="6" s="1"/>
  <c r="A39" i="6" s="1"/>
  <c r="A40" i="6" s="1"/>
  <c r="A41" i="6" s="1"/>
  <c r="A42" i="6" s="1"/>
  <c r="A43" i="6" s="1"/>
  <c r="A44" i="6" s="1"/>
  <c r="G47" i="6"/>
  <c r="G46" i="6"/>
  <c r="A47" i="6"/>
  <c r="G13" i="7"/>
  <c r="G11" i="7"/>
  <c r="G7" i="7" s="1"/>
  <c r="G29" i="7"/>
  <c r="K48" i="7"/>
  <c r="K47" i="7" s="1"/>
  <c r="E58" i="20" s="1"/>
  <c r="A8" i="7"/>
  <c r="A9" i="7" s="1"/>
  <c r="A10" i="7" s="1"/>
  <c r="A11" i="7" s="1"/>
  <c r="A12" i="7" s="1"/>
  <c r="A13" i="7" s="1"/>
  <c r="A18" i="7" s="1"/>
  <c r="A21" i="7" s="1"/>
  <c r="G9" i="7"/>
  <c r="G23" i="7"/>
  <c r="A24" i="7"/>
  <c r="A25" i="7" s="1"/>
  <c r="A26" i="7" s="1"/>
  <c r="A27" i="7" s="1"/>
  <c r="A28" i="7" s="1"/>
  <c r="A29" i="7" s="1"/>
  <c r="N38" i="7"/>
  <c r="N37" i="7" s="1"/>
  <c r="L48" i="7"/>
  <c r="L47" i="7" s="1"/>
  <c r="F58" i="20" s="1"/>
  <c r="M48" i="7"/>
  <c r="M47" i="7" s="1"/>
  <c r="G58" i="20" s="1"/>
  <c r="N48" i="7"/>
  <c r="N47" i="7" s="1"/>
  <c r="H58" i="20" s="1"/>
  <c r="L49" i="7"/>
  <c r="M49" i="7"/>
  <c r="N49" i="7"/>
  <c r="G13" i="8"/>
  <c r="G12" i="8" s="1"/>
  <c r="G25" i="8"/>
  <c r="G24" i="8"/>
  <c r="I31" i="8"/>
  <c r="I30" i="8" s="1"/>
  <c r="K31" i="8"/>
  <c r="K30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G9" i="8"/>
  <c r="G18" i="8"/>
  <c r="A19" i="8"/>
  <c r="A20" i="8" s="1"/>
  <c r="A23" i="8"/>
  <c r="A24" i="8" s="1"/>
  <c r="A25" i="8" s="1"/>
  <c r="G13" i="9"/>
  <c r="G12" i="9" s="1"/>
  <c r="G8" i="9" s="1"/>
  <c r="G2" i="9" s="1"/>
  <c r="A8" i="9"/>
  <c r="A9" i="9"/>
  <c r="A10" i="9" s="1"/>
  <c r="A11" i="9" s="1"/>
  <c r="A12" i="9" s="1"/>
  <c r="A13" i="9" s="1"/>
  <c r="A14" i="9" s="1"/>
  <c r="A19" i="9"/>
  <c r="G9" i="9"/>
  <c r="G20" i="9"/>
  <c r="A21" i="9"/>
  <c r="A22" i="9" s="1"/>
  <c r="A23" i="9" s="1"/>
  <c r="G21" i="9"/>
  <c r="G21" i="11"/>
  <c r="G20" i="11" s="1"/>
  <c r="G9" i="11" s="1"/>
  <c r="G24" i="11"/>
  <c r="G44" i="11"/>
  <c r="K41" i="11"/>
  <c r="K40" i="11" s="1"/>
  <c r="A8" i="11"/>
  <c r="A9" i="11"/>
  <c r="A10" i="11" s="1"/>
  <c r="A12" i="11"/>
  <c r="A13" i="11" s="1"/>
  <c r="A14" i="11" s="1"/>
  <c r="A15" i="11" s="1"/>
  <c r="A18" i="11"/>
  <c r="A19" i="11" s="1"/>
  <c r="A21" i="11"/>
  <c r="A22" i="11" s="1"/>
  <c r="A25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G25" i="11"/>
  <c r="G26" i="11"/>
  <c r="G41" i="11"/>
  <c r="G40" i="11" s="1"/>
  <c r="H119" i="15"/>
  <c r="H124" i="15" s="1"/>
  <c r="I119" i="15"/>
  <c r="I124" i="15" s="1"/>
  <c r="H222" i="15"/>
  <c r="I222" i="15"/>
  <c r="H231" i="15"/>
  <c r="I231" i="15"/>
  <c r="H276" i="15"/>
  <c r="H279" i="15" s="1"/>
  <c r="I276" i="15"/>
  <c r="I279" i="15" s="1"/>
  <c r="H287" i="15"/>
  <c r="I287" i="15"/>
  <c r="H293" i="15"/>
  <c r="I293" i="15"/>
  <c r="I305" i="15"/>
  <c r="I317" i="15" s="1"/>
  <c r="H382" i="15"/>
  <c r="I382" i="15"/>
  <c r="I640" i="15"/>
  <c r="D720" i="15"/>
  <c r="I766" i="15"/>
  <c r="N21" i="11" s="1"/>
  <c r="N20" i="11" s="1"/>
  <c r="G23" i="8"/>
  <c r="G28" i="7"/>
  <c r="G27" i="7"/>
  <c r="G11" i="8"/>
  <c r="G12" i="7"/>
  <c r="H94" i="15"/>
  <c r="N18" i="5"/>
  <c r="G19" i="3"/>
  <c r="N84" i="2"/>
  <c r="D153" i="15"/>
  <c r="D241" i="15"/>
  <c r="I94" i="15"/>
  <c r="G20" i="3"/>
  <c r="D365" i="15"/>
  <c r="D130" i="15"/>
  <c r="K158" i="2"/>
  <c r="S158" i="2"/>
  <c r="J159" i="2" l="1"/>
  <c r="J300" i="2" s="1"/>
  <c r="K44" i="5"/>
  <c r="K43" i="5" s="1"/>
  <c r="K9" i="5" s="1"/>
  <c r="I45" i="5"/>
  <c r="I44" i="5" s="1"/>
  <c r="I43" i="5" s="1"/>
  <c r="I9" i="5" s="1"/>
  <c r="G11" i="9"/>
  <c r="G7" i="9" s="1"/>
  <c r="G1" i="9" s="1"/>
  <c r="N33" i="5"/>
  <c r="N32" i="5" s="1"/>
  <c r="N31" i="5" s="1"/>
  <c r="N30" i="5" s="1"/>
  <c r="H40" i="18" s="1"/>
  <c r="M33" i="5"/>
  <c r="M32" i="5" s="1"/>
  <c r="M31" i="5" s="1"/>
  <c r="I376" i="15"/>
  <c r="F748" i="15"/>
  <c r="J23" i="9" s="1"/>
  <c r="G24" i="7"/>
  <c r="R159" i="2"/>
  <c r="R300" i="2" s="1"/>
  <c r="G11" i="13" s="1"/>
  <c r="J21" i="9"/>
  <c r="J20" i="9" s="1"/>
  <c r="J9" i="9" s="1"/>
  <c r="N41" i="11"/>
  <c r="N40" i="11" s="1"/>
  <c r="N9" i="11" s="1"/>
  <c r="M42" i="11"/>
  <c r="M41" i="11" s="1"/>
  <c r="M40" i="11" s="1"/>
  <c r="M9" i="11" s="1"/>
  <c r="L44" i="5"/>
  <c r="L43" i="5" s="1"/>
  <c r="J45" i="5"/>
  <c r="J44" i="5" s="1"/>
  <c r="J43" i="5" s="1"/>
  <c r="J9" i="5" s="1"/>
  <c r="H782" i="15"/>
  <c r="L29" i="12"/>
  <c r="L28" i="12" s="1"/>
  <c r="L27" i="12" s="1"/>
  <c r="L9" i="12" s="1"/>
  <c r="G19" i="8"/>
  <c r="F208" i="2"/>
  <c r="F301" i="2" s="1"/>
  <c r="L33" i="5"/>
  <c r="L32" i="5" s="1"/>
  <c r="L31" i="5" s="1"/>
  <c r="L30" i="5" s="1"/>
  <c r="F40" i="18" s="1"/>
  <c r="H470" i="15"/>
  <c r="L28" i="11" s="1"/>
  <c r="I748" i="15"/>
  <c r="I791" i="15" s="1"/>
  <c r="G8" i="7"/>
  <c r="G2" i="7" s="1"/>
  <c r="G1" i="7" s="1"/>
  <c r="G8" i="8"/>
  <c r="G2" i="8" s="1"/>
  <c r="G1" i="8" s="1"/>
  <c r="G7" i="8"/>
  <c r="K28" i="12"/>
  <c r="K27" i="12" s="1"/>
  <c r="K9" i="12" s="1"/>
  <c r="I29" i="12"/>
  <c r="I28" i="12" s="1"/>
  <c r="I27" i="12" s="1"/>
  <c r="I9" i="12" s="1"/>
  <c r="M121" i="2"/>
  <c r="E791" i="15"/>
  <c r="E834" i="15" s="1"/>
  <c r="D18" i="13" s="1"/>
  <c r="F365" i="15"/>
  <c r="I365" i="15"/>
  <c r="H376" i="15"/>
  <c r="M28" i="12"/>
  <c r="M27" i="12" s="1"/>
  <c r="M9" i="12" s="1"/>
  <c r="J38" i="7"/>
  <c r="J37" i="7" s="1"/>
  <c r="J9" i="7" s="1"/>
  <c r="I404" i="15"/>
  <c r="H365" i="15"/>
  <c r="I41" i="11"/>
  <c r="I40" i="11" s="1"/>
  <c r="I9" i="11" s="1"/>
  <c r="H41" i="11"/>
  <c r="H40" i="11" s="1"/>
  <c r="H9" i="11" s="1"/>
  <c r="H646" i="15"/>
  <c r="I298" i="15"/>
  <c r="H404" i="15"/>
  <c r="E298" i="15"/>
  <c r="N13" i="7"/>
  <c r="N12" i="7" s="1"/>
  <c r="N11" i="7" s="1"/>
  <c r="H20" i="20" s="1"/>
  <c r="H44" i="5"/>
  <c r="H43" i="5" s="1"/>
  <c r="H9" i="5" s="1"/>
  <c r="F470" i="15"/>
  <c r="H791" i="15"/>
  <c r="H454" i="15"/>
  <c r="K14" i="3"/>
  <c r="K13" i="3" s="1"/>
  <c r="K12" i="3" s="1"/>
  <c r="E28" i="16" s="1"/>
  <c r="K21" i="9"/>
  <c r="K20" i="9" s="1"/>
  <c r="K9" i="9" s="1"/>
  <c r="G15" i="3"/>
  <c r="I234" i="15"/>
  <c r="N39" i="5"/>
  <c r="N36" i="5" s="1"/>
  <c r="N35" i="5" s="1"/>
  <c r="N34" i="5" s="1"/>
  <c r="H58" i="18" s="1"/>
  <c r="I153" i="15"/>
  <c r="I171" i="15" s="1"/>
  <c r="D171" i="15"/>
  <c r="S159" i="2"/>
  <c r="S300" i="2" s="1"/>
  <c r="H11" i="13" s="1"/>
  <c r="H34" i="13" s="1"/>
  <c r="G1" i="4"/>
  <c r="H298" i="15"/>
  <c r="H130" i="15"/>
  <c r="D279" i="15"/>
  <c r="D234" i="15"/>
  <c r="I522" i="15"/>
  <c r="L59" i="3"/>
  <c r="L58" i="3" s="1"/>
  <c r="F94" i="15"/>
  <c r="D159" i="2"/>
  <c r="D300" i="2" s="1"/>
  <c r="H26" i="3"/>
  <c r="H25" i="3" s="1"/>
  <c r="H9" i="3" s="1"/>
  <c r="S208" i="2"/>
  <c r="D376" i="15"/>
  <c r="D386" i="15" s="1"/>
  <c r="F130" i="15"/>
  <c r="F171" i="15" s="1"/>
  <c r="L13" i="5"/>
  <c r="L12" i="5" s="1"/>
  <c r="F376" i="15"/>
  <c r="N9" i="6"/>
  <c r="D298" i="15"/>
  <c r="F522" i="15"/>
  <c r="L35" i="6"/>
  <c r="L34" i="6" s="1"/>
  <c r="F74" i="19" s="1"/>
  <c r="M9" i="6"/>
  <c r="I470" i="15"/>
  <c r="M28" i="11" s="1"/>
  <c r="J9" i="6"/>
  <c r="O159" i="2"/>
  <c r="O300" i="2" s="1"/>
  <c r="D11" i="13" s="1"/>
  <c r="F7" i="15"/>
  <c r="I437" i="15"/>
  <c r="I434" i="15" s="1"/>
  <c r="M17" i="11" s="1"/>
  <c r="H437" i="15"/>
  <c r="E398" i="15"/>
  <c r="G39" i="13"/>
  <c r="E376" i="15"/>
  <c r="E386" i="15" s="1"/>
  <c r="E279" i="15"/>
  <c r="E171" i="15"/>
  <c r="M29" i="7"/>
  <c r="M28" i="7" s="1"/>
  <c r="I9" i="6"/>
  <c r="N9" i="8"/>
  <c r="M9" i="8"/>
  <c r="N29" i="7"/>
  <c r="N28" i="7" s="1"/>
  <c r="N27" i="7" s="1"/>
  <c r="H40" i="20" s="1"/>
  <c r="D646" i="15"/>
  <c r="I26" i="3"/>
  <c r="I25" i="3" s="1"/>
  <c r="I9" i="3" s="1"/>
  <c r="R121" i="2"/>
  <c r="N27" i="1"/>
  <c r="R9" i="2"/>
  <c r="R32" i="2" s="1"/>
  <c r="O27" i="1"/>
  <c r="E841" i="15"/>
  <c r="O9" i="2"/>
  <c r="O32" i="2" s="1"/>
  <c r="O122" i="2" s="1"/>
  <c r="P69" i="2"/>
  <c r="P302" i="2"/>
  <c r="L9" i="2"/>
  <c r="L32" i="2" s="1"/>
  <c r="J5" i="1"/>
  <c r="L57" i="11"/>
  <c r="F79" i="24" s="1"/>
  <c r="L9" i="6"/>
  <c r="K9" i="6"/>
  <c r="S121" i="2"/>
  <c r="H19" i="12"/>
  <c r="H18" i="12" s="1"/>
  <c r="H17" i="12" s="1"/>
  <c r="B43" i="25" s="1"/>
  <c r="L38" i="7"/>
  <c r="L37" i="7" s="1"/>
  <c r="L26" i="6"/>
  <c r="L25" i="6" s="1"/>
  <c r="L20" i="6" s="1"/>
  <c r="F35" i="19" s="1"/>
  <c r="M108" i="1"/>
  <c r="J156" i="1"/>
  <c r="J166" i="1" s="1"/>
  <c r="L208" i="2"/>
  <c r="L301" i="2" s="1"/>
  <c r="J36" i="6"/>
  <c r="J35" i="6" s="1"/>
  <c r="J34" i="6" s="1"/>
  <c r="D74" i="19" s="1"/>
  <c r="I13" i="7"/>
  <c r="I12" i="7" s="1"/>
  <c r="I11" i="7" s="1"/>
  <c r="C20" i="20" s="1"/>
  <c r="I13" i="5"/>
  <c r="I12" i="5" s="1"/>
  <c r="I11" i="5" s="1"/>
  <c r="C17" i="18" s="1"/>
  <c r="K9" i="2"/>
  <c r="K32" i="2" s="1"/>
  <c r="H50" i="3"/>
  <c r="H10" i="3" s="1"/>
  <c r="J29" i="7"/>
  <c r="J28" i="7" s="1"/>
  <c r="J49" i="7"/>
  <c r="J48" i="7" s="1"/>
  <c r="J47" i="7" s="1"/>
  <c r="D58" i="20" s="1"/>
  <c r="I19" i="12"/>
  <c r="I18" i="12" s="1"/>
  <c r="I17" i="12" s="1"/>
  <c r="C43" i="25" s="1"/>
  <c r="N37" i="12"/>
  <c r="N36" i="12" s="1"/>
  <c r="N35" i="12" s="1"/>
  <c r="H97" i="25" s="1"/>
  <c r="H7" i="15"/>
  <c r="H107" i="15" s="1"/>
  <c r="F298" i="15"/>
  <c r="G23" i="3"/>
  <c r="R286" i="2"/>
  <c r="G13" i="13" s="1"/>
  <c r="O156" i="1"/>
  <c r="O166" i="1" s="1"/>
  <c r="P159" i="2"/>
  <c r="P300" i="2" s="1"/>
  <c r="E11" i="13" s="1"/>
  <c r="F791" i="15"/>
  <c r="F834" i="15" s="1"/>
  <c r="E18" i="13" s="1"/>
  <c r="E646" i="15"/>
  <c r="O286" i="2"/>
  <c r="O302" i="2" s="1"/>
  <c r="D13" i="13" s="1"/>
  <c r="N159" i="2"/>
  <c r="N300" i="2" s="1"/>
  <c r="N121" i="2"/>
  <c r="N69" i="2"/>
  <c r="M159" i="2"/>
  <c r="M300" i="2" s="1"/>
  <c r="C11" i="13" s="1"/>
  <c r="D835" i="15"/>
  <c r="C19" i="13" s="1"/>
  <c r="C39" i="13" s="1"/>
  <c r="D434" i="15"/>
  <c r="D107" i="15"/>
  <c r="G159" i="2"/>
  <c r="G300" i="2" s="1"/>
  <c r="G303" i="2" s="1"/>
  <c r="H159" i="2"/>
  <c r="H300" i="2" s="1"/>
  <c r="M69" i="2"/>
  <c r="O108" i="1"/>
  <c r="J67" i="1"/>
  <c r="J69" i="2"/>
  <c r="K69" i="2"/>
  <c r="J286" i="2"/>
  <c r="J302" i="2" s="1"/>
  <c r="L286" i="2"/>
  <c r="L302" i="2" s="1"/>
  <c r="E159" i="2"/>
  <c r="E300" i="2" s="1"/>
  <c r="E303" i="2" s="1"/>
  <c r="R208" i="2"/>
  <c r="R301" i="2" s="1"/>
  <c r="N156" i="1"/>
  <c r="N166" i="1" s="1"/>
  <c r="J208" i="2"/>
  <c r="J301" i="2" s="1"/>
  <c r="S69" i="2"/>
  <c r="K208" i="2"/>
  <c r="K301" i="2" s="1"/>
  <c r="M208" i="2"/>
  <c r="M301" i="2" s="1"/>
  <c r="C12" i="13" s="1"/>
  <c r="I159" i="2"/>
  <c r="I300" i="2" s="1"/>
  <c r="I303" i="2" s="1"/>
  <c r="L69" i="2"/>
  <c r="K159" i="2"/>
  <c r="K300" i="2" s="1"/>
  <c r="N286" i="2"/>
  <c r="P32" i="2"/>
  <c r="H208" i="2"/>
  <c r="H301" i="2" s="1"/>
  <c r="F159" i="2"/>
  <c r="F300" i="2" s="1"/>
  <c r="F303" i="2" s="1"/>
  <c r="J32" i="2"/>
  <c r="S286" i="2"/>
  <c r="H13" i="13" s="1"/>
  <c r="F646" i="15"/>
  <c r="G13" i="12"/>
  <c r="G12" i="12" s="1"/>
  <c r="K38" i="7"/>
  <c r="K37" i="7" s="1"/>
  <c r="M38" i="3"/>
  <c r="M37" i="3" s="1"/>
  <c r="M36" i="3" s="1"/>
  <c r="G68" i="16" s="1"/>
  <c r="J32" i="12"/>
  <c r="J31" i="12" s="1"/>
  <c r="J30" i="12" s="1"/>
  <c r="D80" i="25" s="1"/>
  <c r="J19" i="8"/>
  <c r="J18" i="8" s="1"/>
  <c r="J9" i="8" s="1"/>
  <c r="H31" i="6"/>
  <c r="H30" i="6" s="1"/>
  <c r="H29" i="6" s="1"/>
  <c r="B56" i="19" s="1"/>
  <c r="H45" i="3"/>
  <c r="H42" i="3" s="1"/>
  <c r="I45" i="3"/>
  <c r="I42" i="3" s="1"/>
  <c r="L13" i="3"/>
  <c r="L12" i="3" s="1"/>
  <c r="F28" i="16" s="1"/>
  <c r="H13" i="5"/>
  <c r="H12" i="5" s="1"/>
  <c r="I646" i="15"/>
  <c r="N28" i="12"/>
  <c r="N27" i="12" s="1"/>
  <c r="N9" i="12" s="1"/>
  <c r="I782" i="15"/>
  <c r="I7" i="15"/>
  <c r="I107" i="15" s="1"/>
  <c r="H153" i="15"/>
  <c r="M38" i="5"/>
  <c r="G38" i="5" s="1"/>
  <c r="G36" i="5" s="1"/>
  <c r="M36" i="6"/>
  <c r="M35" i="6" s="1"/>
  <c r="M34" i="6" s="1"/>
  <c r="G74" i="19" s="1"/>
  <c r="H234" i="15"/>
  <c r="I36" i="6"/>
  <c r="I35" i="6" s="1"/>
  <c r="I34" i="6" s="1"/>
  <c r="C74" i="19" s="1"/>
  <c r="J36" i="5"/>
  <c r="J35" i="5" s="1"/>
  <c r="E7" i="15"/>
  <c r="E107" i="15" s="1"/>
  <c r="F437" i="15"/>
  <c r="F434" i="15" s="1"/>
  <c r="J17" i="11" s="1"/>
  <c r="N51" i="3"/>
  <c r="N50" i="3" s="1"/>
  <c r="N10" i="3" s="1"/>
  <c r="J19" i="12"/>
  <c r="J18" i="12" s="1"/>
  <c r="J17" i="12" s="1"/>
  <c r="D43" i="25" s="1"/>
  <c r="E434" i="15"/>
  <c r="F404" i="15"/>
  <c r="J15" i="11" s="1"/>
  <c r="I48" i="7"/>
  <c r="I47" i="7" s="1"/>
  <c r="C58" i="20" s="1"/>
  <c r="I26" i="6"/>
  <c r="I25" i="6" s="1"/>
  <c r="I20" i="6" s="1"/>
  <c r="C35" i="19" s="1"/>
  <c r="L45" i="3"/>
  <c r="L42" i="3" s="1"/>
  <c r="N13" i="12"/>
  <c r="N12" i="12" s="1"/>
  <c r="N11" i="12" s="1"/>
  <c r="H21" i="25" s="1"/>
  <c r="N13" i="4"/>
  <c r="N12" i="4" s="1"/>
  <c r="N8" i="4" s="1"/>
  <c r="N45" i="3"/>
  <c r="N42" i="3" s="1"/>
  <c r="M45" i="3"/>
  <c r="M42" i="3" s="1"/>
  <c r="I38" i="3"/>
  <c r="I37" i="3" s="1"/>
  <c r="I36" i="3" s="1"/>
  <c r="C68" i="16" s="1"/>
  <c r="I32" i="12"/>
  <c r="I31" i="12" s="1"/>
  <c r="I30" i="12" s="1"/>
  <c r="C80" i="25" s="1"/>
  <c r="L32" i="12"/>
  <c r="L31" i="12" s="1"/>
  <c r="L30" i="12" s="1"/>
  <c r="F80" i="25" s="1"/>
  <c r="J13" i="12"/>
  <c r="J12" i="12" s="1"/>
  <c r="J11" i="12" s="1"/>
  <c r="D21" i="25" s="1"/>
  <c r="J13" i="8"/>
  <c r="J12" i="8" s="1"/>
  <c r="M51" i="3"/>
  <c r="M50" i="3" s="1"/>
  <c r="M10" i="3" s="1"/>
  <c r="H24" i="7"/>
  <c r="H23" i="7" s="1"/>
  <c r="H9" i="7" s="1"/>
  <c r="H24" i="12"/>
  <c r="H23" i="12" s="1"/>
  <c r="H22" i="12" s="1"/>
  <c r="B61" i="25" s="1"/>
  <c r="L9" i="11"/>
  <c r="I13" i="4"/>
  <c r="I12" i="4" s="1"/>
  <c r="I11" i="4" s="1"/>
  <c r="C18" i="17" s="1"/>
  <c r="L19" i="12"/>
  <c r="L18" i="12" s="1"/>
  <c r="L17" i="12" s="1"/>
  <c r="F43" i="25" s="1"/>
  <c r="L13" i="12"/>
  <c r="L12" i="12" s="1"/>
  <c r="L11" i="12" s="1"/>
  <c r="F21" i="25" s="1"/>
  <c r="I51" i="3"/>
  <c r="I50" i="3" s="1"/>
  <c r="I10" i="3" s="1"/>
  <c r="H13" i="6"/>
  <c r="H12" i="6" s="1"/>
  <c r="H11" i="6" s="1"/>
  <c r="B19" i="19" s="1"/>
  <c r="K37" i="12"/>
  <c r="K36" i="12" s="1"/>
  <c r="K35" i="12" s="1"/>
  <c r="E97" i="25" s="1"/>
  <c r="K50" i="3"/>
  <c r="K10" i="3" s="1"/>
  <c r="K45" i="3"/>
  <c r="K42" i="3" s="1"/>
  <c r="K13" i="12"/>
  <c r="K12" i="12" s="1"/>
  <c r="K11" i="12" s="1"/>
  <c r="E21" i="25" s="1"/>
  <c r="H49" i="7"/>
  <c r="H48" i="7" s="1"/>
  <c r="H47" i="7" s="1"/>
  <c r="B58" i="20" s="1"/>
  <c r="J13" i="4"/>
  <c r="J12" i="4" s="1"/>
  <c r="J11" i="4" s="1"/>
  <c r="D18" i="17" s="1"/>
  <c r="J50" i="3"/>
  <c r="J10" i="3" s="1"/>
  <c r="I24" i="12"/>
  <c r="I22" i="12" s="1"/>
  <c r="C61" i="25" s="1"/>
  <c r="L51" i="3"/>
  <c r="L50" i="3" s="1"/>
  <c r="L10" i="3" s="1"/>
  <c r="K9" i="11"/>
  <c r="L156" i="1"/>
  <c r="L166" i="1" s="1"/>
  <c r="M286" i="2"/>
  <c r="M302" i="2" s="1"/>
  <c r="C13" i="13" s="1"/>
  <c r="M9" i="2"/>
  <c r="M32" i="2" s="1"/>
  <c r="K156" i="1"/>
  <c r="K166" i="1" s="1"/>
  <c r="K286" i="2"/>
  <c r="L121" i="2"/>
  <c r="N131" i="1"/>
  <c r="N165" i="1" s="1"/>
  <c r="R69" i="2"/>
  <c r="L300" i="2"/>
  <c r="D208" i="2"/>
  <c r="D301" i="2" s="1"/>
  <c r="N108" i="1"/>
  <c r="I156" i="1"/>
  <c r="I166" i="1" s="1"/>
  <c r="O5" i="1"/>
  <c r="S9" i="2"/>
  <c r="S32" i="2" s="1"/>
  <c r="N208" i="2"/>
  <c r="N301" i="2" s="1"/>
  <c r="N32" i="2"/>
  <c r="P208" i="2"/>
  <c r="P301" i="2" s="1"/>
  <c r="E12" i="13" s="1"/>
  <c r="I5" i="1"/>
  <c r="H59" i="3"/>
  <c r="H58" i="3" s="1"/>
  <c r="H57" i="3" s="1"/>
  <c r="B103" i="16" s="1"/>
  <c r="G11" i="6"/>
  <c r="G7" i="6" s="1"/>
  <c r="G1" i="6" s="1"/>
  <c r="K13" i="8"/>
  <c r="K12" i="8" s="1"/>
  <c r="J13" i="9"/>
  <c r="J12" i="9" s="1"/>
  <c r="J8" i="9" s="1"/>
  <c r="H26" i="6"/>
  <c r="H25" i="6" s="1"/>
  <c r="J13" i="3"/>
  <c r="H36" i="5"/>
  <c r="H35" i="5" s="1"/>
  <c r="K46" i="11"/>
  <c r="K45" i="11" s="1"/>
  <c r="K44" i="11" s="1"/>
  <c r="E60" i="24" s="1"/>
  <c r="I13" i="9"/>
  <c r="I12" i="9" s="1"/>
  <c r="I8" i="9" s="1"/>
  <c r="I7" i="9" s="1"/>
  <c r="C8" i="22" s="1"/>
  <c r="K19" i="8"/>
  <c r="K18" i="8" s="1"/>
  <c r="K9" i="8" s="1"/>
  <c r="L12" i="6"/>
  <c r="M26" i="6"/>
  <c r="M25" i="6" s="1"/>
  <c r="M20" i="6" s="1"/>
  <c r="G35" i="19" s="1"/>
  <c r="H32" i="12"/>
  <c r="H31" i="12" s="1"/>
  <c r="H30" i="12" s="1"/>
  <c r="B80" i="25" s="1"/>
  <c r="H38" i="3"/>
  <c r="H37" i="3" s="1"/>
  <c r="H36" i="3" s="1"/>
  <c r="B68" i="16" s="1"/>
  <c r="L24" i="7"/>
  <c r="L23" i="7" s="1"/>
  <c r="H13" i="9"/>
  <c r="H12" i="9" s="1"/>
  <c r="H8" i="9" s="1"/>
  <c r="H7" i="9" s="1"/>
  <c r="B8" i="22" s="1"/>
  <c r="J13" i="6"/>
  <c r="J12" i="6" s="1"/>
  <c r="J11" i="6" s="1"/>
  <c r="D19" i="19" s="1"/>
  <c r="G44" i="3"/>
  <c r="G43" i="3" s="1"/>
  <c r="G41" i="3" s="1"/>
  <c r="K49" i="7"/>
  <c r="I30" i="5"/>
  <c r="C40" i="18" s="1"/>
  <c r="G36" i="3"/>
  <c r="G37" i="3"/>
  <c r="K30" i="3"/>
  <c r="K29" i="3" s="1"/>
  <c r="K28" i="3" s="1"/>
  <c r="E55" i="16" s="1"/>
  <c r="L19" i="8"/>
  <c r="L18" i="8" s="1"/>
  <c r="L9" i="8" s="1"/>
  <c r="K22" i="12"/>
  <c r="E61" i="25" s="1"/>
  <c r="N24" i="12"/>
  <c r="J26" i="6"/>
  <c r="J25" i="6" s="1"/>
  <c r="J20" i="6" s="1"/>
  <c r="D35" i="19" s="1"/>
  <c r="H13" i="7"/>
  <c r="H12" i="7" s="1"/>
  <c r="N31" i="11"/>
  <c r="K36" i="5"/>
  <c r="K35" i="5" s="1"/>
  <c r="G24" i="12"/>
  <c r="G22" i="12" s="1"/>
  <c r="N32" i="12"/>
  <c r="N31" i="12" s="1"/>
  <c r="N30" i="12" s="1"/>
  <c r="H80" i="25" s="1"/>
  <c r="I28" i="7"/>
  <c r="I27" i="7" s="1"/>
  <c r="C40" i="20" s="1"/>
  <c r="I13" i="3"/>
  <c r="K13" i="5"/>
  <c r="K12" i="5" s="1"/>
  <c r="K11" i="5" s="1"/>
  <c r="E17" i="18" s="1"/>
  <c r="I37" i="12"/>
  <c r="I36" i="12" s="1"/>
  <c r="N25" i="8"/>
  <c r="N24" i="8" s="1"/>
  <c r="N23" i="8" s="1"/>
  <c r="H36" i="21" s="1"/>
  <c r="N13" i="8"/>
  <c r="N12" i="8" s="1"/>
  <c r="N11" i="8" s="1"/>
  <c r="H20" i="21" s="1"/>
  <c r="N26" i="6"/>
  <c r="N25" i="6" s="1"/>
  <c r="N20" i="6" s="1"/>
  <c r="H35" i="19" s="1"/>
  <c r="N13" i="6"/>
  <c r="N12" i="6" s="1"/>
  <c r="N11" i="6" s="1"/>
  <c r="H19" i="19" s="1"/>
  <c r="N30" i="3"/>
  <c r="N29" i="3" s="1"/>
  <c r="N28" i="3" s="1"/>
  <c r="H55" i="16" s="1"/>
  <c r="M37" i="12"/>
  <c r="M36" i="12" s="1"/>
  <c r="M35" i="12" s="1"/>
  <c r="G97" i="25" s="1"/>
  <c r="M13" i="8"/>
  <c r="M12" i="8" s="1"/>
  <c r="M11" i="8" s="1"/>
  <c r="G20" i="21" s="1"/>
  <c r="H46" i="11"/>
  <c r="H45" i="11" s="1"/>
  <c r="H44" i="11" s="1"/>
  <c r="B60" i="24" s="1"/>
  <c r="H25" i="8"/>
  <c r="H24" i="8" s="1"/>
  <c r="H23" i="8" s="1"/>
  <c r="B36" i="21" s="1"/>
  <c r="I24" i="7"/>
  <c r="I23" i="7" s="1"/>
  <c r="I9" i="7" s="1"/>
  <c r="K30" i="5"/>
  <c r="E40" i="18" s="1"/>
  <c r="H30" i="5"/>
  <c r="B40" i="18" s="1"/>
  <c r="I30" i="3"/>
  <c r="I29" i="3" s="1"/>
  <c r="I28" i="3" s="1"/>
  <c r="C55" i="16" s="1"/>
  <c r="J9" i="11"/>
  <c r="L46" i="11"/>
  <c r="L45" i="11" s="1"/>
  <c r="L44" i="11" s="1"/>
  <c r="F60" i="24" s="1"/>
  <c r="N46" i="11"/>
  <c r="N45" i="11" s="1"/>
  <c r="N44" i="11" s="1"/>
  <c r="H60" i="24" s="1"/>
  <c r="M19" i="12"/>
  <c r="M18" i="12" s="1"/>
  <c r="M17" i="12" s="1"/>
  <c r="G43" i="25" s="1"/>
  <c r="M24" i="12"/>
  <c r="M30" i="6"/>
  <c r="M29" i="6" s="1"/>
  <c r="J13" i="7"/>
  <c r="J12" i="7" s="1"/>
  <c r="J11" i="7" s="1"/>
  <c r="D20" i="20" s="1"/>
  <c r="K13" i="7"/>
  <c r="K12" i="7" s="1"/>
  <c r="K11" i="7" s="1"/>
  <c r="E20" i="20" s="1"/>
  <c r="M38" i="7"/>
  <c r="M37" i="7" s="1"/>
  <c r="M9" i="7" s="1"/>
  <c r="I59" i="3"/>
  <c r="I58" i="3" s="1"/>
  <c r="I57" i="3" s="1"/>
  <c r="C103" i="16" s="1"/>
  <c r="L13" i="7"/>
  <c r="L12" i="7" s="1"/>
  <c r="K13" i="4"/>
  <c r="K12" i="4" s="1"/>
  <c r="K8" i="4" s="1"/>
  <c r="K7" i="4" s="1"/>
  <c r="E8" i="17" s="1"/>
  <c r="L13" i="4"/>
  <c r="L12" i="4" s="1"/>
  <c r="L11" i="4" s="1"/>
  <c r="F18" i="17" s="1"/>
  <c r="K19" i="12"/>
  <c r="K18" i="12" s="1"/>
  <c r="K17" i="12" s="1"/>
  <c r="E43" i="25" s="1"/>
  <c r="L37" i="12"/>
  <c r="L36" i="12" s="1"/>
  <c r="L35" i="12" s="1"/>
  <c r="F97" i="25" s="1"/>
  <c r="K38" i="3"/>
  <c r="K37" i="3" s="1"/>
  <c r="K36" i="3" s="1"/>
  <c r="E68" i="16" s="1"/>
  <c r="L24" i="12"/>
  <c r="K32" i="12"/>
  <c r="K31" i="12" s="1"/>
  <c r="K30" i="12" s="1"/>
  <c r="E80" i="25" s="1"/>
  <c r="M32" i="12"/>
  <c r="M31" i="12" s="1"/>
  <c r="M30" i="12" s="1"/>
  <c r="G80" i="25" s="1"/>
  <c r="H13" i="8"/>
  <c r="H12" i="8" s="1"/>
  <c r="J25" i="8"/>
  <c r="J24" i="8" s="1"/>
  <c r="J23" i="8" s="1"/>
  <c r="D36" i="21" s="1"/>
  <c r="J45" i="3"/>
  <c r="J42" i="3" s="1"/>
  <c r="K59" i="3"/>
  <c r="K58" i="3" s="1"/>
  <c r="L30" i="3"/>
  <c r="L29" i="3" s="1"/>
  <c r="L28" i="3" s="1"/>
  <c r="F55" i="16" s="1"/>
  <c r="M25" i="8"/>
  <c r="M24" i="8" s="1"/>
  <c r="M23" i="8" s="1"/>
  <c r="G36" i="21" s="1"/>
  <c r="M13" i="4"/>
  <c r="M12" i="4" s="1"/>
  <c r="M46" i="11"/>
  <c r="M45" i="11" s="1"/>
  <c r="M44" i="11" s="1"/>
  <c r="G60" i="24" s="1"/>
  <c r="M13" i="6"/>
  <c r="M12" i="6" s="1"/>
  <c r="M11" i="6" s="1"/>
  <c r="G19" i="19" s="1"/>
  <c r="M13" i="7"/>
  <c r="M12" i="7" s="1"/>
  <c r="M11" i="7" s="1"/>
  <c r="G20" i="20" s="1"/>
  <c r="N19" i="12"/>
  <c r="N18" i="12" s="1"/>
  <c r="N17" i="12" s="1"/>
  <c r="H43" i="25" s="1"/>
  <c r="H13" i="12"/>
  <c r="H12" i="12" s="1"/>
  <c r="H37" i="12"/>
  <c r="H36" i="12" s="1"/>
  <c r="H35" i="12" s="1"/>
  <c r="B97" i="25" s="1"/>
  <c r="J37" i="12"/>
  <c r="J36" i="12" s="1"/>
  <c r="J35" i="12" s="1"/>
  <c r="D97" i="25" s="1"/>
  <c r="J46" i="11"/>
  <c r="J45" i="11" s="1"/>
  <c r="J44" i="11" s="1"/>
  <c r="D60" i="24" s="1"/>
  <c r="I45" i="11"/>
  <c r="I44" i="11" s="1"/>
  <c r="C60" i="24" s="1"/>
  <c r="H13" i="4"/>
  <c r="H12" i="4" s="1"/>
  <c r="H14" i="3"/>
  <c r="H13" i="3" s="1"/>
  <c r="H30" i="3"/>
  <c r="J30" i="3"/>
  <c r="J29" i="3" s="1"/>
  <c r="J28" i="3" s="1"/>
  <c r="D55" i="16" s="1"/>
  <c r="J59" i="3"/>
  <c r="J58" i="3" s="1"/>
  <c r="N38" i="3"/>
  <c r="N37" i="3" s="1"/>
  <c r="N36" i="3" s="1"/>
  <c r="H68" i="16" s="1"/>
  <c r="M30" i="3"/>
  <c r="M29" i="3" s="1"/>
  <c r="M28" i="3" s="1"/>
  <c r="G55" i="16" s="1"/>
  <c r="H19" i="8"/>
  <c r="H18" i="8" s="1"/>
  <c r="H9" i="8" s="1"/>
  <c r="M31" i="11"/>
  <c r="G21" i="6"/>
  <c r="G9" i="6" s="1"/>
  <c r="M13" i="12"/>
  <c r="M12" i="12" s="1"/>
  <c r="M11" i="12" s="1"/>
  <c r="G21" i="25" s="1"/>
  <c r="N59" i="3"/>
  <c r="N58" i="3" s="1"/>
  <c r="I36" i="5"/>
  <c r="I35" i="5" s="1"/>
  <c r="N13" i="5"/>
  <c r="N12" i="5" s="1"/>
  <c r="L36" i="5"/>
  <c r="L35" i="5" s="1"/>
  <c r="L34" i="5" s="1"/>
  <c r="F58" i="18" s="1"/>
  <c r="I25" i="8"/>
  <c r="I24" i="8" s="1"/>
  <c r="I23" i="8" s="1"/>
  <c r="C36" i="21" s="1"/>
  <c r="I13" i="8"/>
  <c r="I12" i="8" s="1"/>
  <c r="L25" i="8"/>
  <c r="L24" i="8" s="1"/>
  <c r="L23" i="8" s="1"/>
  <c r="F36" i="21" s="1"/>
  <c r="L13" i="8"/>
  <c r="L12" i="8" s="1"/>
  <c r="K28" i="7"/>
  <c r="K36" i="6"/>
  <c r="K35" i="6" s="1"/>
  <c r="K34" i="6" s="1"/>
  <c r="E74" i="19" s="1"/>
  <c r="K26" i="6"/>
  <c r="K25" i="6" s="1"/>
  <c r="K20" i="6" s="1"/>
  <c r="E35" i="19" s="1"/>
  <c r="K13" i="6"/>
  <c r="K12" i="6" s="1"/>
  <c r="K11" i="6" s="1"/>
  <c r="E19" i="19" s="1"/>
  <c r="I13" i="6"/>
  <c r="I12" i="6" s="1"/>
  <c r="I11" i="6" s="1"/>
  <c r="C19" i="19" s="1"/>
  <c r="G46" i="11"/>
  <c r="G45" i="11" s="1"/>
  <c r="K24" i="7"/>
  <c r="K23" i="7" s="1"/>
  <c r="H36" i="6"/>
  <c r="H35" i="6" s="1"/>
  <c r="H34" i="6" s="1"/>
  <c r="B74" i="19" s="1"/>
  <c r="J13" i="5"/>
  <c r="J12" i="5" s="1"/>
  <c r="J11" i="5" s="1"/>
  <c r="D17" i="18" s="1"/>
  <c r="I13" i="12"/>
  <c r="I12" i="12" s="1"/>
  <c r="I11" i="12" s="1"/>
  <c r="C21" i="25" s="1"/>
  <c r="J24" i="12"/>
  <c r="J23" i="12" s="1"/>
  <c r="J22" i="12" s="1"/>
  <c r="D61" i="25" s="1"/>
  <c r="H22" i="6"/>
  <c r="H21" i="6" s="1"/>
  <c r="H9" i="6" s="1"/>
  <c r="N13" i="9"/>
  <c r="N12" i="9" s="1"/>
  <c r="N8" i="9" s="1"/>
  <c r="J165" i="1"/>
  <c r="M114" i="1"/>
  <c r="M67" i="1"/>
  <c r="I108" i="1"/>
  <c r="I106" i="1" s="1"/>
  <c r="K108" i="1"/>
  <c r="K114" i="1"/>
  <c r="N114" i="1"/>
  <c r="O114" i="1"/>
  <c r="I131" i="1"/>
  <c r="I165" i="1" s="1"/>
  <c r="M131" i="1"/>
  <c r="M165" i="1" s="1"/>
  <c r="K13" i="9"/>
  <c r="K12" i="9" s="1"/>
  <c r="L13" i="9"/>
  <c r="L12" i="9" s="1"/>
  <c r="L28" i="7"/>
  <c r="G20" i="5"/>
  <c r="G13" i="5" s="1"/>
  <c r="M13" i="5"/>
  <c r="M12" i="5" s="1"/>
  <c r="G16" i="3"/>
  <c r="N36" i="6"/>
  <c r="N35" i="6" s="1"/>
  <c r="N34" i="6" s="1"/>
  <c r="H74" i="19" s="1"/>
  <c r="K25" i="8"/>
  <c r="K24" i="8" s="1"/>
  <c r="I19" i="8"/>
  <c r="I18" i="8" s="1"/>
  <c r="G62" i="3"/>
  <c r="G59" i="3" s="1"/>
  <c r="M59" i="3"/>
  <c r="M58" i="3" s="1"/>
  <c r="H29" i="7"/>
  <c r="H28" i="7" s="1"/>
  <c r="H27" i="7" s="1"/>
  <c r="B40" i="20" s="1"/>
  <c r="J30" i="5"/>
  <c r="D40" i="18" s="1"/>
  <c r="G36" i="6"/>
  <c r="G35" i="6" s="1"/>
  <c r="J38" i="3"/>
  <c r="J37" i="3" s="1"/>
  <c r="J36" i="3" s="1"/>
  <c r="D68" i="16" s="1"/>
  <c r="M5" i="1"/>
  <c r="I67" i="1"/>
  <c r="L108" i="1"/>
  <c r="O67" i="1"/>
  <c r="J114" i="1"/>
  <c r="K165" i="1"/>
  <c r="N5" i="1"/>
  <c r="K5" i="1"/>
  <c r="L131" i="1"/>
  <c r="L165" i="1" s="1"/>
  <c r="O131" i="1"/>
  <c r="O165" i="1" s="1"/>
  <c r="M156" i="1"/>
  <c r="M166" i="1" s="1"/>
  <c r="L114" i="1"/>
  <c r="K34" i="5" l="1"/>
  <c r="E58" i="18" s="1"/>
  <c r="L9" i="5"/>
  <c r="G33" i="5"/>
  <c r="G32" i="5" s="1"/>
  <c r="N9" i="5"/>
  <c r="M30" i="5"/>
  <c r="G40" i="18" s="1"/>
  <c r="M9" i="5"/>
  <c r="N11" i="5"/>
  <c r="H17" i="18" s="1"/>
  <c r="I386" i="15"/>
  <c r="I833" i="15" s="1"/>
  <c r="H17" i="13" s="1"/>
  <c r="J7" i="9"/>
  <c r="D8" i="22" s="1"/>
  <c r="H841" i="15"/>
  <c r="H850" i="15" s="1"/>
  <c r="G12" i="13"/>
  <c r="G38" i="13" s="1"/>
  <c r="G40" i="13" s="1"/>
  <c r="N57" i="3"/>
  <c r="H103" i="16"/>
  <c r="K57" i="3"/>
  <c r="E103" i="16"/>
  <c r="F842" i="15"/>
  <c r="E13" i="13"/>
  <c r="L15" i="11"/>
  <c r="D303" i="2"/>
  <c r="L57" i="3"/>
  <c r="F103" i="16"/>
  <c r="J57" i="3"/>
  <c r="D103" i="16"/>
  <c r="I17" i="11"/>
  <c r="I13" i="11" s="1"/>
  <c r="I12" i="11" s="1"/>
  <c r="H17" i="11"/>
  <c r="H13" i="11" s="1"/>
  <c r="H12" i="11" s="1"/>
  <c r="H11" i="11" s="1"/>
  <c r="B21" i="24" s="1"/>
  <c r="F454" i="15"/>
  <c r="F453" i="15" s="1"/>
  <c r="J28" i="11"/>
  <c r="J26" i="11" s="1"/>
  <c r="J25" i="11" s="1"/>
  <c r="J24" i="11" s="1"/>
  <c r="D39" i="24" s="1"/>
  <c r="H840" i="15"/>
  <c r="H849" i="15" s="1"/>
  <c r="M57" i="3"/>
  <c r="G103" i="16"/>
  <c r="I398" i="15"/>
  <c r="I397" i="15" s="1"/>
  <c r="M15" i="11"/>
  <c r="G15" i="11" s="1"/>
  <c r="H41" i="3"/>
  <c r="B85" i="16" s="1"/>
  <c r="I834" i="15"/>
  <c r="F386" i="15"/>
  <c r="H834" i="15"/>
  <c r="J27" i="7"/>
  <c r="D40" i="20" s="1"/>
  <c r="I34" i="13"/>
  <c r="I840" i="15"/>
  <c r="H386" i="15"/>
  <c r="I34" i="5"/>
  <c r="C58" i="18" s="1"/>
  <c r="H34" i="5"/>
  <c r="B58" i="18" s="1"/>
  <c r="F107" i="15"/>
  <c r="J13" i="11"/>
  <c r="J12" i="11" s="1"/>
  <c r="E39" i="13"/>
  <c r="D39" i="13"/>
  <c r="E453" i="15"/>
  <c r="M26" i="11"/>
  <c r="M25" i="11" s="1"/>
  <c r="M24" i="11" s="1"/>
  <c r="G39" i="24" s="1"/>
  <c r="L26" i="11"/>
  <c r="L25" i="11" s="1"/>
  <c r="I454" i="15"/>
  <c r="I453" i="15" s="1"/>
  <c r="N26" i="11"/>
  <c r="N25" i="11" s="1"/>
  <c r="N14" i="3"/>
  <c r="N13" i="3" s="1"/>
  <c r="M14" i="3"/>
  <c r="M13" i="3" s="1"/>
  <c r="M12" i="3" s="1"/>
  <c r="H171" i="15"/>
  <c r="G2" i="10"/>
  <c r="G1" i="10" s="1"/>
  <c r="S301" i="2"/>
  <c r="H12" i="13" s="1"/>
  <c r="H38" i="13" s="1"/>
  <c r="H40" i="13" s="1"/>
  <c r="L11" i="7"/>
  <c r="F20" i="20" s="1"/>
  <c r="H303" i="2"/>
  <c r="L27" i="7"/>
  <c r="F40" i="20" s="1"/>
  <c r="I12" i="3"/>
  <c r="M27" i="7"/>
  <c r="G40" i="20" s="1"/>
  <c r="G42" i="3"/>
  <c r="H434" i="15"/>
  <c r="L17" i="11" s="1"/>
  <c r="F398" i="15"/>
  <c r="F397" i="15" s="1"/>
  <c r="R122" i="2"/>
  <c r="R299" i="2" s="1"/>
  <c r="G10" i="13" s="1"/>
  <c r="K27" i="7"/>
  <c r="E40" i="20" s="1"/>
  <c r="F35" i="13"/>
  <c r="H12" i="3"/>
  <c r="B28" i="16" s="1"/>
  <c r="R302" i="2"/>
  <c r="H842" i="15" s="1"/>
  <c r="H851" i="15" s="1"/>
  <c r="E842" i="15"/>
  <c r="D840" i="15"/>
  <c r="J122" i="2"/>
  <c r="J299" i="2" s="1"/>
  <c r="D842" i="15"/>
  <c r="M122" i="2"/>
  <c r="M299" i="2" s="1"/>
  <c r="C10" i="13" s="1"/>
  <c r="E38" i="13"/>
  <c r="D38" i="13"/>
  <c r="C38" i="13"/>
  <c r="C40" i="13" s="1"/>
  <c r="C34" i="13"/>
  <c r="F841" i="15"/>
  <c r="F840" i="15"/>
  <c r="E840" i="15"/>
  <c r="N2" i="10"/>
  <c r="L2" i="10"/>
  <c r="L9" i="7"/>
  <c r="I8" i="7"/>
  <c r="I7" i="7" s="1"/>
  <c r="C8" i="20" s="1"/>
  <c r="L11" i="6"/>
  <c r="F19" i="19" s="1"/>
  <c r="L8" i="6"/>
  <c r="N11" i="4"/>
  <c r="H18" i="17" s="1"/>
  <c r="S122" i="2"/>
  <c r="S299" i="2" s="1"/>
  <c r="M106" i="1"/>
  <c r="M164" i="1" s="1"/>
  <c r="D453" i="15"/>
  <c r="J41" i="3"/>
  <c r="D85" i="16" s="1"/>
  <c r="O106" i="1"/>
  <c r="O164" i="1" s="1"/>
  <c r="L122" i="2"/>
  <c r="L299" i="2" s="1"/>
  <c r="L303" i="2" s="1"/>
  <c r="D34" i="13"/>
  <c r="J106" i="1"/>
  <c r="J164" i="1" s="1"/>
  <c r="I41" i="3"/>
  <c r="C85" i="16" s="1"/>
  <c r="I23" i="12"/>
  <c r="I8" i="12" s="1"/>
  <c r="I7" i="12" s="1"/>
  <c r="C8" i="25" s="1"/>
  <c r="G23" i="12"/>
  <c r="G8" i="12" s="1"/>
  <c r="G2" i="12" s="1"/>
  <c r="H11" i="9"/>
  <c r="B20" i="22" s="1"/>
  <c r="K41" i="3"/>
  <c r="E85" i="16" s="1"/>
  <c r="K23" i="12"/>
  <c r="K8" i="12" s="1"/>
  <c r="K7" i="12" s="1"/>
  <c r="E8" i="25" s="1"/>
  <c r="M41" i="3"/>
  <c r="G85" i="16" s="1"/>
  <c r="J8" i="4"/>
  <c r="J7" i="4" s="1"/>
  <c r="D8" i="17" s="1"/>
  <c r="G11" i="12"/>
  <c r="G7" i="12" s="1"/>
  <c r="M36" i="5"/>
  <c r="M35" i="5" s="1"/>
  <c r="M34" i="5" s="1"/>
  <c r="G58" i="18" s="1"/>
  <c r="K11" i="3"/>
  <c r="E18" i="16" s="1"/>
  <c r="H11" i="7"/>
  <c r="B20" i="20" s="1"/>
  <c r="J11" i="8"/>
  <c r="D20" i="21" s="1"/>
  <c r="I25" i="11"/>
  <c r="I24" i="11" s="1"/>
  <c r="C39" i="24" s="1"/>
  <c r="K11" i="8"/>
  <c r="E20" i="21" s="1"/>
  <c r="M8" i="8"/>
  <c r="M2" i="8" s="1"/>
  <c r="I11" i="9"/>
  <c r="N8" i="8"/>
  <c r="N2" i="8" s="1"/>
  <c r="G8" i="3"/>
  <c r="G2" i="3" s="1"/>
  <c r="M8" i="6"/>
  <c r="M2" i="6" s="1"/>
  <c r="L41" i="3"/>
  <c r="F85" i="16" s="1"/>
  <c r="L8" i="7"/>
  <c r="O299" i="2"/>
  <c r="D10" i="13" s="1"/>
  <c r="D14" i="13" s="1"/>
  <c r="N122" i="2"/>
  <c r="N299" i="2" s="1"/>
  <c r="K9" i="7"/>
  <c r="D398" i="15"/>
  <c r="D397" i="15" s="1"/>
  <c r="K122" i="2"/>
  <c r="K299" i="2" s="1"/>
  <c r="I3" i="1"/>
  <c r="I163" i="1" s="1"/>
  <c r="P122" i="2"/>
  <c r="P299" i="2" s="1"/>
  <c r="E10" i="13" s="1"/>
  <c r="J3" i="1"/>
  <c r="J163" i="1" s="1"/>
  <c r="D841" i="15"/>
  <c r="F38" i="13"/>
  <c r="F40" i="13" s="1"/>
  <c r="N302" i="2"/>
  <c r="S302" i="2"/>
  <c r="I842" i="15" s="1"/>
  <c r="K106" i="1"/>
  <c r="K164" i="1" s="1"/>
  <c r="H8" i="7"/>
  <c r="H7" i="7" s="1"/>
  <c r="B8" i="20" s="1"/>
  <c r="L8" i="8"/>
  <c r="L7" i="8" s="1"/>
  <c r="F8" i="21" s="1"/>
  <c r="K8" i="3"/>
  <c r="K7" i="3" s="1"/>
  <c r="E8" i="16" s="1"/>
  <c r="N41" i="3"/>
  <c r="H85" i="16" s="1"/>
  <c r="J11" i="9"/>
  <c r="I8" i="5"/>
  <c r="I7" i="5" s="1"/>
  <c r="C7" i="18" s="1"/>
  <c r="N11" i="9"/>
  <c r="H20" i="22" s="1"/>
  <c r="H8" i="6"/>
  <c r="H7" i="6" s="1"/>
  <c r="B7" i="19" s="1"/>
  <c r="J8" i="12"/>
  <c r="J7" i="12" s="1"/>
  <c r="D8" i="25" s="1"/>
  <c r="K8" i="7"/>
  <c r="I8" i="4"/>
  <c r="I7" i="4" s="1"/>
  <c r="C8" i="17" s="1"/>
  <c r="H25" i="11"/>
  <c r="H24" i="11" s="1"/>
  <c r="B39" i="24" s="1"/>
  <c r="I8" i="6"/>
  <c r="I7" i="6" s="1"/>
  <c r="C7" i="19" s="1"/>
  <c r="L8" i="3"/>
  <c r="L7" i="3" s="1"/>
  <c r="F8" i="16" s="1"/>
  <c r="L8" i="5"/>
  <c r="L2" i="5" s="1"/>
  <c r="M8" i="7"/>
  <c r="M7" i="7" s="1"/>
  <c r="G8" i="20" s="1"/>
  <c r="L8" i="4"/>
  <c r="L2" i="4" s="1"/>
  <c r="I164" i="1"/>
  <c r="N106" i="1"/>
  <c r="N164" i="1" s="1"/>
  <c r="M3" i="1"/>
  <c r="M163" i="1" s="1"/>
  <c r="E34" i="13"/>
  <c r="K302" i="2"/>
  <c r="O3" i="1"/>
  <c r="O163" i="1" s="1"/>
  <c r="H8" i="8"/>
  <c r="H7" i="8" s="1"/>
  <c r="B8" i="21" s="1"/>
  <c r="J8" i="3"/>
  <c r="K8" i="6"/>
  <c r="K7" i="6" s="1"/>
  <c r="E7" i="19" s="1"/>
  <c r="I35" i="12"/>
  <c r="C97" i="25" s="1"/>
  <c r="J8" i="8"/>
  <c r="J7" i="8" s="1"/>
  <c r="D8" i="21" s="1"/>
  <c r="N8" i="7"/>
  <c r="L11" i="5"/>
  <c r="F17" i="18" s="1"/>
  <c r="K11" i="4"/>
  <c r="E18" i="17" s="1"/>
  <c r="G30" i="3"/>
  <c r="L11" i="8"/>
  <c r="F20" i="21" s="1"/>
  <c r="K8" i="5"/>
  <c r="K7" i="5" s="1"/>
  <c r="E7" i="18" s="1"/>
  <c r="J8" i="6"/>
  <c r="J7" i="6" s="1"/>
  <c r="D7" i="19" s="1"/>
  <c r="I8" i="3"/>
  <c r="I7" i="3" s="1"/>
  <c r="C8" i="16" s="1"/>
  <c r="H11" i="8"/>
  <c r="B20" i="21" s="1"/>
  <c r="H20" i="6"/>
  <c r="B35" i="19" s="1"/>
  <c r="N22" i="12"/>
  <c r="H61" i="25" s="1"/>
  <c r="N23" i="12"/>
  <c r="N8" i="12" s="1"/>
  <c r="N7" i="12" s="1"/>
  <c r="H8" i="25" s="1"/>
  <c r="L23" i="12"/>
  <c r="L8" i="12" s="1"/>
  <c r="L7" i="12" s="1"/>
  <c r="F8" i="25" s="1"/>
  <c r="L22" i="12"/>
  <c r="F61" i="25" s="1"/>
  <c r="M22" i="12"/>
  <c r="G61" i="25" s="1"/>
  <c r="M23" i="12"/>
  <c r="M8" i="12" s="1"/>
  <c r="M7" i="12" s="1"/>
  <c r="G8" i="25" s="1"/>
  <c r="H28" i="3"/>
  <c r="B55" i="16" s="1"/>
  <c r="H29" i="3"/>
  <c r="H8" i="3" s="1"/>
  <c r="H11" i="5"/>
  <c r="B17" i="18" s="1"/>
  <c r="H8" i="5"/>
  <c r="H7" i="5" s="1"/>
  <c r="B7" i="18" s="1"/>
  <c r="H11" i="4"/>
  <c r="B18" i="17" s="1"/>
  <c r="H8" i="4"/>
  <c r="H7" i="4" s="1"/>
  <c r="B8" i="17" s="1"/>
  <c r="M11" i="4"/>
  <c r="G18" i="17" s="1"/>
  <c r="M8" i="4"/>
  <c r="I8" i="8"/>
  <c r="H11" i="12"/>
  <c r="B21" i="25" s="1"/>
  <c r="H8" i="12"/>
  <c r="H7" i="12" s="1"/>
  <c r="B8" i="25" s="1"/>
  <c r="L11" i="3"/>
  <c r="F18" i="16" s="1"/>
  <c r="K3" i="1"/>
  <c r="K163" i="1" s="1"/>
  <c r="L106" i="1"/>
  <c r="L164" i="1" s="1"/>
  <c r="J34" i="5"/>
  <c r="D58" i="18" s="1"/>
  <c r="J8" i="5"/>
  <c r="J7" i="5" s="1"/>
  <c r="D7" i="18" s="1"/>
  <c r="N8" i="5"/>
  <c r="I9" i="8"/>
  <c r="I11" i="8"/>
  <c r="C20" i="21" s="1"/>
  <c r="G34" i="5"/>
  <c r="G35" i="5"/>
  <c r="N7" i="9"/>
  <c r="H8" i="22" s="1"/>
  <c r="N2" i="9"/>
  <c r="G58" i="3"/>
  <c r="G57" i="3"/>
  <c r="K23" i="8"/>
  <c r="E36" i="21" s="1"/>
  <c r="K8" i="8"/>
  <c r="K7" i="8" s="1"/>
  <c r="E8" i="21" s="1"/>
  <c r="M11" i="5"/>
  <c r="G17" i="18" s="1"/>
  <c r="L8" i="9"/>
  <c r="L11" i="9"/>
  <c r="F20" i="22" s="1"/>
  <c r="G11" i="5"/>
  <c r="G12" i="5"/>
  <c r="K11" i="9"/>
  <c r="E20" i="22" s="1"/>
  <c r="K8" i="9"/>
  <c r="K7" i="9" s="1"/>
  <c r="E8" i="22" s="1"/>
  <c r="N8" i="6"/>
  <c r="J8" i="7"/>
  <c r="J7" i="7" s="1"/>
  <c r="D8" i="20" s="1"/>
  <c r="N3" i="1"/>
  <c r="N163" i="1" s="1"/>
  <c r="N7" i="4"/>
  <c r="H8" i="17" s="1"/>
  <c r="N2" i="4"/>
  <c r="L13" i="11" l="1"/>
  <c r="L12" i="11" s="1"/>
  <c r="L8" i="11" s="1"/>
  <c r="I839" i="15"/>
  <c r="H10" i="13"/>
  <c r="I11" i="3"/>
  <c r="C18" i="16" s="1"/>
  <c r="C28" i="16"/>
  <c r="G18" i="13"/>
  <c r="G35" i="13" s="1"/>
  <c r="D20" i="22"/>
  <c r="C20" i="22"/>
  <c r="M11" i="3"/>
  <c r="G18" i="16" s="1"/>
  <c r="G28" i="16"/>
  <c r="I35" i="13"/>
  <c r="I36" i="13" s="1"/>
  <c r="H18" i="13"/>
  <c r="H35" i="13" s="1"/>
  <c r="H36" i="13" s="1"/>
  <c r="I38" i="13"/>
  <c r="I40" i="13" s="1"/>
  <c r="I841" i="15"/>
  <c r="I843" i="15" s="1"/>
  <c r="H453" i="15"/>
  <c r="H836" i="15"/>
  <c r="G20" i="13" s="1"/>
  <c r="I836" i="15"/>
  <c r="H20" i="13" s="1"/>
  <c r="H30" i="13"/>
  <c r="H839" i="15"/>
  <c r="M303" i="2"/>
  <c r="I601" i="15"/>
  <c r="I647" i="15" s="1"/>
  <c r="E40" i="13"/>
  <c r="H397" i="15"/>
  <c r="D40" i="13"/>
  <c r="N8" i="3"/>
  <c r="N2" i="3" s="1"/>
  <c r="N12" i="3"/>
  <c r="N7" i="8"/>
  <c r="L7" i="7"/>
  <c r="F8" i="20" s="1"/>
  <c r="N13" i="11"/>
  <c r="N12" i="11" s="1"/>
  <c r="N11" i="11" s="1"/>
  <c r="H21" i="24" s="1"/>
  <c r="O167" i="1"/>
  <c r="K26" i="11"/>
  <c r="K25" i="11" s="1"/>
  <c r="K24" i="11" s="1"/>
  <c r="E39" i="24" s="1"/>
  <c r="M7" i="8"/>
  <c r="H11" i="3"/>
  <c r="B18" i="16" s="1"/>
  <c r="M8" i="5"/>
  <c r="M7" i="5" s="1"/>
  <c r="G7" i="18" s="1"/>
  <c r="L2" i="8"/>
  <c r="L1" i="8" s="1"/>
  <c r="R303" i="2"/>
  <c r="H7" i="3"/>
  <c r="B8" i="16" s="1"/>
  <c r="F839" i="15"/>
  <c r="F843" i="15" s="1"/>
  <c r="N303" i="2"/>
  <c r="J303" i="2"/>
  <c r="E839" i="15"/>
  <c r="E843" i="15" s="1"/>
  <c r="E14" i="13"/>
  <c r="E30" i="13"/>
  <c r="D839" i="15"/>
  <c r="D843" i="15" s="1"/>
  <c r="C30" i="13"/>
  <c r="C14" i="13"/>
  <c r="C42" i="13" s="1"/>
  <c r="G34" i="13"/>
  <c r="F34" i="13"/>
  <c r="F36" i="13" s="1"/>
  <c r="L24" i="11"/>
  <c r="F39" i="24" s="1"/>
  <c r="H8" i="11"/>
  <c r="H7" i="11" s="1"/>
  <c r="B8" i="24" s="1"/>
  <c r="J11" i="11"/>
  <c r="D21" i="24" s="1"/>
  <c r="J8" i="11"/>
  <c r="J7" i="11" s="1"/>
  <c r="D8" i="24" s="1"/>
  <c r="I11" i="11"/>
  <c r="C21" i="24" s="1"/>
  <c r="I8" i="11"/>
  <c r="I7" i="11" s="1"/>
  <c r="C8" i="24" s="1"/>
  <c r="K7" i="7"/>
  <c r="E8" i="20" s="1"/>
  <c r="M167" i="1"/>
  <c r="L2" i="12"/>
  <c r="L1" i="12" s="1"/>
  <c r="G1" i="12"/>
  <c r="I167" i="1"/>
  <c r="K13" i="11"/>
  <c r="K12" i="11" s="1"/>
  <c r="M8" i="3"/>
  <c r="M7" i="3" s="1"/>
  <c r="G8" i="16" s="1"/>
  <c r="L2" i="7"/>
  <c r="M2" i="7"/>
  <c r="M1" i="7" s="1"/>
  <c r="K303" i="2"/>
  <c r="K167" i="1"/>
  <c r="J167" i="1"/>
  <c r="F601" i="15"/>
  <c r="G7" i="5"/>
  <c r="L7" i="4"/>
  <c r="M2" i="12"/>
  <c r="M1" i="12" s="1"/>
  <c r="M2" i="10"/>
  <c r="M1" i="10" s="1"/>
  <c r="P303" i="2"/>
  <c r="N24" i="11"/>
  <c r="H39" i="24" s="1"/>
  <c r="O303" i="2"/>
  <c r="M7" i="6"/>
  <c r="L7" i="5"/>
  <c r="L2" i="3"/>
  <c r="D836" i="15"/>
  <c r="C20" i="13" s="1"/>
  <c r="D601" i="15"/>
  <c r="D647" i="15" s="1"/>
  <c r="D833" i="15" s="1"/>
  <c r="C17" i="13" s="1"/>
  <c r="N167" i="1"/>
  <c r="E601" i="15"/>
  <c r="G8" i="5"/>
  <c r="G2" i="5" s="1"/>
  <c r="L2" i="6"/>
  <c r="L7" i="6"/>
  <c r="F7" i="19" s="1"/>
  <c r="F836" i="15"/>
  <c r="E20" i="13" s="1"/>
  <c r="S303" i="2"/>
  <c r="N2" i="12"/>
  <c r="N1" i="12" s="1"/>
  <c r="N2" i="7"/>
  <c r="N7" i="7"/>
  <c r="H8" i="20" s="1"/>
  <c r="I7" i="8"/>
  <c r="C8" i="21" s="1"/>
  <c r="G29" i="3"/>
  <c r="G28" i="3"/>
  <c r="M7" i="4"/>
  <c r="G8" i="17" s="1"/>
  <c r="M2" i="4"/>
  <c r="N1" i="9"/>
  <c r="N2" i="5"/>
  <c r="N7" i="5"/>
  <c r="H7" i="18" s="1"/>
  <c r="L7" i="9"/>
  <c r="F8" i="22" s="1"/>
  <c r="L2" i="9"/>
  <c r="N2" i="6"/>
  <c r="N7" i="6"/>
  <c r="H7" i="19" s="1"/>
  <c r="N1" i="4"/>
  <c r="H843" i="15" l="1"/>
  <c r="L11" i="11"/>
  <c r="F21" i="24" s="1"/>
  <c r="H601" i="15"/>
  <c r="G36" i="13"/>
  <c r="N1" i="8"/>
  <c r="H8" i="21"/>
  <c r="L1" i="4"/>
  <c r="F8" i="17"/>
  <c r="N11" i="3"/>
  <c r="H18" i="16" s="1"/>
  <c r="H28" i="16"/>
  <c r="M1" i="6"/>
  <c r="G7" i="19"/>
  <c r="M1" i="8"/>
  <c r="G8" i="21"/>
  <c r="L1" i="5"/>
  <c r="F7" i="18"/>
  <c r="N1" i="10"/>
  <c r="L1" i="10"/>
  <c r="H14" i="13"/>
  <c r="H42" i="13" s="1"/>
  <c r="I837" i="15"/>
  <c r="I845" i="15" s="1"/>
  <c r="N7" i="3"/>
  <c r="H8" i="16" s="1"/>
  <c r="M13" i="11"/>
  <c r="M12" i="11" s="1"/>
  <c r="G17" i="11"/>
  <c r="G13" i="11" s="1"/>
  <c r="L1" i="7"/>
  <c r="N8" i="11"/>
  <c r="N7" i="11" s="1"/>
  <c r="H8" i="24" s="1"/>
  <c r="M2" i="5"/>
  <c r="M1" i="5" s="1"/>
  <c r="M2" i="3"/>
  <c r="I31" i="13"/>
  <c r="I21" i="13"/>
  <c r="I43" i="13" s="1"/>
  <c r="D31" i="13"/>
  <c r="G14" i="13"/>
  <c r="G42" i="13" s="1"/>
  <c r="D30" i="13"/>
  <c r="D42" i="13"/>
  <c r="K11" i="11"/>
  <c r="E21" i="24" s="1"/>
  <c r="K8" i="11"/>
  <c r="K7" i="11" s="1"/>
  <c r="E8" i="24" s="1"/>
  <c r="L2" i="11"/>
  <c r="L7" i="11"/>
  <c r="F8" i="24" s="1"/>
  <c r="G1" i="5"/>
  <c r="G26" i="3"/>
  <c r="G25" i="3" s="1"/>
  <c r="G14" i="3" s="1"/>
  <c r="G13" i="3" s="1"/>
  <c r="N1" i="7"/>
  <c r="E837" i="15"/>
  <c r="E845" i="15" s="1"/>
  <c r="L1" i="6"/>
  <c r="E42" i="13"/>
  <c r="I30" i="13"/>
  <c r="I14" i="13"/>
  <c r="N1" i="5"/>
  <c r="M1" i="4"/>
  <c r="N1" i="6"/>
  <c r="L1" i="9"/>
  <c r="G11" i="11" l="1"/>
  <c r="G7" i="11" s="1"/>
  <c r="G12" i="11"/>
  <c r="G8" i="11" s="1"/>
  <c r="G2" i="11" s="1"/>
  <c r="M11" i="11"/>
  <c r="G21" i="24" s="1"/>
  <c r="M8" i="11"/>
  <c r="N2" i="11"/>
  <c r="N1" i="11" s="1"/>
  <c r="D32" i="13"/>
  <c r="L1" i="11"/>
  <c r="I32" i="13"/>
  <c r="I23" i="13"/>
  <c r="I42" i="13"/>
  <c r="I44" i="13" s="1"/>
  <c r="G1" i="11" l="1"/>
  <c r="M2" i="11"/>
  <c r="M7" i="11"/>
  <c r="G8" i="24" s="1"/>
  <c r="D791" i="15"/>
  <c r="D834" i="15" s="1"/>
  <c r="C18" i="13" s="1"/>
  <c r="C35" i="13" s="1"/>
  <c r="C36" i="13" s="1"/>
  <c r="J26" i="3"/>
  <c r="J25" i="3" s="1"/>
  <c r="M1" i="11" l="1"/>
  <c r="D35" i="13"/>
  <c r="D36" i="13" s="1"/>
  <c r="D21" i="13"/>
  <c r="J9" i="3"/>
  <c r="J12" i="3"/>
  <c r="E35" i="13"/>
  <c r="E36" i="13" s="1"/>
  <c r="D837" i="15"/>
  <c r="D845" i="15" s="1"/>
  <c r="J11" i="3" l="1"/>
  <c r="D28" i="16"/>
  <c r="D43" i="13"/>
  <c r="D44" i="13" s="1"/>
  <c r="D23" i="13"/>
  <c r="M13" i="9"/>
  <c r="M12" i="9" s="1"/>
  <c r="H305" i="15"/>
  <c r="H317" i="15" s="1"/>
  <c r="H848" i="15" s="1"/>
  <c r="H837" i="15" l="1"/>
  <c r="G17" i="13"/>
  <c r="J7" i="3"/>
  <c r="D8" i="16" s="1"/>
  <c r="D18" i="16"/>
  <c r="H647" i="15"/>
  <c r="M11" i="9"/>
  <c r="G20" i="22" s="1"/>
  <c r="M8" i="9"/>
  <c r="M7" i="9" l="1"/>
  <c r="G8" i="22" s="1"/>
  <c r="M2" i="9"/>
  <c r="H845" i="15"/>
  <c r="M1" i="9" l="1"/>
  <c r="H21" i="13"/>
  <c r="H31" i="13"/>
  <c r="H32" i="13" s="1"/>
  <c r="H23" i="13" l="1"/>
  <c r="H43" i="13"/>
  <c r="H44" i="13" s="1"/>
  <c r="E234" i="15" l="1"/>
  <c r="E647" i="15" s="1"/>
  <c r="F234" i="15"/>
  <c r="F647" i="15" s="1"/>
  <c r="F833" i="15" s="1"/>
  <c r="E17" i="13" s="1"/>
  <c r="F837" i="15" l="1"/>
  <c r="F845" i="15" s="1"/>
  <c r="G31" i="13" l="1"/>
  <c r="G32" i="13" s="1"/>
  <c r="G21" i="13"/>
  <c r="G43" i="13" l="1"/>
  <c r="G44" i="13" s="1"/>
  <c r="G23" i="13"/>
  <c r="C31" i="13"/>
  <c r="C32" i="13" s="1"/>
  <c r="C21" i="13"/>
  <c r="C23" i="13" s="1"/>
  <c r="C43" i="13" l="1"/>
  <c r="C44" i="13" s="1"/>
  <c r="E21" i="13"/>
  <c r="E23" i="13" s="1"/>
  <c r="E31" i="13"/>
  <c r="E32" i="13" s="1"/>
  <c r="E43" i="13" l="1"/>
  <c r="E44" i="13" s="1"/>
  <c r="Q32" i="2"/>
  <c r="Q122" i="2" s="1"/>
  <c r="Q299" i="2" s="1"/>
  <c r="L10" i="1"/>
  <c r="L5" i="1" s="1"/>
  <c r="L3" i="1" s="1"/>
  <c r="L163" i="1" s="1"/>
  <c r="L167" i="1" s="1"/>
  <c r="G839" i="15" l="1"/>
  <c r="F10" i="13"/>
  <c r="Q303" i="2"/>
  <c r="F14" i="13" l="1"/>
  <c r="F30" i="13"/>
  <c r="G843" i="15"/>
  <c r="F42" i="13" l="1"/>
  <c r="G234" i="15"/>
  <c r="G647" i="15" s="1"/>
  <c r="G833" i="15"/>
  <c r="G848" i="15" s="1"/>
  <c r="F17" i="13" l="1"/>
  <c r="G837" i="15"/>
  <c r="G845" i="15" s="1"/>
  <c r="F21" i="13" l="1"/>
  <c r="F31" i="13"/>
  <c r="F32" i="13" s="1"/>
  <c r="F23" i="13" l="1"/>
  <c r="F43" i="13"/>
  <c r="F44" i="13" s="1"/>
</calcChain>
</file>

<file path=xl/sharedStrings.xml><?xml version="1.0" encoding="utf-8"?>
<sst xmlns="http://schemas.openxmlformats.org/spreadsheetml/2006/main" count="3603" uniqueCount="1474">
  <si>
    <t>P  R  Í  J  M  O V  Á     Č  A S  Ť</t>
  </si>
  <si>
    <t>Bežné príjmy</t>
  </si>
  <si>
    <t>1. Daňové príjmy</t>
  </si>
  <si>
    <t>1.1</t>
  </si>
  <si>
    <t>Výnos dane z príjmov poukázaný územnej samospráve</t>
  </si>
  <si>
    <t>v zmysle zákona č. 564/2004 Z.z. o rozpočtovom určení výnosu dane z príjmov územnej samospráve a o zmene a doplnení niektorých zákonov v znení neskorších predpisov</t>
  </si>
  <si>
    <t>1.2</t>
  </si>
  <si>
    <t>Daň z nehnuteľností</t>
  </si>
  <si>
    <t>Daň z nehnuteľnosti upravuje zákon č.582/2004 o miestnych daniach a poplatku za komunálne odpady a drobné stavebné odpady v znení neskorších predpisov. Daň z nehnuteľností sa člení na daň z pozemkov, daň zo stavieb a daň z bytov a nebytových priestorov. Pre vyrubenie dane je rozhodujúci stav k 1.januáru zdaňovacieho obdobia. Na zmeny skutočností rozhodujúcich pre daňovú povinnosť, ktoré nastanú v priebehu zdaňovacieho obdobia sa neprihliada, ak zákon neustanovuje inak.</t>
  </si>
  <si>
    <t>1.3</t>
  </si>
  <si>
    <t>Daň za užívanie verejného priestranstva</t>
  </si>
  <si>
    <t>Predmetom dane za užívanie verejného priestranstva je v zmysle zákona č.582/2004 Z.z. o miestnych daniach a poplatku za komunálne odpady a drobné stavebné odpady v znení neskorších predpisov osobitné užívanie verejného priestranstva (umiestnenie zariadenia na poskytovanie služieb, stavebného zariadenia, predajného zariadenia,  skládky, trvalé parkovanie vozidla).</t>
  </si>
  <si>
    <t>1.4</t>
  </si>
  <si>
    <t>Daň za psa</t>
  </si>
  <si>
    <t>Predmetom dane za psa v súlade so zákonom č. 582/2004 Z.z. o miestnych daniach a poplatku za komunálne odpady a drobné stavebné odpady je pes starší ako 6 mesiacov chovaný fyzickou osobou alebo právnickou osobou.</t>
  </si>
  <si>
    <t>1.5</t>
  </si>
  <si>
    <t>Daň za predajné automaty</t>
  </si>
  <si>
    <t xml:space="preserve">Daň za predajné automaty upravuje zákon č. 582/2004 Z.z. o miestnych daniach a poplatku za komunálne odpady a drobné stavebné odpady. </t>
  </si>
  <si>
    <t>1.6</t>
  </si>
  <si>
    <t>Daň za umiestnenie jadrového zariadenia</t>
  </si>
  <si>
    <t>1.7</t>
  </si>
  <si>
    <t>Poplatok za komunálne odpady a drobné stavebné odpady</t>
  </si>
  <si>
    <t xml:space="preserve">Miestny poplatok za komunálne odpady a drobné stavebné odpady sa v zmysle zákona č.582/2004 Z.z. o miestnych daniach a poplatku za komunálne a drobné stavebné odpady v znení neskorších predpisov sa platí za komunálne odpady a drobné stavebné odpady, ktoré vznikajú na území obce. </t>
  </si>
  <si>
    <t>2. Nedaňové príjmy</t>
  </si>
  <si>
    <t>2.1</t>
  </si>
  <si>
    <t>Príjmy z prenajatých pozemkov</t>
  </si>
  <si>
    <t>príjem vyplýva z uzatvorených platných nájomných zmlúv.</t>
  </si>
  <si>
    <t>2.2</t>
  </si>
  <si>
    <t>Príjmy z prenajatých budov</t>
  </si>
  <si>
    <t xml:space="preserve">príjem z uzatvorených platných nájomných zmlúv na prenájom budov </t>
  </si>
  <si>
    <t>2.3</t>
  </si>
  <si>
    <t>Príjmy z prenajatých strojov a zariadení</t>
  </si>
  <si>
    <t>Príjem poplatku za čistenie odpadu na ČOV</t>
  </si>
  <si>
    <t>2.4</t>
  </si>
  <si>
    <t>Ostatné administratívne poplatky</t>
  </si>
  <si>
    <t>administratívne poplatky – správne poplatky vyberané podľa zákona č. 145/1995 Z.z. o správnych poplatkoch v znení neskorších predpisov – vyhotovenie a osvedčenie matričných dokladov, vyhotovenie odpisu, výpisu z úradných kníh, správny poplatok z reklamy, za vydanie rybárskych  lístkov, žiadosť o povolenie stavby a o dodatočné povolenie stavby a pod.</t>
  </si>
  <si>
    <t>2.5</t>
  </si>
  <si>
    <t>Pokuty a penále za porušenie predpisov</t>
  </si>
  <si>
    <t>pokuty za priestupky, zmluvné pokuty, za porušenie predpisov stavebného zákona, v oblasti odpadového hospodárstva, za porušenie cestného zákona a pod.</t>
  </si>
  <si>
    <t>2.6</t>
  </si>
  <si>
    <t>Príjmy za služby hospodárskej činnosti obce</t>
  </si>
  <si>
    <t>2.7</t>
  </si>
  <si>
    <t>Predaj výrobkov, tovarov a služieb</t>
  </si>
  <si>
    <t>Prenájom kultúrneho domu, multifunkčného ihriska</t>
  </si>
  <si>
    <t>2.8</t>
  </si>
  <si>
    <t>Úroky z vkladov</t>
  </si>
  <si>
    <t>2.9</t>
  </si>
  <si>
    <t>Školské zariadenia</t>
  </si>
  <si>
    <t>poplatky za materské školy, školské kluby detí, za stravné v zariadení školského stravovania</t>
  </si>
  <si>
    <t>2.10</t>
  </si>
  <si>
    <t>Stravné</t>
  </si>
  <si>
    <t>príspevky zamestnancov za stravovanie</t>
  </si>
  <si>
    <t>2.11</t>
  </si>
  <si>
    <t>Ostatné</t>
  </si>
  <si>
    <t>predmetné príjmy zahŕňajú predovšetkým príjmy z dobropisov, vratiek zo zúčtovania za predchádzajúci rok, dividendy, výťažky lotérií</t>
  </si>
  <si>
    <t>3. Granty a transfery</t>
  </si>
  <si>
    <t>3.1</t>
  </si>
  <si>
    <t>Dotácia na základné vzdelanie s bežnou starostlivosťou</t>
  </si>
  <si>
    <t>3.2</t>
  </si>
  <si>
    <t>Dotácia na predškolskú výchovu</t>
  </si>
  <si>
    <t>3.3</t>
  </si>
  <si>
    <t>Dotácia na matričnú činnosť</t>
  </si>
  <si>
    <t>3.4</t>
  </si>
  <si>
    <t>Dotácia na podporu zamestnanosti (aktivačná činnosť)</t>
  </si>
  <si>
    <t>3.5</t>
  </si>
  <si>
    <t>3.6</t>
  </si>
  <si>
    <t>Dotácia na dopravné</t>
  </si>
  <si>
    <t>3.7</t>
  </si>
  <si>
    <t>Dotácia na vzdelávacie poukazy</t>
  </si>
  <si>
    <t>3.8</t>
  </si>
  <si>
    <t>3.9</t>
  </si>
  <si>
    <t>3.10</t>
  </si>
  <si>
    <t>Transfer na deti v hmotnej núdzi (stravovanie)</t>
  </si>
  <si>
    <t>3.11</t>
  </si>
  <si>
    <t>Dotácia z NSK</t>
  </si>
  <si>
    <t>3.12</t>
  </si>
  <si>
    <t>3.13</t>
  </si>
  <si>
    <t>Kapitálové príjmy</t>
  </si>
  <si>
    <t>1. Nedaňové príjmy</t>
  </si>
  <si>
    <t>2. Granty a transfery</t>
  </si>
  <si>
    <t>Zateplenie MŠ</t>
  </si>
  <si>
    <t>Rekonštrukcia komunitného centra</t>
  </si>
  <si>
    <t>Príjmové finančné operácie</t>
  </si>
  <si>
    <t>Bankové úvery dlhodobé</t>
  </si>
  <si>
    <t>Rekapitulácia</t>
  </si>
  <si>
    <t>Celkové príjmy</t>
  </si>
  <si>
    <t>Príjmy rozpočtu obce Tekovské Lužany</t>
  </si>
  <si>
    <t>daňové príjmy</t>
  </si>
  <si>
    <t>Daňové príjmy - dane z príjmov, dane z majetku</t>
  </si>
  <si>
    <t>003.</t>
  </si>
  <si>
    <t>Výnos dane z príjmov poukázaný samospráve</t>
  </si>
  <si>
    <t>001.</t>
  </si>
  <si>
    <t>Daň z pozemkov</t>
  </si>
  <si>
    <t>v tom: Daň z pozemkov-minulé roky</t>
  </si>
  <si>
    <t>002.</t>
  </si>
  <si>
    <t>Daň zo stavieb</t>
  </si>
  <si>
    <t>v tom: Daň zo stavieb-minulé roky</t>
  </si>
  <si>
    <t>Daň z bytov</t>
  </si>
  <si>
    <t>Daňové príjmy - dane za špecifické služby</t>
  </si>
  <si>
    <t>012.</t>
  </si>
  <si>
    <t>013.</t>
  </si>
  <si>
    <t xml:space="preserve">Daň za komunálny odpad </t>
  </si>
  <si>
    <t>014.</t>
  </si>
  <si>
    <t>Daň za umiestnenie jadrového zar.</t>
  </si>
  <si>
    <t>Daňové príjmy celkom</t>
  </si>
  <si>
    <t>nedaňové príjmy</t>
  </si>
  <si>
    <t>Nedaňové príjmy - z podnikania a z vlastníctva majetku</t>
  </si>
  <si>
    <t>Dividendy</t>
  </si>
  <si>
    <t>004.</t>
  </si>
  <si>
    <t>Príjmy z pren. Strojov a zar. (ČOV)</t>
  </si>
  <si>
    <t>Nedaňové príjmy - administratívne poplatky a iné platby</t>
  </si>
  <si>
    <t>Správne poplatky</t>
  </si>
  <si>
    <t>Za porušenie predpisov</t>
  </si>
  <si>
    <t>Predaj výrobkov, tovarov a služieb-multif.ihr.</t>
  </si>
  <si>
    <t>Za MŠ, školský klub detí</t>
  </si>
  <si>
    <t>Za stravné /MŠ/</t>
  </si>
  <si>
    <t>Za stravné /ZŠ/</t>
  </si>
  <si>
    <t>005.</t>
  </si>
  <si>
    <t>za znečisťovanie ovzdušia</t>
  </si>
  <si>
    <t>Iné nedaňové príjmy</t>
  </si>
  <si>
    <t>Úroky z úverov a vkladov</t>
  </si>
  <si>
    <t>Úroky z vkladov ZŠ, MŠ</t>
  </si>
  <si>
    <t>006.</t>
  </si>
  <si>
    <t>Z náhrad z poistného plnenie</t>
  </si>
  <si>
    <t>008.</t>
  </si>
  <si>
    <t>Z výťažkov z lotérií</t>
  </si>
  <si>
    <t>019.</t>
  </si>
  <si>
    <t>z refundácie</t>
  </si>
  <si>
    <t>017.</t>
  </si>
  <si>
    <t>Z vratiek</t>
  </si>
  <si>
    <t>Nedaňové príjmy spolu</t>
  </si>
  <si>
    <t>granty a transfery</t>
  </si>
  <si>
    <t>Tuzemské bežné granty a transfery</t>
  </si>
  <si>
    <t>Dotácia na školstvo</t>
  </si>
  <si>
    <t>Dotácia na školstvo - kredit.prípl.</t>
  </si>
  <si>
    <t>Dotácia na školstvo-MŠ</t>
  </si>
  <si>
    <t>Dotácia na matričnú činnosť,evid.obyv.</t>
  </si>
  <si>
    <t>Dotácia na podporu zamestnanosti</t>
  </si>
  <si>
    <t xml:space="preserve">001. </t>
  </si>
  <si>
    <t>Transfer na osobitného príjemcu-RP</t>
  </si>
  <si>
    <t>Tuzemské granty a transfery</t>
  </si>
  <si>
    <t>Granty a transfery spolu</t>
  </si>
  <si>
    <t>Bežné príjmy spolu</t>
  </si>
  <si>
    <t>2. úprava rozpočtu</t>
  </si>
  <si>
    <t>plnenie III. Q</t>
  </si>
  <si>
    <t>Príjem z predaja kapitálových aktív</t>
  </si>
  <si>
    <t>Príjem z predaja pozemkov a nehm.aktív</t>
  </si>
  <si>
    <t>z vratiek</t>
  </si>
  <si>
    <t>Kapitálové príjmy spolu</t>
  </si>
  <si>
    <t>príjmy z ostatných finančných operácií</t>
  </si>
  <si>
    <t>Prevod z rezervného fondu obce</t>
  </si>
  <si>
    <t>Prevod z ostatných fondov obce</t>
  </si>
  <si>
    <t>Príjmy z ostatných finančných operácií</t>
  </si>
  <si>
    <t>úvery, pôžičky a návratné finančné výpomoci</t>
  </si>
  <si>
    <t>Tuzemské úvery, pôžičky a návratné finančné výpomoci</t>
  </si>
  <si>
    <t>Vlastné príjmy RO s právnou subjektivitou</t>
  </si>
  <si>
    <t>Základná škola</t>
  </si>
  <si>
    <t>Základná škola s VJM</t>
  </si>
  <si>
    <t>Materská škola</t>
  </si>
  <si>
    <t>SUMARIZÁCIA</t>
  </si>
  <si>
    <t>Rozpočtové príjmy spolu</t>
  </si>
  <si>
    <t>PROGRAM 1</t>
  </si>
  <si>
    <t>PLÁNOVANIE, MANAŽMENT A KONTROLA</t>
  </si>
  <si>
    <t>Rok</t>
  </si>
  <si>
    <t>Pod-</t>
  </si>
  <si>
    <t>Funkčná,</t>
  </si>
  <si>
    <t>Názov</t>
  </si>
  <si>
    <t>prog-</t>
  </si>
  <si>
    <t>ekonomic.</t>
  </si>
  <si>
    <t xml:space="preserve"> rozpočet</t>
  </si>
  <si>
    <t>v €</t>
  </si>
  <si>
    <t>v  €</t>
  </si>
  <si>
    <t>ram</t>
  </si>
  <si>
    <t>klasifik.</t>
  </si>
  <si>
    <t xml:space="preserve">PROGRAM 1:     Manažment, služby občanom </t>
  </si>
  <si>
    <t>v</t>
  </si>
  <si>
    <t>BEŽNÉ VÝDAVKY SPOLU:</t>
  </si>
  <si>
    <t>tom:</t>
  </si>
  <si>
    <t>KAPITÁLOVÉ VÝDAVKY SPOLU:</t>
  </si>
  <si>
    <t>FINANČNÉ OPERÁCIE SPOLU:</t>
  </si>
  <si>
    <t>Verejná správa</t>
  </si>
  <si>
    <t>Aktivita č.1</t>
  </si>
  <si>
    <t>Činnosť obecného úradu</t>
  </si>
  <si>
    <t>01.1.1.6.</t>
  </si>
  <si>
    <t>Obce</t>
  </si>
  <si>
    <t>610</t>
  </si>
  <si>
    <t>Mzdy, platy a ostatné osobné vyrovnania</t>
  </si>
  <si>
    <t>620</t>
  </si>
  <si>
    <t>Poistné a príspevky do poisťovní</t>
  </si>
  <si>
    <t>631</t>
  </si>
  <si>
    <t>Cestovné náhrady</t>
  </si>
  <si>
    <t>632</t>
  </si>
  <si>
    <t>Energie a telekomunikácie</t>
  </si>
  <si>
    <t>633</t>
  </si>
  <si>
    <t>Materiál</t>
  </si>
  <si>
    <t>634</t>
  </si>
  <si>
    <t>Dopravné</t>
  </si>
  <si>
    <t>635</t>
  </si>
  <si>
    <t xml:space="preserve">Rutinná a štandardná údržba </t>
  </si>
  <si>
    <t>636</t>
  </si>
  <si>
    <t>Nájomné za prenájom</t>
  </si>
  <si>
    <t>637</t>
  </si>
  <si>
    <t>Služby</t>
  </si>
  <si>
    <t>711</t>
  </si>
  <si>
    <t>Aktivita č.2</t>
  </si>
  <si>
    <t>Činnosť samosprávnych orgánov obce</t>
  </si>
  <si>
    <t>HK</t>
  </si>
  <si>
    <t>Odmeny poslancom a členom komisií OcZ</t>
  </si>
  <si>
    <t>Členstvo v samosprávnych organizáciách a združeniach</t>
  </si>
  <si>
    <t>642</t>
  </si>
  <si>
    <t>1</t>
  </si>
  <si>
    <t>Členské príspevky do združení</t>
  </si>
  <si>
    <t>2</t>
  </si>
  <si>
    <t>neziskovým organizáciám</t>
  </si>
  <si>
    <t>Manažment investícií</t>
  </si>
  <si>
    <t>01.1.1.6</t>
  </si>
  <si>
    <t>Transakcie verejného dlhu</t>
  </si>
  <si>
    <t>651</t>
  </si>
  <si>
    <t xml:space="preserve">Splácanie úrokov z úverov </t>
  </si>
  <si>
    <t>01.1.2</t>
  </si>
  <si>
    <t>Finančná a rozpočtová oblasť</t>
  </si>
  <si>
    <t>630</t>
  </si>
  <si>
    <t>Poplatky banke</t>
  </si>
  <si>
    <t>3</t>
  </si>
  <si>
    <t>Špeciálne služby / audit/</t>
  </si>
  <si>
    <t>4</t>
  </si>
  <si>
    <t>Za služby poskytnuté v rámci ROP - regen.sídel</t>
  </si>
  <si>
    <t>5</t>
  </si>
  <si>
    <t>Provízie za poskytnutie úveru</t>
  </si>
  <si>
    <t>FINANČNÉ OPERÁCIE VÝDAVKOVÉ SPOLU:</t>
  </si>
  <si>
    <t>824</t>
  </si>
  <si>
    <t>6</t>
  </si>
  <si>
    <t>821</t>
  </si>
  <si>
    <t>7</t>
  </si>
  <si>
    <t>Splatenie istiny úveru</t>
  </si>
  <si>
    <t>Služby občanom</t>
  </si>
  <si>
    <t>01.3.3.</t>
  </si>
  <si>
    <t>Iné všeobecné služby</t>
  </si>
  <si>
    <t>Mzdy</t>
  </si>
  <si>
    <t>Poistné</t>
  </si>
  <si>
    <t>Energie, voda, komunikácie</t>
  </si>
  <si>
    <t xml:space="preserve">Materiál </t>
  </si>
  <si>
    <t>Voľby a referendá</t>
  </si>
  <si>
    <t>01.8.0</t>
  </si>
  <si>
    <t xml:space="preserve">Všeobecné verejné služby inde neklasifikované    </t>
  </si>
  <si>
    <t xml:space="preserve">voľby  </t>
  </si>
  <si>
    <t>PROGRAM 2:</t>
  </si>
  <si>
    <t>OCHRANA OBYVATEĽSTVA</t>
  </si>
  <si>
    <t>Civilná ochrana</t>
  </si>
  <si>
    <t>02.2.0</t>
  </si>
  <si>
    <t>Poštovné a telekomunikačné služby</t>
  </si>
  <si>
    <t>Odmeny a príspevky</t>
  </si>
  <si>
    <t>PROGRAM 3:</t>
  </si>
  <si>
    <t>BEZPEČNOSŤ, PRÁVO A PORIADOK</t>
  </si>
  <si>
    <t>Verejný poriadok a bezpečnosť</t>
  </si>
  <si>
    <t>03.1.0.</t>
  </si>
  <si>
    <t>Policajné služby</t>
  </si>
  <si>
    <t xml:space="preserve">Cestovné náhrady </t>
  </si>
  <si>
    <t>Materiálne zabezpečenie</t>
  </si>
  <si>
    <t xml:space="preserve">Dopravné </t>
  </si>
  <si>
    <t>Údržba výpočtovej techniky</t>
  </si>
  <si>
    <t>8</t>
  </si>
  <si>
    <t>Služby, školenia</t>
  </si>
  <si>
    <t>9</t>
  </si>
  <si>
    <t>Transfery (členské)</t>
  </si>
  <si>
    <t>10</t>
  </si>
  <si>
    <t>Odmeny na základe dohôd</t>
  </si>
  <si>
    <t>Monitorovací kamerový systém</t>
  </si>
  <si>
    <t>713</t>
  </si>
  <si>
    <t>Ochrana pred požiarmi</t>
  </si>
  <si>
    <t>03.2.0.</t>
  </si>
  <si>
    <t>Požiarna ochrana</t>
  </si>
  <si>
    <t xml:space="preserve">Energie </t>
  </si>
  <si>
    <t>Rutinná a štandardná údržba</t>
  </si>
  <si>
    <t>Služby v súvislosti s požiarnou ochranou</t>
  </si>
  <si>
    <t>PROGRAM 4: KOMUNIKÁCIE, VÝSTAVBA A ROZVOJ OBCE</t>
  </si>
  <si>
    <t>PROSTREDIE PRE ŽIVOT</t>
  </si>
  <si>
    <t>PROGRAM 4:    Komunikácie, výstavba a rozvoj obce</t>
  </si>
  <si>
    <t>Menšie obecné služby</t>
  </si>
  <si>
    <t>04.1.2.0</t>
  </si>
  <si>
    <t>Všeobecno - pracovná oblasť</t>
  </si>
  <si>
    <t>Mzdy, platy, ostatné osobné vyrovnania</t>
  </si>
  <si>
    <t>Palivo, mazivo</t>
  </si>
  <si>
    <t>Správa a údržba miestnych komunikácií</t>
  </si>
  <si>
    <t>04.5.1.0</t>
  </si>
  <si>
    <t xml:space="preserve">Cestná doprava </t>
  </si>
  <si>
    <t>700</t>
  </si>
  <si>
    <t xml:space="preserve">Asfaltovanie komunikácií  </t>
  </si>
  <si>
    <t>Rutinná a štandartná údržba</t>
  </si>
  <si>
    <t>Výstavba obce</t>
  </si>
  <si>
    <t>04.4.3.0</t>
  </si>
  <si>
    <t>Geometrické plány, štúdie a usporiadanie majetku</t>
  </si>
  <si>
    <t>Správa a údržba majetku</t>
  </si>
  <si>
    <t>04.1.1.0</t>
  </si>
  <si>
    <t>Všeobecná ekonomická a obchodná činnosť</t>
  </si>
  <si>
    <t>Štandardná úrdržba</t>
  </si>
  <si>
    <t>Odstupné</t>
  </si>
  <si>
    <t>na nemocenské dávky</t>
  </si>
  <si>
    <t>04.1.1-0</t>
  </si>
  <si>
    <t>PROGRAM 5</t>
  </si>
  <si>
    <t>ODPADOVÉ HOSPODÁRSTVO</t>
  </si>
  <si>
    <t>Odvoz a zneškodňovanie odpadu</t>
  </si>
  <si>
    <t>05.1.0.</t>
  </si>
  <si>
    <t>Nakladanie s odpadmi</t>
  </si>
  <si>
    <t>Služby - odvoz a likvidácia odpadu</t>
  </si>
  <si>
    <t>externý manažment</t>
  </si>
  <si>
    <t>05.1.0</t>
  </si>
  <si>
    <t>Nakladanie s odpadovými vodami</t>
  </si>
  <si>
    <t>05.2.0.</t>
  </si>
  <si>
    <t>Služby - servis</t>
  </si>
  <si>
    <t xml:space="preserve">poistné  </t>
  </si>
  <si>
    <t>Výstavba kanalizácie</t>
  </si>
  <si>
    <t>Ochrana životného prostredia</t>
  </si>
  <si>
    <t>05.6.0</t>
  </si>
  <si>
    <t>Materiál – povodeň</t>
  </si>
  <si>
    <t>Špeciálne služby</t>
  </si>
  <si>
    <t>PROGRAM 6</t>
  </si>
  <si>
    <t>OBČIANSKA VYBAVENOSŤ</t>
  </si>
  <si>
    <t>Rozvoj obce</t>
  </si>
  <si>
    <t>06.2.0.</t>
  </si>
  <si>
    <t>poistenie - centrum obce</t>
  </si>
  <si>
    <t>špeciálne služby</t>
  </si>
  <si>
    <t>716</t>
  </si>
  <si>
    <t>Projektová dokumentácia</t>
  </si>
  <si>
    <t>717</t>
  </si>
  <si>
    <t>Verejné osvetlenie</t>
  </si>
  <si>
    <t>06.4.0.</t>
  </si>
  <si>
    <t>Rekonštrukcia verejného osvetlenia</t>
  </si>
  <si>
    <t>PROGRAM 7</t>
  </si>
  <si>
    <t>ZDRAVOTNÁ STAROSTLIVOSŤ</t>
  </si>
  <si>
    <t>Zdravotné stredisko</t>
  </si>
  <si>
    <t>07.6.0</t>
  </si>
  <si>
    <t>Zdravotníctvo inde neklasifikované</t>
  </si>
  <si>
    <t>07.6.0.</t>
  </si>
  <si>
    <t>PROGRAM 8</t>
  </si>
  <si>
    <t>ŠPORT A KULTÚRA</t>
  </si>
  <si>
    <t>Športový areál</t>
  </si>
  <si>
    <t>08.1.0.0.</t>
  </si>
  <si>
    <t>Rekreačné a športové služby</t>
  </si>
  <si>
    <t>Energie</t>
  </si>
  <si>
    <t xml:space="preserve">Materiál  </t>
  </si>
  <si>
    <t>Prepravné</t>
  </si>
  <si>
    <t>Transfery športovým klubom</t>
  </si>
  <si>
    <t>TJ Družstevník Tekovské Lužany</t>
  </si>
  <si>
    <t>STK Tekovské Lužany</t>
  </si>
  <si>
    <t>Jednotlivci a ostatné športové aktivity</t>
  </si>
  <si>
    <t xml:space="preserve">Podpora kultúrnych a iných spoločenských aktivít </t>
  </si>
  <si>
    <t>Kultúrne služby</t>
  </si>
  <si>
    <t>08.2.0.1</t>
  </si>
  <si>
    <t>Mzdy, platy a ostatné služobné vyrovnania</t>
  </si>
  <si>
    <t>Všeobecný materiál</t>
  </si>
  <si>
    <t>Reprezentačné</t>
  </si>
  <si>
    <t>Knižničné služby</t>
  </si>
  <si>
    <t>08.2.0.5</t>
  </si>
  <si>
    <t>Knižnica</t>
  </si>
  <si>
    <t>11</t>
  </si>
  <si>
    <t>Tovary a služby</t>
  </si>
  <si>
    <t>Aktivita č.3</t>
  </si>
  <si>
    <t>Organizácia občianskych obradov</t>
  </si>
  <si>
    <t>08.2.0.9</t>
  </si>
  <si>
    <t>Ostatné kultúrne služby</t>
  </si>
  <si>
    <t>12</t>
  </si>
  <si>
    <t>Špeciálne služby (ZPOZ)</t>
  </si>
  <si>
    <t>Transfery kultúre</t>
  </si>
  <si>
    <t>640</t>
  </si>
  <si>
    <t>Mažoretky</t>
  </si>
  <si>
    <t>Obecné slávnosti</t>
  </si>
  <si>
    <t>Transfery občianskym združeniam</t>
  </si>
  <si>
    <t>08.4.0.</t>
  </si>
  <si>
    <t>Náboženské a iné spoločenské služby</t>
  </si>
  <si>
    <t>Transfer cirkvi, nábož.spoločnosti, cirkevnej charite</t>
  </si>
  <si>
    <t>Transfer ostaným občianskym združeniam</t>
  </si>
  <si>
    <t>Správa cintorínov</t>
  </si>
  <si>
    <t>PROGRAM 9</t>
  </si>
  <si>
    <t>VZDELÁVANIE</t>
  </si>
  <si>
    <t>09.1.1.1.</t>
  </si>
  <si>
    <t>Predškolská výchova s bežnou starostlivosťou</t>
  </si>
  <si>
    <t>610,620</t>
  </si>
  <si>
    <t>Mzdy a odvody</t>
  </si>
  <si>
    <t>630,640</t>
  </si>
  <si>
    <t>Potraviny</t>
  </si>
  <si>
    <t>školské potreby</t>
  </si>
  <si>
    <t>dotácia na deti v predškolskom veku</t>
  </si>
  <si>
    <t>Rekonštrukcia materskej školy</t>
  </si>
  <si>
    <t>09.1.2.1.</t>
  </si>
  <si>
    <t>Základné vzdelanie s bežnou starostlivosťou</t>
  </si>
  <si>
    <t>Tovary a služby - z účtu obce</t>
  </si>
  <si>
    <t>ŠKD</t>
  </si>
  <si>
    <t>dotácia na dopravné</t>
  </si>
  <si>
    <t>dotácie pre deti zo sociálne znevýhodneného prostredia</t>
  </si>
  <si>
    <t>dotácia na školské potreby</t>
  </si>
  <si>
    <t>dotácia na vzdelávacie poukazy</t>
  </si>
  <si>
    <t>Zariadenie školského stravovania</t>
  </si>
  <si>
    <t>09.6.0.1.</t>
  </si>
  <si>
    <t>Školské stravovacie zariadenia</t>
  </si>
  <si>
    <t>Odvody</t>
  </si>
  <si>
    <t xml:space="preserve">Všeobecný materiál </t>
  </si>
  <si>
    <t>Prevádzkové stroje a prístroje</t>
  </si>
  <si>
    <t>PROGRAM 10</t>
  </si>
  <si>
    <t xml:space="preserve"> SOCIÁLNE SLUŽBY</t>
  </si>
  <si>
    <t>SOCIÁLNE SLUŽBY</t>
  </si>
  <si>
    <t>Seniori</t>
  </si>
  <si>
    <t>10.2.0.1</t>
  </si>
  <si>
    <t>Staroba</t>
  </si>
  <si>
    <t>Stravovanie dôchodcov</t>
  </si>
  <si>
    <t>Vianočné poukážky</t>
  </si>
  <si>
    <t>Opatrovateľská služba</t>
  </si>
  <si>
    <t>Sociálna pomoc občanom</t>
  </si>
  <si>
    <t>10.7.0.2</t>
  </si>
  <si>
    <t>Pomoc v hmotnej a sociálnej núdzi</t>
  </si>
  <si>
    <t>Jednorázová dávka v hmotnej núdzi</t>
  </si>
  <si>
    <t>Príspevok na pohreb</t>
  </si>
  <si>
    <t>Komunitné centrum</t>
  </si>
  <si>
    <t>10.4.0.2.</t>
  </si>
  <si>
    <t>Sociálne príspevky pre deti</t>
  </si>
  <si>
    <t>10.4.0.</t>
  </si>
  <si>
    <t>Rodina a deti</t>
  </si>
  <si>
    <t>Príspevok na stravovanie detí v hmotnej núdzi</t>
  </si>
  <si>
    <t>Príspevok na osobitného príjemcu</t>
  </si>
  <si>
    <t>BILANCIA PROGRAMOVÉHO ROZPOČTU OBCE TEKOVSKÉ LUŽANY</t>
  </si>
  <si>
    <t>CELKOVÁ BILANCIA ROZPOČTU</t>
  </si>
  <si>
    <t xml:space="preserve">Rok </t>
  </si>
  <si>
    <t>Rozpočtové zdroje:</t>
  </si>
  <si>
    <t>Finančné operácie príjmové</t>
  </si>
  <si>
    <t>ROZPOČTOVÉ ZDROJE SPOLU</t>
  </si>
  <si>
    <t>Rozpočtové výdavky:</t>
  </si>
  <si>
    <t>Bežné výdavky</t>
  </si>
  <si>
    <t>Kapitálové výdavky</t>
  </si>
  <si>
    <t>Finančné operácie výdavkové</t>
  </si>
  <si>
    <t>ROZPOČTOVÉ VÝDAVKY SPOLU</t>
  </si>
  <si>
    <t>ROZDIEL</t>
  </si>
  <si>
    <t>DRUHOVÁ BILANCIA ROZPOČTU</t>
  </si>
  <si>
    <t>rozdiel</t>
  </si>
  <si>
    <t>Výdavkové finančné operácie</t>
  </si>
  <si>
    <t>Rozpočtové zdroje</t>
  </si>
  <si>
    <t>Rozpočtové výdavky</t>
  </si>
  <si>
    <t>€</t>
  </si>
  <si>
    <t>Občianska vybavenosť</t>
  </si>
  <si>
    <t>Vzdelávanie</t>
  </si>
  <si>
    <t>Sumarizácia</t>
  </si>
  <si>
    <t>01.1.1 Výdavky verejnej správy</t>
  </si>
  <si>
    <t>Mzdy, platy, sl.príjmy a ost.os.vyrovnania</t>
  </si>
  <si>
    <t>voľby</t>
  </si>
  <si>
    <t>Na úrazové poistenie</t>
  </si>
  <si>
    <t>z toho  631</t>
  </si>
  <si>
    <t>Energia, voda, telekomunikácie</t>
  </si>
  <si>
    <t>v tom:energia, telekomunikácie-voľby</t>
  </si>
  <si>
    <t>Materiál:</t>
  </si>
  <si>
    <t>interiérové vybavenie</t>
  </si>
  <si>
    <t>výpočtová technika</t>
  </si>
  <si>
    <t>prevádzkové stroje a zariadenia</t>
  </si>
  <si>
    <t>všeobecný materiál - životné prostredie</t>
  </si>
  <si>
    <t>všeobecný materiál</t>
  </si>
  <si>
    <t>009.</t>
  </si>
  <si>
    <t>knihy, časopisy</t>
  </si>
  <si>
    <t>010.</t>
  </si>
  <si>
    <t>pracovné odevy pomôcky</t>
  </si>
  <si>
    <t>011.</t>
  </si>
  <si>
    <t>potraviny</t>
  </si>
  <si>
    <t>softvér a licencie</t>
  </si>
  <si>
    <t>016.</t>
  </si>
  <si>
    <t>reprezentačné</t>
  </si>
  <si>
    <t>Doprava:</t>
  </si>
  <si>
    <t>palivo, mazivá, oleje</t>
  </si>
  <si>
    <t>v tom:palivá,mazivá, oleje - voľby</t>
  </si>
  <si>
    <t>údržba, opravy</t>
  </si>
  <si>
    <t>poistenie</t>
  </si>
  <si>
    <t>prepravné</t>
  </si>
  <si>
    <t>karty, známky, poplatky</t>
  </si>
  <si>
    <t>Rutinná a štandartná údržba:</t>
  </si>
  <si>
    <t>výpočtovej techniky</t>
  </si>
  <si>
    <t>prevádzkových strojov a zariadení</t>
  </si>
  <si>
    <t>budov, priestorov a objektov</t>
  </si>
  <si>
    <t>Nájomné za prenájom:</t>
  </si>
  <si>
    <t>dopravných prostriedkov</t>
  </si>
  <si>
    <t>Služby:</t>
  </si>
  <si>
    <t>školenia, kurzy, semináre</t>
  </si>
  <si>
    <t>031.</t>
  </si>
  <si>
    <t>pokuty a penále</t>
  </si>
  <si>
    <t>všeobecné služby</t>
  </si>
  <si>
    <t>poplatky, odvody a dane</t>
  </si>
  <si>
    <t>stravovanie</t>
  </si>
  <si>
    <t>stravovanie - voľby</t>
  </si>
  <si>
    <t>015.</t>
  </si>
  <si>
    <t>poistné</t>
  </si>
  <si>
    <t>prídel do sociálneho fondu</t>
  </si>
  <si>
    <t>018.</t>
  </si>
  <si>
    <t>kolkové známky</t>
  </si>
  <si>
    <t>027.</t>
  </si>
  <si>
    <t>Bežné transfery</t>
  </si>
  <si>
    <t>občianskym združeniam</t>
  </si>
  <si>
    <t>01.1.2 Finančná a rozpočtová oblasť</t>
  </si>
  <si>
    <t>026.</t>
  </si>
  <si>
    <t>odmeny na základe dohôd-pre čl.zast.</t>
  </si>
  <si>
    <t>Služby - audit</t>
  </si>
  <si>
    <t xml:space="preserve"> Poistné a prísp. do poisťovní-zdroj ŠR</t>
  </si>
  <si>
    <t>v tom: Pracovné odevy+materiál</t>
  </si>
  <si>
    <t>Školenia, kurzy, semináre</t>
  </si>
  <si>
    <t>01</t>
  </si>
  <si>
    <t>Všeobecné verejné služby</t>
  </si>
  <si>
    <t>02 civilná ochrana</t>
  </si>
  <si>
    <t>02.2.0 Civilná obrana</t>
  </si>
  <si>
    <t>Poštové a telekomunikačné služby</t>
  </si>
  <si>
    <t>02</t>
  </si>
  <si>
    <t>03 policajné služby</t>
  </si>
  <si>
    <t>03.1.0 Policajné služby</t>
  </si>
  <si>
    <t>cestovné náhrady</t>
  </si>
  <si>
    <t>Knihy, časopisy, odborná literatúra</t>
  </si>
  <si>
    <t>Pracovné odevy, obuv, prac. Pomôcky</t>
  </si>
  <si>
    <t>Palivá, mazivá, oleje</t>
  </si>
  <si>
    <t>Údržba, opravy</t>
  </si>
  <si>
    <t>Poistenie</t>
  </si>
  <si>
    <t>Rutinná a štandartná údržba-výp.techn.</t>
  </si>
  <si>
    <t>Služby,školenia</t>
  </si>
  <si>
    <t>Transfery (členské, odchodné)</t>
  </si>
  <si>
    <t>03.2.0 Požiarna ochrana</t>
  </si>
  <si>
    <t>Interiérové vybavenie</t>
  </si>
  <si>
    <t>Prevádzkové stroje,prístroje, zariad.</t>
  </si>
  <si>
    <t>Príspevok DHZ</t>
  </si>
  <si>
    <t>03</t>
  </si>
  <si>
    <t>Policajné služby, PO</t>
  </si>
  <si>
    <t>04 všeobecná ekonomická a obchodná oblasť</t>
  </si>
  <si>
    <t>04.1.1 Všeobecná ekonomická a obchodná oblasť</t>
  </si>
  <si>
    <t>Prevádzkové stroje, prístr.,zar.</t>
  </si>
  <si>
    <t>Pracovné odevy, obuv a prac. Pomôcky</t>
  </si>
  <si>
    <t>palivá - kosačky</t>
  </si>
  <si>
    <t>Služby,školenia,poistenie</t>
  </si>
  <si>
    <t>04.1.2 Všeobecno - pracovná oblasť /aktivačná činnosť/</t>
  </si>
  <si>
    <t>Poistné a prísp. do poisťovní - zdroj ŠR</t>
  </si>
  <si>
    <t>Materiál - zdroj ŠR</t>
  </si>
  <si>
    <t>04.4.3 Výstavba</t>
  </si>
  <si>
    <t>04.5.1 Cestná doprava</t>
  </si>
  <si>
    <t>04.7.3 Cestovný ruch</t>
  </si>
  <si>
    <t>04</t>
  </si>
  <si>
    <t>Ekonomická oblasť</t>
  </si>
  <si>
    <t>05.1.0 Nakladanie s odpadmi</t>
  </si>
  <si>
    <t>Prenájom</t>
  </si>
  <si>
    <t>zberný dvor</t>
  </si>
  <si>
    <t>05.2.0 Nakladanie s odpadovými vodami</t>
  </si>
  <si>
    <t>Dopravné, servis</t>
  </si>
  <si>
    <t>Servis a údržba</t>
  </si>
  <si>
    <t>rutinná a štandartná údržba</t>
  </si>
  <si>
    <t>05.6.0 Ochrana životného prostredia</t>
  </si>
  <si>
    <t>05</t>
  </si>
  <si>
    <t>06.2.0 Rozvoj obce</t>
  </si>
  <si>
    <t>poistné - centrum obce</t>
  </si>
  <si>
    <t>06.4.0 Verejné osvetlenie</t>
  </si>
  <si>
    <t>06</t>
  </si>
  <si>
    <t>07 zdravotníctvo</t>
  </si>
  <si>
    <t>07.6.0 Zdravotníctvo inde neklasifikované</t>
  </si>
  <si>
    <t>Mzdy, platy,príjmy a ost. os. vyrovn.</t>
  </si>
  <si>
    <t>07</t>
  </si>
  <si>
    <t>Zdravotníctvo</t>
  </si>
  <si>
    <t>08 športové, kultúrne a spoločenské služby</t>
  </si>
  <si>
    <t>08.1.0 Rekreačné a športové služby</t>
  </si>
  <si>
    <t xml:space="preserve">Transfery  </t>
  </si>
  <si>
    <t>v tom: TJ Družstevník</t>
  </si>
  <si>
    <t>STK</t>
  </si>
  <si>
    <t>08.2.0 Kultúrne služby</t>
  </si>
  <si>
    <t>prevádzkové stroje, prístr.,zar.</t>
  </si>
  <si>
    <t>mažoretky</t>
  </si>
  <si>
    <t>Nájomné prev. strojov</t>
  </si>
  <si>
    <t>Všeobecné služby-obecné slávnosti</t>
  </si>
  <si>
    <t>posedenie s dôchodcami</t>
  </si>
  <si>
    <t>08.2.0.5 Knižnice</t>
  </si>
  <si>
    <t>Materiál, knihy</t>
  </si>
  <si>
    <t>08.2.0.9 Ostatné kultúrne služby</t>
  </si>
  <si>
    <t>Špeciálne služby (kronika, ZPOZ)</t>
  </si>
  <si>
    <t>08.4.0 Náboženské a iné spoločenské služby</t>
  </si>
  <si>
    <t>Energie, služby</t>
  </si>
  <si>
    <t>08</t>
  </si>
  <si>
    <t>Športové, kultúrne a spol.služby</t>
  </si>
  <si>
    <t>09.1.1.1 Predškolská výchova s bežnou starostlivosťou</t>
  </si>
  <si>
    <t>610,620,</t>
  </si>
  <si>
    <t>630,640,</t>
  </si>
  <si>
    <t>predškolský vek</t>
  </si>
  <si>
    <t>Tovary a služby- z účtu OÚ</t>
  </si>
  <si>
    <t>09.1.2.1 Základné vzdelanie s bežnou starostlivosťou</t>
  </si>
  <si>
    <t>dotácie a príspevky</t>
  </si>
  <si>
    <t>vzdelávacie poukazy</t>
  </si>
  <si>
    <t>09.6.0.</t>
  </si>
  <si>
    <t>Energia,voda,telekomunikácia</t>
  </si>
  <si>
    <t>Prevádzkové stroje,prístr.</t>
  </si>
  <si>
    <t>Rutinná údržba budov prev.strojov,zar.</t>
  </si>
  <si>
    <t>09</t>
  </si>
  <si>
    <t>10  Sociálne zabezpečenie</t>
  </si>
  <si>
    <t>10.2.0.2</t>
  </si>
  <si>
    <t>nenávr. dávka v HN</t>
  </si>
  <si>
    <t>10.7.0.1</t>
  </si>
  <si>
    <t>Jednorázová dávka v HN</t>
  </si>
  <si>
    <t>10.7.0.1.</t>
  </si>
  <si>
    <t>Sociálne príspevky</t>
  </si>
  <si>
    <t>občianskemu združeniu</t>
  </si>
  <si>
    <t>10.7.0.</t>
  </si>
  <si>
    <t>výdavky na miesta v detských domovoch</t>
  </si>
  <si>
    <t>na stravovanie detí v HN-zdroj ŠR</t>
  </si>
  <si>
    <t>osobitný príjemca - HN</t>
  </si>
  <si>
    <t>osobitný príjemca-RP</t>
  </si>
  <si>
    <t>Sociálne zabezpečenie</t>
  </si>
  <si>
    <t>Bežné výdavky spolu:</t>
  </si>
  <si>
    <t>Prev.zariadenie - kamerový systém</t>
  </si>
  <si>
    <t>v tom:Prev.zariad. - kamerový systém-ŠR</t>
  </si>
  <si>
    <t>04.5.1.3 Správa a údržba ciest</t>
  </si>
  <si>
    <r>
      <t>05.</t>
    </r>
    <r>
      <rPr>
        <b/>
        <i/>
        <sz val="8"/>
        <rFont val="Arial CE"/>
        <family val="2"/>
        <charset val="238"/>
      </rPr>
      <t>2.0 Nakladanie s odpadovými vodami</t>
    </r>
  </si>
  <si>
    <t>projektová dokumentácia</t>
  </si>
  <si>
    <t>06.2.0 Rozvoj obcí</t>
  </si>
  <si>
    <t>Rekonštrukcia parku</t>
  </si>
  <si>
    <t>Prípravná a projektová dokumentácia</t>
  </si>
  <si>
    <t>Rekonštrukcia MŠ</t>
  </si>
  <si>
    <t>10.4 Sociálne zabezpečenie</t>
  </si>
  <si>
    <t>Kapitálové výdavky spolu:</t>
  </si>
  <si>
    <t>Výdavkové finančné oprácie</t>
  </si>
  <si>
    <t>Výdavkové finančné operácie spolu:</t>
  </si>
  <si>
    <t>Bežné výdavky spolu</t>
  </si>
  <si>
    <t>Kapitálové výdavky spolu</t>
  </si>
  <si>
    <t>Rozpočtové výdavky spolu</t>
  </si>
  <si>
    <t>Príspevok pre DHZ</t>
  </si>
  <si>
    <t>dotácia na školstvo - učebnice</t>
  </si>
  <si>
    <t>dotácia na ROEP</t>
  </si>
  <si>
    <t>dotácia - KC</t>
  </si>
  <si>
    <t>od fyzickej osoby</t>
  </si>
  <si>
    <t>prevod z ostatných fondov obce</t>
  </si>
  <si>
    <t>dotácia na školstvo - kreditové príplatky</t>
  </si>
  <si>
    <t>3.14</t>
  </si>
  <si>
    <t>transfer na osobitného príjemcu - RP</t>
  </si>
  <si>
    <t>transfer na osobitného príjemcu - HN</t>
  </si>
  <si>
    <t>3.15</t>
  </si>
  <si>
    <t>3.16</t>
  </si>
  <si>
    <t>3.17</t>
  </si>
  <si>
    <t>3.21</t>
  </si>
  <si>
    <t>dotácia - komunitné centrum</t>
  </si>
  <si>
    <t>príjem z predaja kapitálových aktív</t>
  </si>
  <si>
    <t>príjem z predaja pozemkov a nehmotných aktív</t>
  </si>
  <si>
    <t>Mzdy, platy, sl. Príjmy a ost.os.vyrovnania § 54</t>
  </si>
  <si>
    <t>všeobecný materiál - ples obce</t>
  </si>
  <si>
    <t>licencie, autorské práva SOZA</t>
  </si>
  <si>
    <t>všeobecné služby - ples obce</t>
  </si>
  <si>
    <t>koncesionárske poplatky</t>
  </si>
  <si>
    <t>v tom mzdy - zdroj ŠR</t>
  </si>
  <si>
    <t>Servis</t>
  </si>
  <si>
    <t>energie a telekomunikácie</t>
  </si>
  <si>
    <t>mzdy, platy, sl.príjmy a ost.os.vyrovnania</t>
  </si>
  <si>
    <t>v tom - zdroj ŠR</t>
  </si>
  <si>
    <t>poistné a príspevky do poisťovní</t>
  </si>
  <si>
    <t>poistenie dopravných prostriedkov</t>
  </si>
  <si>
    <t>učebnice</t>
  </si>
  <si>
    <t>TSP</t>
  </si>
  <si>
    <t>cestovné</t>
  </si>
  <si>
    <t>energia, voda, telekomunikácie</t>
  </si>
  <si>
    <t>prevádzkové stroje, prístroje, zariadenia</t>
  </si>
  <si>
    <t>softvér</t>
  </si>
  <si>
    <t>služby</t>
  </si>
  <si>
    <t>nákl.voz.ťahače príp.voz.</t>
  </si>
  <si>
    <t>Rekonštrukcia OcÚ</t>
  </si>
  <si>
    <t>Rekonštrukcia Ocú z RF</t>
  </si>
  <si>
    <t>vratky</t>
  </si>
  <si>
    <t>Terénna sociálna práca</t>
  </si>
  <si>
    <t>13</t>
  </si>
  <si>
    <t>dotácia na učebnice</t>
  </si>
  <si>
    <t>príjmy z pren.strojov a zariadení (zberný dvor)</t>
  </si>
  <si>
    <t>Príjem poplatkov zberného dvora</t>
  </si>
  <si>
    <t>2.12</t>
  </si>
  <si>
    <t>lízing vozidla</t>
  </si>
  <si>
    <t>dotácia pre DHZ</t>
  </si>
  <si>
    <t>likvidácia kuchynského odpadu</t>
  </si>
  <si>
    <t>výstavba chodníkov</t>
  </si>
  <si>
    <r>
      <t>Predmetom dane za jadrové zariadenie v súlade so zákonom č. 582/2004 Z.z. o miestnych daniach a poplatku za komunálne odpady a drobné stavebné odpady je jadrové zariadenie v ktorom prebieha štiepna reakcia a vyrába sa elektrická energia (ďalej len „jadrové zariadenie“), a to aj časť kalendárneho roka. Daňovníkom dane je prevádzkovateľ jadrového zariadenia. Základom dane je výmera katastrálneho územia obce v m</t>
    </r>
    <r>
      <rPr>
        <vertAlign val="super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>, ktoré sa nachádza v oblasti ohrozenia jadrovým zariadením.</t>
    </r>
  </si>
  <si>
    <t>bežné príjmy</t>
  </si>
  <si>
    <t>kapitálové príjmy</t>
  </si>
  <si>
    <t>príjmové finančné operácie</t>
  </si>
  <si>
    <t>vlastné príjmy RO s právnou subjektivitou</t>
  </si>
  <si>
    <t>dotácia TSP</t>
  </si>
  <si>
    <t>bankové úvery dlhodobé</t>
  </si>
  <si>
    <t>granty KC</t>
  </si>
  <si>
    <t>zberný dvor/nemocenské dávky</t>
  </si>
  <si>
    <t>služby maž. Stretnutie</t>
  </si>
  <si>
    <t>nákup pozemkov/prev.strojov a zariadení</t>
  </si>
  <si>
    <t>04.1.1</t>
  </si>
  <si>
    <t>Všeobecná obchodná a ekonomická oblasť</t>
  </si>
  <si>
    <t>nákup prev.strojov a zariadení (buldozér)</t>
  </si>
  <si>
    <t>realizácia stavieb</t>
  </si>
  <si>
    <t>dotácia na podporu športu/kultúry</t>
  </si>
  <si>
    <t>MŽP SR (kanalizácia)</t>
  </si>
  <si>
    <t>v tom: aktivačná činnosť</t>
  </si>
  <si>
    <t>komunitné centrum</t>
  </si>
  <si>
    <t>nákup prevádzkových strojov a zariadení</t>
  </si>
  <si>
    <t>3.22</t>
  </si>
  <si>
    <t>3.23</t>
  </si>
  <si>
    <t>pamätník/MR</t>
  </si>
  <si>
    <t>rež.nákl. Od stravníkov ZŠ</t>
  </si>
  <si>
    <t>reprezentačné Kult. Komisia</t>
  </si>
  <si>
    <t>zdravotné stredisko</t>
  </si>
  <si>
    <t>nákup prev.strojov</t>
  </si>
  <si>
    <t>ŠKD - príspevky rodičov</t>
  </si>
  <si>
    <t>MŠVVaŠ SR - dopravné</t>
  </si>
  <si>
    <t>MŠVVaŠ SR - lyžiarsky kurz, škola v prírode</t>
  </si>
  <si>
    <t>MŠVVaŠ SR - vzdelávacie poukazy</t>
  </si>
  <si>
    <t>MPSVaR SR - dotácia na deti zo SZP</t>
  </si>
  <si>
    <t>MPSVaR SR - ŠP v hmotnej núdzi</t>
  </si>
  <si>
    <t>MŠVVaŠ SR - kreditové príplatky</t>
  </si>
  <si>
    <t>príspevky od rodičov</t>
  </si>
  <si>
    <t>MPSVaR SR - školské potreby</t>
  </si>
  <si>
    <t>stravné - deti</t>
  </si>
  <si>
    <t>stravné - dospelí</t>
  </si>
  <si>
    <t>MPSVaR SR - predškolský vek</t>
  </si>
  <si>
    <t>Školská jedáleň pri MŠ</t>
  </si>
  <si>
    <t>1-4</t>
  </si>
  <si>
    <t>5-9</t>
  </si>
  <si>
    <t>NPG</t>
  </si>
  <si>
    <t>dopravné</t>
  </si>
  <si>
    <t>lyžiarsky kurz, škola v prírode</t>
  </si>
  <si>
    <t>dotácia pre deti zo SZP</t>
  </si>
  <si>
    <t>mzdy a odvody</t>
  </si>
  <si>
    <t>Základná škola s VJM - Alapiskola</t>
  </si>
  <si>
    <t>školské potreby z ÚPSV a R</t>
  </si>
  <si>
    <t>školské potreby z ÚPSVaR</t>
  </si>
  <si>
    <t>v tom: mzdy, platy, sl.príjym a ost.os.vyrovnania</t>
  </si>
  <si>
    <t xml:space="preserve">          Odmeny zamestnancom mimoprac.pomeru</t>
  </si>
  <si>
    <t>v tom: mzdy, platy, sl.príjym a ost.os.vyrovn.-asist.</t>
  </si>
  <si>
    <t xml:space="preserve">          poistné a príspevky do posťovní-asist.</t>
  </si>
  <si>
    <t xml:space="preserve">         vš.materiál </t>
  </si>
  <si>
    <t xml:space="preserve">          vš. materiál - krúžková činnosť</t>
  </si>
  <si>
    <t>v tom: Odmeny zamestnancom mimoprac.pomeru</t>
  </si>
  <si>
    <t xml:space="preserve">          Poistné a príspevky do poisťovní</t>
  </si>
  <si>
    <t xml:space="preserve">          Služby, prepravné, zápožička</t>
  </si>
  <si>
    <t>MPSVaR SR - učebnice</t>
  </si>
  <si>
    <t>všeobecný materiál - ŠKD</t>
  </si>
  <si>
    <t>v tom: služby, ubytovanie, zápožička</t>
  </si>
  <si>
    <t>v tom: Mzdy,platy, sl.príjmy a ost. os.vyrovnania</t>
  </si>
  <si>
    <t xml:space="preserve">         Odmeny zamestnancom mimoprac.pomeru</t>
  </si>
  <si>
    <t>Za stravné /OcÚ/-režijné náklady šj</t>
  </si>
  <si>
    <t xml:space="preserve">          ŠKD ZŠ </t>
  </si>
  <si>
    <t xml:space="preserve">          ŠKD ZŠ s VJM</t>
  </si>
  <si>
    <t>V tom:mzdy - zdroj ŠR</t>
  </si>
  <si>
    <t>Dotácia na vzdelávanie MRK/ROEP</t>
  </si>
  <si>
    <t>bežné transfery:</t>
  </si>
  <si>
    <t>škola v prírode, lyžiarsky kurz</t>
  </si>
  <si>
    <t>školská jedáleň</t>
  </si>
  <si>
    <t>vlastné príjmy RO</t>
  </si>
  <si>
    <t>CVČ</t>
  </si>
  <si>
    <t>predaj výrobkov, tovarov a služieb - zberný dvor</t>
  </si>
  <si>
    <t>z dobropisov</t>
  </si>
  <si>
    <t>opatrovateľská služba</t>
  </si>
  <si>
    <t>dotácia - kanalizácia</t>
  </si>
  <si>
    <t>dotácia - skladník PIOO</t>
  </si>
  <si>
    <t>dotácia - TSP</t>
  </si>
  <si>
    <t>poplatky, odvody a dane - úverový poplatok</t>
  </si>
  <si>
    <t>na členské príspevky, DCOM</t>
  </si>
  <si>
    <t>splácanie úrokov banke - úver</t>
  </si>
  <si>
    <t>z roku 2016</t>
  </si>
  <si>
    <t>obecné slávnosti EU</t>
  </si>
  <si>
    <t>obecné slávnosti VUC</t>
  </si>
  <si>
    <t>knihy BG - Nem felejtunk</t>
  </si>
  <si>
    <t>nájomné</t>
  </si>
  <si>
    <t>zdravotníctvo</t>
  </si>
  <si>
    <t>v tom: dotácia EU, ŠR</t>
  </si>
  <si>
    <t>Rekonštrukcia ciest, chodníkov</t>
  </si>
  <si>
    <t>MV SR - DHZO</t>
  </si>
  <si>
    <t>IROP (rozšírenie MŠ)</t>
  </si>
  <si>
    <t>SIEA (zateplenie MŠ)</t>
  </si>
  <si>
    <t>dotácia lyžiarsky kurz, škola v príríde</t>
  </si>
  <si>
    <t>3.24</t>
  </si>
  <si>
    <t>športové aktivity</t>
  </si>
  <si>
    <t>PHM - kosačky, traktor</t>
  </si>
  <si>
    <t>asistentky</t>
  </si>
  <si>
    <t xml:space="preserve">Odmeny a príspevky </t>
  </si>
  <si>
    <t>učebnice a školské potreby</t>
  </si>
  <si>
    <t>prístavba HZ</t>
  </si>
  <si>
    <t>modernizácia VO</t>
  </si>
  <si>
    <t>MZ SR - CIZS</t>
  </si>
  <si>
    <t>Prístavba MŠ</t>
  </si>
  <si>
    <t>09.7.0.</t>
  </si>
  <si>
    <t>tovary a služby z účtu obce</t>
  </si>
  <si>
    <t>Centrum voľného času</t>
  </si>
  <si>
    <t>14</t>
  </si>
  <si>
    <t>15</t>
  </si>
  <si>
    <t>bežné transfery</t>
  </si>
  <si>
    <t>01.6.0 Iné všeobecné služby /matrika/</t>
  </si>
  <si>
    <t>účast na majetku v tuzemsku</t>
  </si>
  <si>
    <t>MŽP - kanalizácia a ČOV</t>
  </si>
  <si>
    <t>IROP - rozšírenie MŠ</t>
  </si>
  <si>
    <t>Nákup pozemkov, projektová dokumentácia</t>
  </si>
  <si>
    <t>814</t>
  </si>
  <si>
    <t>účasť na majetku v tuzemsku</t>
  </si>
  <si>
    <t>007.</t>
  </si>
  <si>
    <t>Dotácia na stravovanie detí ZŠ</t>
  </si>
  <si>
    <t>Dotácia na stravovanie detí MŠ</t>
  </si>
  <si>
    <t>zostatky z predchádzajúcich rokov-zábezpeky</t>
  </si>
  <si>
    <t>IOMO - správne poplatky</t>
  </si>
  <si>
    <t>MPSVaR SR - asistenti</t>
  </si>
  <si>
    <t>stravné deti z UPSVaR</t>
  </si>
  <si>
    <t>sankcie uložené v daňovom konaní</t>
  </si>
  <si>
    <t>Daň za komunálny odpad-minulé roky</t>
  </si>
  <si>
    <t>Daň za psa-minulé roky</t>
  </si>
  <si>
    <t>01.7.0 Transakcia verejného dlhu</t>
  </si>
  <si>
    <t>údržba, opravy buldozéra</t>
  </si>
  <si>
    <t>v tom:mzdy - zdroj ŠR § 50j</t>
  </si>
  <si>
    <t>služby - LSS</t>
  </si>
  <si>
    <t>Služby, dohody</t>
  </si>
  <si>
    <t>08.3.0 Vysielacie a vydavateľské služby</t>
  </si>
  <si>
    <t>všeobecné služby (TV)</t>
  </si>
  <si>
    <t>nákup konvektomatu/digestor</t>
  </si>
  <si>
    <t>odmeny pracovníkom mimo prac.pomeru</t>
  </si>
  <si>
    <t>nákup softwéru - pasport MK, cintorínov</t>
  </si>
  <si>
    <t>prevádzkové stroje a zariadenia-čerpadlo ČOV</t>
  </si>
  <si>
    <t>prístrešok KD</t>
  </si>
  <si>
    <t>v tom: dotácia</t>
  </si>
  <si>
    <t>09.6.0 Vedľajšie služby v školstve</t>
  </si>
  <si>
    <t>zábezpeky</t>
  </si>
  <si>
    <t>výdavky rozpočtových organizácií</t>
  </si>
  <si>
    <t>dotácia zo ŠR</t>
  </si>
  <si>
    <t>doplatok k výdavkom ZŠ VJM</t>
  </si>
  <si>
    <t>MRRaI SR (WIFI)</t>
  </si>
  <si>
    <t>zostatky z predch.rokov - strav. MPSVaR SR</t>
  </si>
  <si>
    <t>návratná FP - kompemzácia výpadku DPFO</t>
  </si>
  <si>
    <t>dotácia asistenti učiteľa (EŠIF)</t>
  </si>
  <si>
    <t>odchodné</t>
  </si>
  <si>
    <t>dobropisy (energie)</t>
  </si>
  <si>
    <t>propagácia, reklama a inzercia (WEB)</t>
  </si>
  <si>
    <t>vrátenie príjmov z mr (strava UPSVaR)</t>
  </si>
  <si>
    <t>mylné platby</t>
  </si>
  <si>
    <t>032.</t>
  </si>
  <si>
    <t>prac.odevy, obuv a prac.pomôcky</t>
  </si>
  <si>
    <t>Služby KO</t>
  </si>
  <si>
    <t>služby zberný dvor</t>
  </si>
  <si>
    <t>Mzdy, platy, sl.príjmy a ost.os.vyrovnania-asist.</t>
  </si>
  <si>
    <t>depozit z roku 2019</t>
  </si>
  <si>
    <t>soc. prac.</t>
  </si>
  <si>
    <t>prístavba HZ - rezervný fond</t>
  </si>
  <si>
    <t>Wifi</t>
  </si>
  <si>
    <t>08.1.0.</t>
  </si>
  <si>
    <t>prístavba MŠ - z rezervného fondu</t>
  </si>
  <si>
    <t>Rekonštrukcia multifunkčné ihrisko, detské ihrisko ZŠ dopl. 3759 € ZŠ</t>
  </si>
  <si>
    <t>Splácanie istiny z bankových úverov - vlastné prostriedky</t>
  </si>
  <si>
    <t>MPSVaR SR - soc. asistentky</t>
  </si>
  <si>
    <t>dotácia - testovanie COVID-19</t>
  </si>
  <si>
    <t>zostatky z predch. rokov-odmeny soc.prac.</t>
  </si>
  <si>
    <t>zostatok SF</t>
  </si>
  <si>
    <t>Bankové úvery dlhodobé Prima banka</t>
  </si>
  <si>
    <t>Odmeny a príspevky-voľby, SODB</t>
  </si>
  <si>
    <t>mzdy, platy, - odmeny soc.prac.</t>
  </si>
  <si>
    <t>mzdy, platy,- odmeny soc.prac.</t>
  </si>
  <si>
    <t xml:space="preserve">realizácia CIZS - </t>
  </si>
  <si>
    <t>realizácia CIZS-5%</t>
  </si>
  <si>
    <t>odchodné,odstupné</t>
  </si>
  <si>
    <t>úverový poplatok</t>
  </si>
  <si>
    <t>Odmeny, stravovanie, občerstv.,ochr.pomôcky-testovanie</t>
  </si>
  <si>
    <t>realizácia CIZS-neoprávnené výdavky (B)</t>
  </si>
  <si>
    <t>realizácia CIZS - práce naviac  (C) z úveru</t>
  </si>
  <si>
    <t>Nadácia Alianz - spomaľ</t>
  </si>
  <si>
    <t>MPSVaR SR - rozvojový projekt "Predškoláci 2021"</t>
  </si>
  <si>
    <t>Prev.zariadenie -merač rýchlosti</t>
  </si>
  <si>
    <t>vtom grant Nadácia ALIANZ</t>
  </si>
  <si>
    <t>Služby CIZS</t>
  </si>
  <si>
    <t>osobný automobil</t>
  </si>
  <si>
    <t>z účtu obce</t>
  </si>
  <si>
    <t>granty, nadácia ZSE</t>
  </si>
  <si>
    <t>VT CIZS, prev.zariad.</t>
  </si>
  <si>
    <t>Interiérové vybavenie zdr.str.,prev.stroje</t>
  </si>
  <si>
    <t>Odchodné</t>
  </si>
  <si>
    <t>odchodné, odstupné</t>
  </si>
  <si>
    <t>rozvojový projekt"Predškoláci 2021"</t>
  </si>
  <si>
    <t>ročné zúčtžovanie ZP</t>
  </si>
  <si>
    <t>dotácia "dajme spolu gól"</t>
  </si>
  <si>
    <t>projekt "dajme spolu gól"</t>
  </si>
  <si>
    <t>COVID-19</t>
  </si>
  <si>
    <t>MPSVaR SR - projekt</t>
  </si>
  <si>
    <t>rozvojový projekt</t>
  </si>
  <si>
    <t>projekt MPC</t>
  </si>
  <si>
    <t xml:space="preserve">dobropisy, doplatok k výdavkom  </t>
  </si>
  <si>
    <t>Prepravné,družobné návštevy</t>
  </si>
  <si>
    <t>v tom dotácia</t>
  </si>
  <si>
    <t>zavlažovací systém, workoutové ihrisko</t>
  </si>
  <si>
    <t>budov, priestorov a objektov (COOP, Global)</t>
  </si>
  <si>
    <t>odstupné, odchodné</t>
  </si>
  <si>
    <t>Palivá, mazivá a oleje-Forterra, JCB</t>
  </si>
  <si>
    <t>Palivá, mazivá, oleje- Landini</t>
  </si>
  <si>
    <t>SFZ (zavlažovací systém)DRP-workoutové ihrisko</t>
  </si>
  <si>
    <t>dotlácia - asistent učiteľa</t>
  </si>
  <si>
    <t>z dobropisov, RZ ZP</t>
  </si>
  <si>
    <t>v tom. dotácia z envirom.fondu</t>
  </si>
  <si>
    <t>Enviromentálny fond-tech.vybav. - zberný dvor</t>
  </si>
  <si>
    <t xml:space="preserve">RO </t>
  </si>
  <si>
    <t>zaúčtovaný zostatok ZŠ</t>
  </si>
  <si>
    <t>2020 S</t>
  </si>
  <si>
    <t>odmeny a príspevky</t>
  </si>
  <si>
    <t>Predaj služieb - KO minulé roky</t>
  </si>
  <si>
    <t>dotácia - európa obyvateľom/nadácia ZSE</t>
  </si>
  <si>
    <t>Dotácia na voľby/SODB</t>
  </si>
  <si>
    <t>Envirofond</t>
  </si>
  <si>
    <t>ÚV SR - MFI/wifi</t>
  </si>
  <si>
    <t>SFZ - zavlažovanie ihriska/DRP_workout</t>
  </si>
  <si>
    <t>zostatky z predch.rokov - zábezpeky</t>
  </si>
  <si>
    <t>zostatky z predch.rokov - odmeny soc.prac.</t>
  </si>
  <si>
    <t>zostatky z predch.rokov - SODB</t>
  </si>
  <si>
    <t>zostatky z predch.rokov - stravné MPSVR</t>
  </si>
  <si>
    <t>zostatok z predch.rokov - HZ</t>
  </si>
  <si>
    <t>1.8</t>
  </si>
  <si>
    <t>zostatky z predch.rokov</t>
  </si>
  <si>
    <t>1.9</t>
  </si>
  <si>
    <t>zostatky z predch. Rokov -depozit ZŠ</t>
  </si>
  <si>
    <t>1.10</t>
  </si>
  <si>
    <t>1.11</t>
  </si>
  <si>
    <t>1.12</t>
  </si>
  <si>
    <t>1.13</t>
  </si>
  <si>
    <t>iné PFO - zábezpeky</t>
  </si>
  <si>
    <t>1.14</t>
  </si>
  <si>
    <t>1.15</t>
  </si>
  <si>
    <t>1.16</t>
  </si>
  <si>
    <t>Ostatné úvery a návratné finančné výp.</t>
  </si>
  <si>
    <t>poplatky za zber a uloženie komunálneho odpadu</t>
  </si>
  <si>
    <t>2.13</t>
  </si>
  <si>
    <t>vrátenie zábezpeky</t>
  </si>
  <si>
    <t>Odmeny a príspevky - testovanie COVID</t>
  </si>
  <si>
    <t>nákup vozidla</t>
  </si>
  <si>
    <t>prístavba hasičskej zbrojnice</t>
  </si>
  <si>
    <t>Kamerový systém + merač rýchlosti</t>
  </si>
  <si>
    <t>splácanie istiny z banlvých úverov - dotácia</t>
  </si>
  <si>
    <t>splácanie istiny z banlvých úverov - vlastné zdroje</t>
  </si>
  <si>
    <t>wifi</t>
  </si>
  <si>
    <t>KD</t>
  </si>
  <si>
    <t>odstupné</t>
  </si>
  <si>
    <t>Aktivita č.4</t>
  </si>
  <si>
    <t>Vysielacie a vydavateľské služby</t>
  </si>
  <si>
    <t>08.3.0.</t>
  </si>
  <si>
    <t>telocvičňa</t>
  </si>
  <si>
    <t>COVID</t>
  </si>
  <si>
    <t>Výdavky rozpočtových organizácií</t>
  </si>
  <si>
    <t>Enviromentálny fond-tech.vybavenie zberný dvor</t>
  </si>
  <si>
    <t>Kontokorentný úver ČSOB</t>
  </si>
  <si>
    <t>Detské ihrisko pri CIZS</t>
  </si>
  <si>
    <t>príspevok na ubytovanie ukrajincov</t>
  </si>
  <si>
    <t>Výpočtová technika - signalizačné zariadenie</t>
  </si>
  <si>
    <t>Konvektomat/el.sporák šj</t>
  </si>
  <si>
    <t>splácanie finančného prenájmu</t>
  </si>
  <si>
    <t>detské ihrisko</t>
  </si>
  <si>
    <t>Dotácia na voľby,SODB, referendum</t>
  </si>
  <si>
    <t>záujmové vzdelávanie</t>
  </si>
  <si>
    <t>DK</t>
  </si>
  <si>
    <t>príspevok ZŠ s VJM - plyn</t>
  </si>
  <si>
    <t>DK - prev.náklady</t>
  </si>
  <si>
    <t>dotácia RP "Letná škola", "Zelená škola"</t>
  </si>
  <si>
    <t>dotácia "Čítame radi", "Spolu múdrejší"</t>
  </si>
  <si>
    <t xml:space="preserve">                </t>
  </si>
  <si>
    <t>projekt "Zelená škola"</t>
  </si>
  <si>
    <t>Dotácia na energie KC</t>
  </si>
  <si>
    <t>dotácia za ubyt. Odídenca z Ukrajiny</t>
  </si>
  <si>
    <t>projekt NSK, dot.na šk.pom.pre detí z UA</t>
  </si>
  <si>
    <t>dotácia - odmeny soc. pracovníkom</t>
  </si>
  <si>
    <t>Rekonštrukcia zdravotného strediska/detské ihrisko</t>
  </si>
  <si>
    <t>zostatok z predchádzajúcich rokov</t>
  </si>
  <si>
    <t>zostatok hasičská zbrojnica</t>
  </si>
  <si>
    <t>zostatok detské ihrisko</t>
  </si>
  <si>
    <t>zostatok referendum</t>
  </si>
  <si>
    <t>zostatok z predchádzajúcich rokov RO</t>
  </si>
  <si>
    <t>voľby, referendum</t>
  </si>
  <si>
    <t>príspevky - školy</t>
  </si>
  <si>
    <t>jednotlivcovi-stravovanie</t>
  </si>
  <si>
    <t>odmeny</t>
  </si>
  <si>
    <t>Príspevok NIVAM</t>
  </si>
  <si>
    <t>inovačné vzdelávanie</t>
  </si>
  <si>
    <t>profesijný rozvoj pg zamestnancov</t>
  </si>
  <si>
    <t>MPC príspevok na kanc. Potreby</t>
  </si>
  <si>
    <t>príspevok na stravovanie zamestnancov</t>
  </si>
  <si>
    <t>rozvojové projekty</t>
  </si>
  <si>
    <t>telocvičňa - projektová dokumentácia</t>
  </si>
  <si>
    <t xml:space="preserve">detské ihrisko </t>
  </si>
  <si>
    <t>Predaj služieb - KO b.r.</t>
  </si>
  <si>
    <t xml:space="preserve">granty - Nápad pre 3generácie, Zelená škola,Határtalanul, Zelená infraštruktúra, </t>
  </si>
  <si>
    <t>dotácia z Envirom.fondu - zberný dvor</t>
  </si>
  <si>
    <t>z MF SR - negat.dôsl.inflácie</t>
  </si>
  <si>
    <t>z MIRRI - riešenie migračných výziev UA</t>
  </si>
  <si>
    <t>Z NSK inovatívne športovisko</t>
  </si>
  <si>
    <t>zostatky z mr.- z ÚPSVaR -rozdiel šj</t>
  </si>
  <si>
    <t>kuch.potreby - zo zost. dotácií z UPSVaR</t>
  </si>
  <si>
    <t>všeob.materiál</t>
  </si>
  <si>
    <t>Nemocenské dávky</t>
  </si>
  <si>
    <t>detské ihrisko vl.</t>
  </si>
  <si>
    <t xml:space="preserve"> inovatívne športovisko-štadion,škola</t>
  </si>
  <si>
    <t>materiál podpora športu NSK</t>
  </si>
  <si>
    <t>Rekonštrukcia verejného rozhlasu</t>
  </si>
  <si>
    <t>Správa cintorínovpílenie stromov-5670/</t>
  </si>
  <si>
    <t xml:space="preserve">pohrebné </t>
  </si>
  <si>
    <t>2023 S</t>
  </si>
  <si>
    <t>2024 OS</t>
  </si>
  <si>
    <t>2022 S</t>
  </si>
  <si>
    <t>Pitný režim</t>
  </si>
  <si>
    <t>Detské ihrisko</t>
  </si>
  <si>
    <t>PHM</t>
  </si>
  <si>
    <t>rekonštrukcia - oplotenie</t>
  </si>
  <si>
    <t>MF SR dopady inflácie</t>
  </si>
  <si>
    <t>preddavok na 2024 na prev.N</t>
  </si>
  <si>
    <t>Nadácie ZSE</t>
  </si>
  <si>
    <t>MPSVaR SR - rozvo.projekt Čítame pre radosť</t>
  </si>
  <si>
    <t>Výdavky rozpočtu obce Tekovské Lužany na roky 2025 - 2027</t>
  </si>
  <si>
    <t>v tom: ŠJ</t>
  </si>
  <si>
    <t>stravné - režijné náklady deti</t>
  </si>
  <si>
    <t>dotácia na školstvo</t>
  </si>
  <si>
    <t>stravné - režijné náklady dospelí</t>
  </si>
  <si>
    <t>všeobecné služby  SČK</t>
  </si>
  <si>
    <t>Fertilizer - Nádražie</t>
  </si>
  <si>
    <t>nákup prev.strojov - defibrilátor</t>
  </si>
  <si>
    <t>fin.výpomoci FO</t>
  </si>
  <si>
    <t>Ostatných nehmotných aktív - územný plán obce</t>
  </si>
  <si>
    <t xml:space="preserve">Transfer na osobitného príjemcu </t>
  </si>
  <si>
    <t>MŠVVaŠ SR - mimoriadne výsledky</t>
  </si>
  <si>
    <t>DK - osobné náklady</t>
  </si>
  <si>
    <t>DK - odvody</t>
  </si>
  <si>
    <t>depozit z predchádzajúceho roka</t>
  </si>
  <si>
    <t>odmeny PZ podľa regiónov</t>
  </si>
  <si>
    <t>sociálny fond</t>
  </si>
  <si>
    <t>dotácia na podporné opatrenia</t>
  </si>
  <si>
    <t>nadácia ZSE</t>
  </si>
  <si>
    <t>vratky - prof.rozvoj, šk.potreby</t>
  </si>
  <si>
    <t>podporné opatrenia - pedag.asistenti</t>
  </si>
  <si>
    <t xml:space="preserve">podporné opatrenia  </t>
  </si>
  <si>
    <t>odbor.zam.</t>
  </si>
  <si>
    <t>asistenti</t>
  </si>
  <si>
    <t>Z kontokorentných úverov  ČSOB</t>
  </si>
  <si>
    <t>BP/BV</t>
  </si>
  <si>
    <t>KP/KV</t>
  </si>
  <si>
    <t>PFO/VFO</t>
  </si>
  <si>
    <t>PRO/VRO</t>
  </si>
  <si>
    <t>MŠ</t>
  </si>
  <si>
    <t>2024OS</t>
  </si>
  <si>
    <t>dotácia na dopady inflácie</t>
  </si>
  <si>
    <t>dotácia na odídencov z UA</t>
  </si>
  <si>
    <t>dotácia envirofond</t>
  </si>
  <si>
    <t>zaúčtovaný zostatok ZŠ, ŠJ</t>
  </si>
  <si>
    <t>dotácia NSK</t>
  </si>
  <si>
    <t>rekonštrukcia MR</t>
  </si>
  <si>
    <t>812</t>
  </si>
  <si>
    <t>splácanie kontokorentných úverov</t>
  </si>
  <si>
    <t>Projektová dokumentácia, ÚPO</t>
  </si>
  <si>
    <t>závlaha, workout, športoviská</t>
  </si>
  <si>
    <t>pamätník/MR, PD</t>
  </si>
  <si>
    <t>Program 1</t>
  </si>
  <si>
    <t>Plánovanie, manažment a kontrola</t>
  </si>
  <si>
    <r>
      <rPr>
        <b/>
        <sz val="14"/>
        <rFont val="Calibri"/>
        <family val="2"/>
        <charset val="238"/>
        <scheme val="minor"/>
      </rPr>
      <t>Zámer programu:</t>
    </r>
    <r>
      <rPr>
        <sz val="11"/>
        <rFont val="Calibri"/>
        <family val="2"/>
        <charset val="238"/>
        <scheme val="minor"/>
      </rPr>
      <t xml:space="preserve">
Profesionálny a transparentný manažment, administratíva a kontrola, garantujúce rast a rozvoj obce.</t>
    </r>
  </si>
  <si>
    <t>Rozpočet programu:</t>
  </si>
  <si>
    <t>rok</t>
  </si>
  <si>
    <r>
      <rPr>
        <b/>
        <sz val="11"/>
        <rFont val="Calibri"/>
        <family val="2"/>
        <charset val="238"/>
        <scheme val="minor"/>
      </rPr>
      <t>Komentár k programu:</t>
    </r>
    <r>
      <rPr>
        <sz val="11"/>
        <rFont val="Calibri"/>
        <family val="2"/>
        <charset val="238"/>
        <scheme val="minor"/>
      </rPr>
      <t xml:space="preserve">
Program zahŕňa manažment obce (starosta obce, obecné zastupiteľstvo), aktivity a činnosti obce súvisiace s rozpočtovou, daňovou politikou obce, komplexné vedenie účtovníctva, audítorské služby, kontrolu hospodárenia kontrolórom obce, účasť obce v samosprávnych organizáciách a združeniach, plánovanie rozvoja obce a všetky ostatné aktivity súvisiace so zabezpečením administratívnych služieb pre chod obecného úradu s cieľom napomôcť všestrannému rozvoju a prosperite obce pre spokojnosť jej obyvateľov.</t>
    </r>
  </si>
  <si>
    <t>Podprogram 1.1</t>
  </si>
  <si>
    <r>
      <t xml:space="preserve">Zámer podprogramu: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Zodpovedné a objektívne riadenie samosprávy</t>
    </r>
  </si>
  <si>
    <r>
      <rPr>
        <b/>
        <sz val="11"/>
        <rFont val="Calibri"/>
        <family val="2"/>
        <charset val="238"/>
        <scheme val="minor"/>
      </rPr>
      <t>Komentár k podprogramu:</t>
    </r>
    <r>
      <rPr>
        <sz val="10"/>
        <rFont val="Arial"/>
        <family val="2"/>
        <charset val="238"/>
      </rPr>
      <t xml:space="preserve">
Podprogram Verejná správa zahŕňa aktivity a činnosti obce súvisiace so zabezpečením chodu obce vo všetkých aspektoch, t.j. činnosti a aktivity starostu obce a obecného úradu, zasadnutia obecného zastupiteľstva a odborných komisií obecného zastupiteľstva, kontrolná činnosť hlavného kontrolóra obce.
Finančné prostriedky predstavujú plánované bežné výdavky určené na mzdy, platy a ostatné osobné vyrovnania, poistné a príspevky do poisťovní zamestnancov obecného úradu vrátane starostu a hlavného kontrolóra, odmeny poslancov obecného zastupiteľstva a členov odborných komisií; výdavky na tovary a služby: energie, materiál – všeobecný materiál, odbornú tlač, dopravné – palivá, všeobecné služby, audítorské služby, stravovanie zamestnancov, prídel do sociálneho fondu, školenia zamestnancov, poistenie majetku obce.</t>
    </r>
  </si>
  <si>
    <t>Aktivita č. 1</t>
  </si>
  <si>
    <t>Zámer aktivity</t>
  </si>
  <si>
    <t>Otvorená a transparentná komunikácia s obyvateľmi obce</t>
  </si>
  <si>
    <t>Zodpovednosť:</t>
  </si>
  <si>
    <t>sekretariát starostu obce</t>
  </si>
  <si>
    <t>Rozpočet aktivity:</t>
  </si>
  <si>
    <t>Ciele a výstupy:</t>
  </si>
  <si>
    <t>Cieľ</t>
  </si>
  <si>
    <t>Cieľová hodnota v r. 2027</t>
  </si>
  <si>
    <t>Cieľová hodnota v r. 2025</t>
  </si>
  <si>
    <t>Cieľová hodnota v r. 2026</t>
  </si>
  <si>
    <t>Merateľný ukazovateľ</t>
  </si>
  <si>
    <t>Počet žiadostí o informácie</t>
  </si>
  <si>
    <t>%poskytnutých informácií</t>
  </si>
  <si>
    <t>počet správ o plnení rozpočtu obce</t>
  </si>
  <si>
    <t>schválenie ročného hospodárenia obce audítorom bez výhrad</t>
  </si>
  <si>
    <t>počet verejných stretnutí s obyvateľmi obce za rok</t>
  </si>
  <si>
    <t>Dosiahnuť vysoký stupeň otvorenosti informovania občanov a podnikateľov.</t>
  </si>
  <si>
    <t>áno</t>
  </si>
  <si>
    <t>počet porád starostu s vedúcimi oddelení a riaditeľmi organizácií za rok</t>
  </si>
  <si>
    <t>počet operatívnych stretnutí s vedúcimi zamestnancami obce za mesiac</t>
  </si>
  <si>
    <t>min. 20</t>
  </si>
  <si>
    <t>Zabezpečiť transparentné riadenie obecného úradu</t>
  </si>
  <si>
    <t>počet oprávnených sťažností na činnosť zamestnanca obecného úradu</t>
  </si>
  <si>
    <t>% splnených úloh uložených obecným zastupiteľstvom</t>
  </si>
  <si>
    <t>priemerná doba vybavenia podnetu poslanca obecného zastupiteľstva</t>
  </si>
  <si>
    <t>max. 30 dní</t>
  </si>
  <si>
    <t>Zabezpečiť profesionalitu činností vykonávaných prostredníctvom obecného úradu.</t>
  </si>
  <si>
    <t>Zabezpečiť účinné napĺňanie uznesení obecného zastupiteľstva.</t>
  </si>
  <si>
    <t>Aktivita č. 2</t>
  </si>
  <si>
    <t>Zabezpečiť pravidelnú a plynulú činnosť samosprávnych orgánov obce</t>
  </si>
  <si>
    <t>počet zasadnutí obecného zastupiteľstva za rok</t>
  </si>
  <si>
    <t>počet počet zasadnutí odborných komisií OZ za rok</t>
  </si>
  <si>
    <t>Vytvoriť podmienky pre pravidelné pracovné zasadnutia samosprávnych orgánov obce</t>
  </si>
  <si>
    <t>Podprogram 1.2</t>
  </si>
  <si>
    <t>Členstvo v samosprávnych oraganizáciách a združeniach</t>
  </si>
  <si>
    <t>Prezentácia obce a účinné presadzovanie jeho záujmov na regionálnych, celoslovenských i medzinárodných fórach.</t>
  </si>
  <si>
    <t>Obec Tekovské Lužany je členom v nasledovných samosprávnych organizáciách a združeniach: Združenie miest a obcí Slovenska, Dolnohronské regionálne združenie, Mikroregión Laurentius, Dolnohronské rozvojové partnerstvo, Spoločný obecný úrad v Želiezovciach.</t>
  </si>
  <si>
    <t xml:space="preserve">Zabezpečiť účasť obce v regionálnych organizáciách a združeniach </t>
  </si>
  <si>
    <t xml:space="preserve">počet organizácií a združení, v ktorých je obec členom </t>
  </si>
  <si>
    <t>Zabezpečiť účasť obce v celoštátnych  organizáciách a združeniach</t>
  </si>
  <si>
    <t>Podprogram 1.3</t>
  </si>
  <si>
    <t>Odborné plánovanie a riadenie úverového zaťaženia obce pri financovaní investičných zámerov.</t>
  </si>
  <si>
    <t>Komentár k podprogramu:</t>
  </si>
  <si>
    <t>V podprograme sú plánované výdavky na splácanie úrokov banke za poskytnuté úvery, splácanie istín z poskytnutých úverov, výdavky spojené so službami poskytnutými v rámci IROP a za služby audítorskej spoločnosti.</t>
  </si>
  <si>
    <t>maximálna výška úverovej zaťaženosti obce</t>
  </si>
  <si>
    <t>Zabezpečiť udržateľné hospodárenie obce pri financovaní investičných zámerov</t>
  </si>
  <si>
    <t xml:space="preserve">predpokladaný počet vykonaných verejných obstarávaní za rok </t>
  </si>
  <si>
    <t>úspešnosť realizovaných verejných obstarávaní</t>
  </si>
  <si>
    <t>Zabezpečiť  efektívnu prípravu odborných podkladov k realizovaným  investičným akciám  obce</t>
  </si>
  <si>
    <t>Podprogram 1.4</t>
  </si>
  <si>
    <t>Plynulé a rýchle vybavovanie administratívnych úkonov pre obyvateľov obce.</t>
  </si>
  <si>
    <t>priemerný počet matričných úkonov za rok</t>
  </si>
  <si>
    <t>priemerný čas na vykonanie dožiadaní a príslušnej agendy</t>
  </si>
  <si>
    <t>max. 10 dní</t>
  </si>
  <si>
    <t>Počet vydaných rozhodnutí o určení súpisného čísla</t>
  </si>
  <si>
    <t>Počet vydaných rozhodnutí za rok</t>
  </si>
  <si>
    <t>Priemerný čas na vydanie rozhodnutia</t>
  </si>
  <si>
    <t>Zabezpečiť  plynulé a rýchle vybavovanie stavebnej agendy.</t>
  </si>
  <si>
    <t>Zabezpečiť plynulú činnosť matriky, promptnú a flexibilnú evidenciu obyvateľov obce.</t>
  </si>
  <si>
    <t>15 dní</t>
  </si>
  <si>
    <t>Podprogram 1.5</t>
  </si>
  <si>
    <t>Zabezpečiť bezproblémovú administráciu volieb a referenda.</t>
  </si>
  <si>
    <t>Podprogram zahŕňa zabezpečenie úkonov pri technickom a personálnom zabezpečení volieb a referenda.</t>
  </si>
  <si>
    <t>počet očakávaných druhov volieb</t>
  </si>
  <si>
    <t>dodržanie časových lehôt</t>
  </si>
  <si>
    <t>Plynulý priebeh volieb a referenda.</t>
  </si>
  <si>
    <t>Program 2</t>
  </si>
  <si>
    <t>Ochrana obyvateľstva</t>
  </si>
  <si>
    <r>
      <rPr>
        <b/>
        <sz val="14"/>
        <rFont val="Calibri"/>
        <family val="2"/>
        <charset val="238"/>
        <scheme val="minor"/>
      </rPr>
      <t>Zámer programu:</t>
    </r>
    <r>
      <rPr>
        <sz val="11"/>
        <rFont val="Calibri"/>
        <family val="2"/>
        <charset val="238"/>
        <scheme val="minor"/>
      </rPr>
      <t xml:space="preserve">
Zabezpečenie ochrany obyvateľstva v prípade vzniku krízových situácií.</t>
    </r>
  </si>
  <si>
    <r>
      <rPr>
        <b/>
        <sz val="11"/>
        <rFont val="Calibri"/>
        <family val="2"/>
        <charset val="238"/>
        <scheme val="minor"/>
      </rPr>
      <t>Komentár k programu:</t>
    </r>
    <r>
      <rPr>
        <sz val="11"/>
        <rFont val="Calibri"/>
        <family val="2"/>
        <charset val="238"/>
        <scheme val="minor"/>
      </rPr>
      <t xml:space="preserve">
Program zahŕňa činnosti a aktivity pri zabezpečovaní úloh v oblasti civilnej ochrany pri vzniku krízových situácií. </t>
    </r>
  </si>
  <si>
    <t>Podprogram 2.1</t>
  </si>
  <si>
    <r>
      <t xml:space="preserve">Zámer podprogramu: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Maximálna pripravenosť obce a obyvateľov v čase krízovej situácie</t>
    </r>
    <r>
      <rPr>
        <b/>
        <sz val="11"/>
        <rFont val="Calibri"/>
        <family val="2"/>
        <charset val="238"/>
        <scheme val="minor"/>
      </rPr>
      <t>.</t>
    </r>
  </si>
  <si>
    <t xml:space="preserve">Aktivity podprogramu predstavujú činnosti: udržiavanie evidencie CO krytov, zriadenie jednotiek CO, vypracovávanie potrebnej dokumentácie, zabezpečenie úloh v zmysle pokynov Okresného úradu v Leviciach, prevádzkovanie CO skladu. </t>
  </si>
  <si>
    <t>Zabezpečiť ochranu obyvateľov pred dopadom mimoriadnych udalostí.</t>
  </si>
  <si>
    <t>aktualizovaná agenda CO</t>
  </si>
  <si>
    <t>plnenie zákonných požiadaviek</t>
  </si>
  <si>
    <t>Program 3</t>
  </si>
  <si>
    <t>Bezpečnosť, právo a poriadok</t>
  </si>
  <si>
    <r>
      <rPr>
        <b/>
        <sz val="11"/>
        <rFont val="Calibri"/>
        <family val="2"/>
        <charset val="238"/>
        <scheme val="minor"/>
      </rPr>
      <t>Komentár k programu:</t>
    </r>
    <r>
      <rPr>
        <sz val="11"/>
        <rFont val="Calibri"/>
        <family val="2"/>
        <charset val="238"/>
        <scheme val="minor"/>
      </rPr>
      <t xml:space="preserve">
Program zahŕňa činnosti a aktivity obecnej polície pre zabezpečenie bezpečného života obyvateľov obce, činnosti a aktivity Dobrovoľného hasičského zboru obce.</t>
    </r>
  </si>
  <si>
    <t>Podprogram 3.1</t>
  </si>
  <si>
    <r>
      <t xml:space="preserve">Zámer podprogramu: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Sústavná ochrana verejného poriadku, majetku a zdravia občanov.</t>
    </r>
  </si>
  <si>
    <t xml:space="preserve">Podprogram zahŕňa plánované výdavky na činnosť obecnej polície určené na mzdy, odvody a príspevky do poisťovní, výdavky na tovary, služby, energie, dopravu, stravu zamestnancov a údržbu kamerového systému. </t>
  </si>
  <si>
    <t>počet odslúžených hodín OP v hliadkovej službe za rok</t>
  </si>
  <si>
    <t>celkový počet príslušníkov OP</t>
  </si>
  <si>
    <t>Minimalizovať protispoločenskú činnosť aktívnym prístupom hliadok obecnej polície.</t>
  </si>
  <si>
    <t>účasť OP na športových a kultúrnych podujatiach organizovaných obcou</t>
  </si>
  <si>
    <t>Eliminovať hrubé narúšanie verejného poriadku počas kultúrnych a športových podujatí</t>
  </si>
  <si>
    <t>priemerná doba odchytu od nahlásenia</t>
  </si>
  <si>
    <t>7 dní</t>
  </si>
  <si>
    <t>čas potrebný na doručenie od prebratia zásielky</t>
  </si>
  <si>
    <t>do 48 hodín</t>
  </si>
  <si>
    <t>počet hodín dozoru na prechode pre chodcov pri školách</t>
  </si>
  <si>
    <t>Maximalizovať bezpečnosť prechodu pre chodov pri školách.</t>
  </si>
  <si>
    <t>Zabezpečiť promptné doručovanie súdnych zásielok.</t>
  </si>
  <si>
    <t xml:space="preserve">Minimalizovať počet túlavých zvierat, prenos nákazlivých chorôb a počet napadnutých osôb týmito zvieratami. </t>
  </si>
  <si>
    <t>Podprogram 3.2</t>
  </si>
  <si>
    <t>Monitorovací kamerový systém obce</t>
  </si>
  <si>
    <r>
      <t xml:space="preserve">Zámer podprogramu: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24 hodinový monitoring obce.</t>
    </r>
  </si>
  <si>
    <t>Podprogram zahŕňa výdavky na údržbu existujúceho kamerového systému a výdavky na plánované rozširovanie kamerového systému.</t>
  </si>
  <si>
    <t>počet novo inštalovaných kamier</t>
  </si>
  <si>
    <t xml:space="preserve">% pokrytie obce kamerami </t>
  </si>
  <si>
    <t xml:space="preserve">počet prevádzkových kamier v obci spolu </t>
  </si>
  <si>
    <t xml:space="preserve">% objasnených protispoločenských  činností zo všetkých  zdokumentovaných  kamerovým systémom </t>
  </si>
  <si>
    <t xml:space="preserve">Zvýšiť pasívnu bezpečnosť obce. </t>
  </si>
  <si>
    <t>Podprogram 3.3</t>
  </si>
  <si>
    <r>
      <t xml:space="preserve">Zámer podprogramu: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Maximálna pripravenosť obce a obyvateľov v čase požiarov.</t>
    </r>
  </si>
  <si>
    <r>
      <rPr>
        <b/>
        <sz val="11"/>
        <rFont val="Calibri"/>
        <family val="2"/>
        <charset val="238"/>
        <scheme val="minor"/>
      </rPr>
      <t>Komentár k podprogramu:</t>
    </r>
    <r>
      <rPr>
        <sz val="11"/>
        <rFont val="Calibri"/>
        <family val="2"/>
        <charset val="238"/>
        <scheme val="minor"/>
      </rPr>
      <t xml:space="preserve">
Obec je v zmysle platných právnych predpisov povinná v maximálnej miere zabezpečovať bezpečnosť a ochranu svojho majetku a majetku obyvateľov obce. V obci pôsobí dobrovoľný hasičský zbor, ktorého cieľom je postupná transformácia na dobrovoľný hasičský zbor obce. V podprograme sú rozpočtované výdavky na energie, materiál, dopravné, údržbu hasičských prístrojov, služby súvisiace s požiarnou ochranou, protipožiarne preventívne kontroly.
</t>
    </r>
  </si>
  <si>
    <t>počet vykonaných  preventívnych prehliadok budov za rok</t>
  </si>
  <si>
    <t>počet zrealizovaných hasičských cvičení dobrovoľného   hasičského zboru obce za rok</t>
  </si>
  <si>
    <t xml:space="preserve">Minimalizovať riziko vzniku požiarov na území obce. </t>
  </si>
  <si>
    <t>Program 4</t>
  </si>
  <si>
    <t>Prostredie pre život</t>
  </si>
  <si>
    <r>
      <rPr>
        <b/>
        <sz val="12"/>
        <rFont val="Calibri"/>
        <family val="2"/>
        <charset val="238"/>
        <scheme val="minor"/>
      </rPr>
      <t xml:space="preserve">Zámer programu: 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</t>
    </r>
    <r>
      <rPr>
        <sz val="12"/>
        <rFont val="Calibri"/>
        <family val="2"/>
        <charset val="238"/>
        <scheme val="minor"/>
      </rPr>
      <t>Hospodárne a efektívne využívanie majetku obce.</t>
    </r>
  </si>
  <si>
    <t>Program zahŕňa všetky činnosti a aktivity pri správe a údržbe majetku obce: údržba verejných priestranstiev, údržba verejnej zelene, údržba verejného osvetlenia, údržba budov vo vlastníctve obce (obecný úrad, zdravotné stredisko, dom smútku); náklady na výkon aktivačnej činnosti, mzdové náklady na zamestnancov hospodárskej činnosti obce.</t>
  </si>
  <si>
    <t>Podprogram 4.1</t>
  </si>
  <si>
    <t>Čistota v obci a pomocné  udržiavacie práce cez  aktivačnú  činnosť nezamestnaných občanov.</t>
  </si>
  <si>
    <t xml:space="preserve">Zámer podprogramu:     </t>
  </si>
  <si>
    <t xml:space="preserve">Podprogram zahŕňa bežné výdavky na činnosť pracovníkov, ktorí sú dlhodobo evidovaní na úrade práce, materiálové výdavky súvisiace s ich činnosťami a mzdové náklady na koordinátora aktivačnej činnosti. </t>
  </si>
  <si>
    <t>Udržať pracovné návyky u nezamestnaných občanov</t>
  </si>
  <si>
    <t>percento naplnenia stavu nezamestnaných občanov z počtu požadovaných v rámci projektu</t>
  </si>
  <si>
    <t>Podprogram 4.2</t>
  </si>
  <si>
    <t>Bezpečná, kvalitná a pohodlná cestná premávka.</t>
  </si>
  <si>
    <r>
      <t>Podprogram predstavujú činnosti</t>
    </r>
    <r>
      <rPr>
        <b/>
        <sz val="11"/>
        <rFont val="Calibri"/>
        <family val="2"/>
        <charset val="238"/>
        <scheme val="minor"/>
      </rPr>
      <t>:</t>
    </r>
    <r>
      <rPr>
        <sz val="11"/>
        <rFont val="Calibri"/>
        <family val="2"/>
        <charset val="238"/>
        <scheme val="minor"/>
      </rPr>
      <t xml:space="preserve"> opravy,  údržba a čistenie miestnych komunikácií, chodníkov, odstavných plôch, lávok, mostov, opravy a dopĺňanie dopravného značenia, zimnú údržba  miestnych komunikácií, chodníkov, odstavných plôch, rekonštrukcie a údržba autobusových zastávok.  </t>
    </r>
  </si>
  <si>
    <t>plocha opravených komunikácií za rok</t>
  </si>
  <si>
    <r>
      <t>100 m</t>
    </r>
    <r>
      <rPr>
        <vertAlign val="superscript"/>
        <sz val="10"/>
        <rFont val="Calibri"/>
        <family val="2"/>
        <charset val="238"/>
        <scheme val="minor"/>
      </rPr>
      <t>2</t>
    </r>
  </si>
  <si>
    <t>celková dĺžka spravovaných miestnych komunikácií (km)</t>
  </si>
  <si>
    <t xml:space="preserve">dĺžka posypaných komunikácií (údržba posypovou soľou)  z celkovej dĺžky za rok </t>
  </si>
  <si>
    <t xml:space="preserve">dĺžka odhŕňaných komunikácií z celkovej dĺžky za rok  </t>
  </si>
  <si>
    <t>úplnosť dopravného značenia na území obce</t>
  </si>
  <si>
    <t>Zabezpečiť kvalitu cestných komunikácií na území obce.</t>
  </si>
  <si>
    <t>Zabezpečiť údržbu a dopĺňanie dopravného značenia.</t>
  </si>
  <si>
    <t>Zabezpečiť bezpečnosť cestnej premávky počas zimných mesiacov.</t>
  </si>
  <si>
    <t>počet upravených autobusových zastávok</t>
  </si>
  <si>
    <t>Estetické a účelné autobusové zastávky.</t>
  </si>
  <si>
    <t>Podprogram 4.3</t>
  </si>
  <si>
    <r>
      <rPr>
        <b/>
        <sz val="11"/>
        <rFont val="Calibri"/>
        <family val="2"/>
        <charset val="238"/>
        <scheme val="minor"/>
      </rPr>
      <t>Komentár k podprogramu:</t>
    </r>
    <r>
      <rPr>
        <sz val="11"/>
        <rFont val="Calibri"/>
        <family val="2"/>
        <charset val="238"/>
        <scheme val="minor"/>
      </rPr>
      <t xml:space="preserve">
Podprogram Verejná správa zahŕňa aktivity a činnosti obce súvisiace so zabezpečením chodu obce vo všetkých aspektoch, t.j. činnosti a aktivity starostu obce a obecného úradu, zasadnutia obecného zastupiteľstva a odborných komisií obecného zastupiteľstva, kontrolná činnosť hlavného kontrolóra obce.
Finančné prostriedky predstavujú plánované bežné výdavky určené na mzdy, platy a ostatné osobné vyrovnania, poistné a príspevky do poisťovní zamestnancov obecného úradu vrátane starostu a hlavného kontrolóra, odmeny poslancov obecného zastupiteľstva a členov odborných komisií; výdavky na tovary a služby: energie, materiál – všeobecný materiál, odbornú tlač, dopravné – palivá, všeobecné služby, audítorské služby, stravovanie zamestnancov, prídel do sociálneho fondu, školenia zamestnancov, poistenie majetku obce.</t>
    </r>
  </si>
  <si>
    <t>Moderná a rozvíjajúca sa obec.</t>
  </si>
  <si>
    <t xml:space="preserve">Podprogram zahŕňa bežné výdavky na vypracovanie geometrických plánov, štúdií, posudkov a usporiadania majetku obce. </t>
  </si>
  <si>
    <t>Počet vykonaných verejných obstarávaní za rok</t>
  </si>
  <si>
    <t xml:space="preserve">Zabezpečiť efektívnu prípravu odborných podkladov k realizovaným investičným akciám obce, </t>
  </si>
  <si>
    <t>Počet vyhotovených geometrických plánov za rok</t>
  </si>
  <si>
    <t>Počet návrhov na vysporiadanie majetkových práv</t>
  </si>
  <si>
    <t>Zabezpečiť efektívne usporiadanie majetku obce.</t>
  </si>
  <si>
    <t>Podprogram 4.4</t>
  </si>
  <si>
    <t>Hospodárne a efektívne využívanie majetku obce.</t>
  </si>
  <si>
    <t>Podprogram zahŕňa všetky činnosti a aktivity pri správe a údržbe majetku obce: údržba verejných priestranstiev, údržba verejnej zelene, údržba verejného osvetlenia, údržba budov vo vlastníctve obce (obecný úrad, zdravotné stredisko, dom smútku); mzdové náklady na zamestnancov hospodárskej činnosti obce.</t>
  </si>
  <si>
    <t>počet spravovaných budov</t>
  </si>
  <si>
    <t xml:space="preserve">moderné a bezpečné pracovné prostredie </t>
  </si>
  <si>
    <t>Zabezpečiť funkčnú a hospodárnu prevádzku budov obecného úradu.</t>
  </si>
  <si>
    <t xml:space="preserve">počet vyrúbaných stromov za rok </t>
  </si>
  <si>
    <t xml:space="preserve">počet kosieb reprezentačnej zelene za rok </t>
  </si>
  <si>
    <t xml:space="preserve">počet kosieb ostatnej zelene za rok </t>
  </si>
  <si>
    <t>plocha hrabania lístia na jeseň</t>
  </si>
  <si>
    <t>12 ha</t>
  </si>
  <si>
    <t>Zabezpečiť starostlivosť o existujúcu verejnú zeleň.</t>
  </si>
  <si>
    <t xml:space="preserve">počet  ks vysadených drevín za rok </t>
  </si>
  <si>
    <t>počet  orezávaných drevín</t>
  </si>
  <si>
    <t>Zabezpečovať revitalizáciu plôch  zelene v obci.</t>
  </si>
  <si>
    <t>Zabezpečiť komplexnú starostlivosť o stromy a kroviny na území obce.</t>
  </si>
  <si>
    <t>Program 5</t>
  </si>
  <si>
    <t>Odpadové hospodárstvo</t>
  </si>
  <si>
    <t xml:space="preserve">Obec Tekovské Lužany je v zmysle platných právnych predpisov (zákon o odpadoch) povinná v plnej miere zabezpečovať zber a likvidáciu komunálneho odpadu na svojom území, zabezpečiť zber a zhodnotenie vyseparovaných zložiek odpadu s osobitným zreteľom na biologicky rozložiteľný odpad. Rozpočet programu tvoria výdavky na zber a likvidáciu komunálneho odpadu, zber a zhodnotenie separovaného odpadu, náklady na prevádzku kanalizáciu a ČOV v súlade s koncesnou zmluvou s LSS s.r.o. a splácanie úveru na výstavbu kanalizácie. </t>
  </si>
  <si>
    <t>Podprogram 5.1</t>
  </si>
  <si>
    <t>Odvoz a zneškodňovanie komunálneho odpadu</t>
  </si>
  <si>
    <t>Pravidelná a ekologická likvidácia odpadov v obci Tekovské Lužany.</t>
  </si>
  <si>
    <t>Podprogram predstavuje všetky aktivity a činnosti pre zabezpečenie zberu a vývozu komunálneho odpadu od fyzických a právnických osôb, separovanie odpadu, zabezpečenie efektívnej a ekologickej likvidácie odpadu.</t>
  </si>
  <si>
    <t xml:space="preserve">predpokladané množstvo vzniknutého odpadu za rok </t>
  </si>
  <si>
    <t xml:space="preserve">minimálne predpokladané množstvo vyseparovaného odpadu z celkového objemu KO za rok </t>
  </si>
  <si>
    <t>Zabezpečiť nákladovo efektívny zvoz a odvoz odpadov rešpektujúci potreby obyvateľov</t>
  </si>
  <si>
    <t>Podprogram 5.2</t>
  </si>
  <si>
    <t>Pravidelná a ekologická likvidácia odpadov zo žúmp a septikov v obci Tekovské Lužany a od r. 2020 z vybudovanej obecnej kanalizácie. Podprogram zahŕňa výdavkové finančné operácie na splácanie úveru na vybudovanie kanalizácie.</t>
  </si>
  <si>
    <t>Podprogram zahŕňa výdavky na mzdy a odvody zamestnancov zabezpečujúcich  zber odpadu zo žúmp a septikov a súvisiace materiálne náklady. V rámci finančných operácií náklady na splácanie úveru na výstavbu kanalizácie a príspevky na činnosť LSS s.r.o.</t>
  </si>
  <si>
    <t xml:space="preserve">množstvo vyvezených a prečistených odpadových vôd </t>
  </si>
  <si>
    <t xml:space="preserve">počet domácností vyvážajúcich odpadové vody na ČOV </t>
  </si>
  <si>
    <t>Zabezpečiť zvoz odpadových vôd na ČOV.</t>
  </si>
  <si>
    <t>Počet domácností napojených na kanalizačnú sieť</t>
  </si>
  <si>
    <t>Napájanie domácností na kanalizačnú sieť.</t>
  </si>
  <si>
    <t>Podprogram 5.3</t>
  </si>
  <si>
    <t>Realizácia protipovodňových opatrení v obci Tekovské Lužany.</t>
  </si>
  <si>
    <t>Podprogram zahŕňa materiálové náklady na zabezpečenie protipovodňových opatrení a náklady na služby poskytované externým dodávateľom.</t>
  </si>
  <si>
    <t>Zabezpečiť protipovodňové opatrenia</t>
  </si>
  <si>
    <t>Počet chránených domácností</t>
  </si>
  <si>
    <t>Čistá a upravená obec s progresívnymi formami zberu a likvidácie odpadu s dôrazom na zachovanie a ochranu životného prostredia.</t>
  </si>
  <si>
    <t xml:space="preserve">Zámer programu:                                                                                                    </t>
  </si>
  <si>
    <t>Program 6</t>
  </si>
  <si>
    <t>Rozvíjajúca sa obec v súlade s požiadavkami obyvateľov.</t>
  </si>
  <si>
    <t>Program zahŕňa náklady na prípravu rozvojových dokumentov obce (územný plán, program hospodárskeho a sociálneho rozvoja), náklady na údržbu a rozširovanie verejného osvetlenia v obci.</t>
  </si>
  <si>
    <t>Podprogram 6.1</t>
  </si>
  <si>
    <t>Profesionálna príprava investičných zámerov obce.</t>
  </si>
  <si>
    <t xml:space="preserve">Podprogram zahŕňa náklady na prípravu rozvojových dokumentov obce - územný plán obce, program hospodárskeho a sociálneho rozvoja obce, príp. ich aktualizáciu. </t>
  </si>
  <si>
    <t>Aktualizácia územného plánu obce/PHSR obce</t>
  </si>
  <si>
    <t>Aktuálne rozvojové dokumenty obce</t>
  </si>
  <si>
    <t>Podprogram 6.2</t>
  </si>
  <si>
    <t>Efektívna prevádzka verejného osvetlenia v obci Tekovské Lužany.</t>
  </si>
  <si>
    <t>Podprogram zahŕňa náklady na prevádzku (energie) a údržbu (materiál) verejného osvetlenia. Od r. 2022 postupná modernizácia VO LED osvetlením.</t>
  </si>
  <si>
    <t>celková svietivosť svetelných bodov v %</t>
  </si>
  <si>
    <t>počet prevádzkovaných svetelných bodov v obci</t>
  </si>
  <si>
    <t>doba odstránenia poruchy od jej nahlásenia</t>
  </si>
  <si>
    <t>Zabezpečiť efektívnu prevádzku verejného osvetlenia.</t>
  </si>
  <si>
    <t>do 3 dní</t>
  </si>
  <si>
    <t>Program 7</t>
  </si>
  <si>
    <t>Zdravotná starostlivosť</t>
  </si>
  <si>
    <t>Zabezpečiť poskytovanie dostupnej zdravotnej starostlivosti v súlade s požiadavkami obyvateľov.</t>
  </si>
  <si>
    <t>Program zahŕňa náklady na aktivity a činnosti súvisiace s poskytovaním zdravotnej starostlivosti v obci – náklady na prevádzku zdravotného strediska (mzdové náklady, náklady na energie, materiálové náklady na údržbu). V roku 2023 sú rozpočtované náklady na realizáciu detského ihriska v areály CIZS.</t>
  </si>
  <si>
    <t>Podprogram 7.1</t>
  </si>
  <si>
    <t>Moderné a hospodárne zdravotné stredisko (CIZS) uspokojujúce nároky obyvateľov.</t>
  </si>
  <si>
    <t>Podprogram zahŕňa náklady na prevádzku zdravotného strediska (mzdové náklady, náklady na energie, materiálové náklady na údržbu).</t>
  </si>
  <si>
    <t>Počet poskytovaných zdravotných služieb</t>
  </si>
  <si>
    <t>Moderné zdravotné stredisko.</t>
  </si>
  <si>
    <t>Program 8</t>
  </si>
  <si>
    <t>Šport a kultúra</t>
  </si>
  <si>
    <t>Zámer programu:</t>
  </si>
  <si>
    <t>Rozsiahly výber športových a kultúrnych aktivít a infraštruktúry podľa dopytu, želaní a preferencií obyvateľov obce Tekovské Lužany.</t>
  </si>
  <si>
    <t>Komentár k programu:</t>
  </si>
  <si>
    <t>Program zahŕňa náklady na podporu kultúrnych a športových aktivít na území obce. Rozpočtované výdavky sú plánované na výdavky súvisiace so správou kultúrnych a športových podujatí (energie údržba – kultúrny dom, park, štadión, multifunkčné ihrisko); príspevky na činnosť kultúrnych a športových združení a mzdové náklady zamestnancov oddelenia kultúry.</t>
  </si>
  <si>
    <t>Podprogram 8.1</t>
  </si>
  <si>
    <t>Zámer podprogramu:</t>
  </si>
  <si>
    <t>Vhodné priestory pre športové aktivity.</t>
  </si>
  <si>
    <r>
      <rPr>
        <b/>
        <sz val="11"/>
        <rFont val="Calibri"/>
        <family val="2"/>
        <charset val="238"/>
        <scheme val="minor"/>
      </rPr>
      <t>Komentár k podprogramu:</t>
    </r>
    <r>
      <rPr>
        <sz val="10"/>
        <rFont val="Arial"/>
        <family val="2"/>
        <charset val="238"/>
      </rPr>
      <t xml:space="preserve">
Finančné prostriedky predstavujú plánované bežné výdavky určené na mzdy, platy a ostatné osobné vyrovnania, poistné a príspevky do poisťovní zamestnancov obecného úradu vrátane starostu a hlavného kontrolóra, odmeny poslancov obecného zastupiteľstva a členov odborných komisií; výdavky na tovary a služby: energie, materiál – všeobecný materiál, odbornú tlač, dopravné – palivá, všeobecné služby, audítorské služby, stravovanie zamestnancov, prídel do sociálneho fondu, školenia zamestnancov, poistenie majetku obce.</t>
    </r>
  </si>
  <si>
    <t>Podprogram zahŕňa výdavky na správu a údržbu športovísk na území obce (futbalový štadión, multifunkčné ihrisko, priestory stolnotenisového klubu) – energie, materiálové výdavky, príspevok na činnosť Telovýchovnej jednoty, STK, náklady na dopravu futbalového klubu, na rekreačné športové aktivity.</t>
  </si>
  <si>
    <t>Počet športovcov využívajúcich priestory na športovanie za rok</t>
  </si>
  <si>
    <t>Počet zorganizovaných športových podujatí za rok</t>
  </si>
  <si>
    <t>Zabezpečiť priestory pre aktívne športové vyžitie obyvateľov obce všetkých vekových kategórií.</t>
  </si>
  <si>
    <t>Podprogram 8.2</t>
  </si>
  <si>
    <t>Obec žijúca športom.</t>
  </si>
  <si>
    <t>Podprogram zahŕňa podporu rozvoja športu v obci formou dotácií športovým klubom a jednotlivcom reprezentujúcich našu obec (príspevok na činnosť Telovýchovnej jednoty, STK, RS).</t>
  </si>
  <si>
    <t>Počet podporených klubov a športových organizácií za rok</t>
  </si>
  <si>
    <t>Počet podporených športových podujatí za rok</t>
  </si>
  <si>
    <t>Zabezpečiť priestory pre aktívne športové vyžitie.</t>
  </si>
  <si>
    <t>Podprogram 8.3</t>
  </si>
  <si>
    <t>Podpora kultúrnych a spoločenských aktivít</t>
  </si>
  <si>
    <t>Atraktívne kultúrne a spoločenské aktivity pre každého.</t>
  </si>
  <si>
    <t xml:space="preserve">Podprogram zahŕňa podporu Miestneho kultúrneho strediska a ZPOZ, ktoré každoročne organizujú viaceré akcie v obci (Deň matiek, Mesiac úcty k starším, sobáše, občianske rozlúčky, uvítanie detí do života, adventné stretnutia, obecné slávnosti a pod.) Finančné prostriedky predstavujú mzdové náklady zamestnancov kultúrneho strediska, všeobecný materiál, služby, náklady členov ZPOZ. </t>
  </si>
  <si>
    <t>Kultúra prístupná pre každého</t>
  </si>
  <si>
    <t>Vedúca  miestneho kultúrneho strediska</t>
  </si>
  <si>
    <t>Komentár k aktivite:</t>
  </si>
  <si>
    <t>Aktivita zahŕňa podporu činnosti Miestneho kultúrneho strediska a náklady na prevádzku kultúrneho domu. Finančné prostriedky predstavujú mzdové náklady zamestnancov kultúrneho strediska, všeobecný materiál, služby, náklady na energie, údržbu objektov.</t>
  </si>
  <si>
    <t>Počet organizovaných podujatí za rok</t>
  </si>
  <si>
    <t>Počet účastníkov podujatí za rok</t>
  </si>
  <si>
    <t>Zabezpečiť kultúrne aktivity pre obyvateľov obce.</t>
  </si>
  <si>
    <t>Kniha prístupná pre každého</t>
  </si>
  <si>
    <t xml:space="preserve">Aktivita zahŕňa podporu činnosti miestnej knižnice. Finančné prostriedky predstavujú náklady na všeobecný materiál, náklady na dopĺňanie knižničného fondu a na služby (prenájom knižničného softvéru). </t>
  </si>
  <si>
    <t xml:space="preserve">počet nakúpených kníh za rok </t>
  </si>
  <si>
    <t xml:space="preserve">počet zorganizovaných podujatí za rok </t>
  </si>
  <si>
    <t xml:space="preserve">predpokladaný počet návštevníkov  za rok </t>
  </si>
  <si>
    <t xml:space="preserve">Zabezpečiť dostupnosť literatúry pre všetky vekové a sociálne vrstvy obyvateľstva </t>
  </si>
  <si>
    <t>Vypestovať vzťah  k literatúre u mladých čitateľov</t>
  </si>
  <si>
    <t xml:space="preserve">počet usporiadaných besied za rok </t>
  </si>
  <si>
    <t>Zorganizovať besedy so spisovateľmi pre školopovinné deti</t>
  </si>
  <si>
    <t>Aktivita č. 3</t>
  </si>
  <si>
    <t>Zabezpečiť dôstojnú organizáciu všetkých druhov občianskych obradov</t>
  </si>
  <si>
    <t>ZPOZ</t>
  </si>
  <si>
    <t>Aktivita zahŕňa podporu činnosti ZPOZ – materiálové zabezpečenie občianskych obradov. Financujú sa kvety, výdavky pri obradoch, náklady členov ZPOZ, vecné dary občanom.</t>
  </si>
  <si>
    <t>počet zrealizovaných občianskych obradov za rok</t>
  </si>
  <si>
    <t>Aktivita č. 4</t>
  </si>
  <si>
    <t>Zabezpečiť modernú komunikácia s obyvateľmi obce</t>
  </si>
  <si>
    <t xml:space="preserve">Aktivita zahŕňa financovania výroby a prezentácie televíznych dokumentov z aktivít realizovaných v obci. </t>
  </si>
  <si>
    <t>počet zrealizovaných dokumentov za rok</t>
  </si>
  <si>
    <t>Moderná komunikácia a prezentácia aktivít obce.</t>
  </si>
  <si>
    <t>Podprogram 8.4</t>
  </si>
  <si>
    <t>Kultúrne žijúca obec.</t>
  </si>
  <si>
    <t>Podprogram zahŕňa transfery na kultúrne akcie celoobecného významu.</t>
  </si>
  <si>
    <t>počet usporiadaných podujatí obecného charakteru za rok</t>
  </si>
  <si>
    <t xml:space="preserve">počet vystupujúcich súborov z partnerských obcí za rok </t>
  </si>
  <si>
    <t>Uspokojiť kultúrne potreby čo najväčšieho počtu obyvateľov každej vekovej a sociálnej vrstvy.</t>
  </si>
  <si>
    <t>Podprogram 8.5</t>
  </si>
  <si>
    <t>Tranfery občianskym združeniam</t>
  </si>
  <si>
    <t>Podporiť kultúrno – spoločenské aktivity mládeže a dospelých.</t>
  </si>
  <si>
    <t>Podprogram zahŕňa transfery pre cirkvi a občianske združenia na základe podaných žiadostí o podporu kultúry a športu na území obce. Rozpočtované finančné prostriedky závisia od možnosti rozpočtu obce.</t>
  </si>
  <si>
    <t>počet usporiadaných podujatí za rok</t>
  </si>
  <si>
    <t xml:space="preserve">počet podporených organizácií a združení za rok </t>
  </si>
  <si>
    <t>Podprogram 8.6</t>
  </si>
  <si>
    <t>Dôstojné miesto posledného odpočinku obyvateľov obce.</t>
  </si>
  <si>
    <t>Podprogram zahŕňa náklady na prevádzku domu smútku a služby za správu cintorínov.</t>
  </si>
  <si>
    <t>Počet pohrebov za rok</t>
  </si>
  <si>
    <t>Počet opodstatnených sťažností</t>
  </si>
  <si>
    <t>Upravený a čistý cintorín, funkčný dom smútku.</t>
  </si>
  <si>
    <t>Program 9</t>
  </si>
  <si>
    <t xml:space="preserve">Moderné školy a školské zariadenia rešpektujúce individuálne potreby a záujmy žiakov  </t>
  </si>
  <si>
    <t>Obec v rámci svojich prenesených a originálnych právomocí zabezpečuje činnosť škôl a školských zariadení vo svojej zriaďovateľskej pôsobnosti: ZŠ a ZŠ s VJM – Alapiskola, Komenského 37 a MŠ so ŠJ, Osloboditeľov 36, ktoré sú jej rozpočtovými organizáciami s právnou subjektivitou. Okrem toho zabezpečuje činnosť a prevádzku ŠJ Dunajská 4.</t>
  </si>
  <si>
    <t xml:space="preserve">Finančné prostriedky predstavujú presunuté FP zo štátneho rozpočtu v rámci normatívneho a nenormatívneho financovania, FP obce na zabezpečenie originálnych kompetencií obce vo vzťahu k školským zariadeniam (MŠ, ŠKD, ŠJ). </t>
  </si>
  <si>
    <t>Podprogram 9.1</t>
  </si>
  <si>
    <t>Kvalitné predškolské vzdelávanie rešpektujúce potreby detí a požiadavky rodičov</t>
  </si>
  <si>
    <t>Podprogram zahŕňa zabezpečenie predškolskej výchovy v zmysle vyhlášky MŠVVaŠ SR o predškolských zariadeniach v znení neskorších predpisov. Finančné prostriedky predstavujú plánované bežné výdavky na mzdy, platy a ostatné osobné vyrovnania, poistné a príspevky do poisťovní, stravu zamestnancov a výdavky na tovary a služby na zabezpečenie prevádzky materskej školy a školskej jedálne ako jej súčasti.</t>
  </si>
  <si>
    <t xml:space="preserve">počet detí v materskej škole </t>
  </si>
  <si>
    <t>Dosiahnuť čo najvyššiu kvalitu výchovných a vzdelávacích služieb v materskej škole</t>
  </si>
  <si>
    <t xml:space="preserve">percentuálny podiel kvalifikovaných zamestnancov   </t>
  </si>
  <si>
    <t>Zvýšiť kvalifikáciu zamestnancov v materských školách</t>
  </si>
  <si>
    <t>Podprogram 9.2</t>
  </si>
  <si>
    <t>Moderný vzdelávací systém orientujúci sa na potreby žiaka.</t>
  </si>
  <si>
    <t>Podprogram predstavuje zabezpečenie príjemného a kvalitného prostredia pre žiakov základných škôl v súlade s platnou právnou legislatívou.</t>
  </si>
  <si>
    <t>Finančné prostriedky majú základné školy rozpočtované osobitne vo svojom rozpočte a predstavujú bežné výdavky na mzdy, platy a ostatné osobné vyrovnania, poistné a príspevky do poisťovní a tovary a služby na zabezpečenie prevádzky základných škôl. Školy hospodária s prostriedkami zo štátneho rozpočtu prostredníctvom transferov, z príspevkov obce a z vlastných príjmov.</t>
  </si>
  <si>
    <t>počet žiakov navštevujúcich základnú školu</t>
  </si>
  <si>
    <t>Zabezpečiť kvalitný výchovno-vzdelávací proces</t>
  </si>
  <si>
    <t>percento žiakov, ktorí dosiahli prospech „prospel“ zo všetkých žiakov ZŠ</t>
  </si>
  <si>
    <t xml:space="preserve">počet žiakov s najvyšším umiestnením v krajských  predmet. olympiádach a súťažiach  </t>
  </si>
  <si>
    <t>počet žiakov opakujúcich ročník</t>
  </si>
  <si>
    <t>Zvýšiť úroveň vzdelania pre žiakov navštevujúcich ZŠ.</t>
  </si>
  <si>
    <t>Podprogram 9.3</t>
  </si>
  <si>
    <t>Dostupné a kvalitné stravovanie.</t>
  </si>
  <si>
    <t>Podprogram predstavuje zabezpečenie školské stravovanie pre žiakov základných škôl v súlade s platnou právnou legislatívou.</t>
  </si>
  <si>
    <t xml:space="preserve">Finančné prostriedky predstavujú bežné výdavky na mzdy, platy a ostatné osobné vyrovnania, poistné a príspevky do poisťovní a tovary a služby na zabezpečenie prevádzky školskej jedálne. </t>
  </si>
  <si>
    <t xml:space="preserve">počet vydaných hlavných jedál pri ZŠ za rok </t>
  </si>
  <si>
    <t xml:space="preserve">% podiel stravujúcich sa žiakov z celkového počtu žiakov na ZŠ </t>
  </si>
  <si>
    <t xml:space="preserve">Zabezpečiť kvalitné a dostupné stravovanie </t>
  </si>
  <si>
    <r>
      <t xml:space="preserve">Zvýšiť atraktívnosť stravovania </t>
    </r>
    <r>
      <rPr>
        <sz val="10"/>
        <color rgb="FF000000"/>
        <rFont val="Calibri"/>
        <family val="2"/>
        <charset val="238"/>
        <scheme val="minor"/>
      </rPr>
      <t xml:space="preserve">v školských zariadeniach </t>
    </r>
  </si>
  <si>
    <t>Podprogram 9.4</t>
  </si>
  <si>
    <t>Podpora voľnočasových a vzdelávacích aktivít detí a mládeže.</t>
  </si>
  <si>
    <t>Podprogram predstavuje dotáciu pre súkromné centrum voľného času zriadené v obci pre zabezpečenie voľnočasových a vzdelávacích aktivít pre žiakov základných škôl  v súlade s platnou právnou legislatívou.</t>
  </si>
  <si>
    <t xml:space="preserve">Finančné prostriedky predstavujú bežné výdavky na mzdy, platy a ostatné osobné vyrovnania, poistné a príspevky do poisťovní a tovary a tovary a služby na zabezpečenie prevádzky CVČ. </t>
  </si>
  <si>
    <t xml:space="preserve">počet detí registrovaných v CVČ </t>
  </si>
  <si>
    <t>Zabezpečiť kvalitné a obohacujúce voľnočasové aktivity</t>
  </si>
  <si>
    <t>Program 10</t>
  </si>
  <si>
    <t>Sociálne služby</t>
  </si>
  <si>
    <r>
      <rPr>
        <b/>
        <sz val="12"/>
        <rFont val="Calibri"/>
        <family val="2"/>
        <charset val="238"/>
        <scheme val="minor"/>
      </rPr>
      <t xml:space="preserve">Zámer programu: </t>
    </r>
    <r>
      <rPr>
        <b/>
        <sz val="14"/>
        <rFont val="Calibri"/>
        <family val="2"/>
        <charset val="238"/>
        <scheme val="minor"/>
      </rPr>
      <t xml:space="preserve">    </t>
    </r>
  </si>
  <si>
    <t>Obec so sociálnymi službami na nadštandardnej úrovni</t>
  </si>
  <si>
    <t>Program predstavuje starostlivosť o obyvateľov obce odkázaných na sociálnu pomoc – pomoc obyvateľom v náhlej sociálnej a hmotnej núdzi, starostlivosť o seniorov, príspevky pre deti z rodín v hmotnej núdzi a náklady na prevádzku komunitného centra a terénnu sociálnu prácu.</t>
  </si>
  <si>
    <t>Podprogram 10.1</t>
  </si>
  <si>
    <t>Komplexná starostlivosť o dôchodcov.</t>
  </si>
  <si>
    <t>Podprogram predstavuje príspevky obce na stravovanie samostatne žijúcich dôchodcov, príspevok obce na vianočné poukážky.</t>
  </si>
  <si>
    <t>Výška príspevku na vianočnú poukážku</t>
  </si>
  <si>
    <t>Priemerný počet opatrovaných za rok</t>
  </si>
  <si>
    <t xml:space="preserve">priemerný ročný stav poberateľov služby za rok </t>
  </si>
  <si>
    <t>Zabezpečiť nákupné vianočné poukážky pre obyvateľov nad 62 rokov</t>
  </si>
  <si>
    <t>Zabezpečiť pomoc pri vykonávaní bežných životných úkonov a kontakt so spoločenským prostredím pre odkázaných občanov</t>
  </si>
  <si>
    <t>Zabezpečiť stravovanie pre samostatne žijúcich občanov poberajúcich starobný a invalidný dôchodok</t>
  </si>
  <si>
    <t>Podprogram 10.2</t>
  </si>
  <si>
    <t>Okamžitá pomoc občanom obce v hmotnej núdzi.</t>
  </si>
  <si>
    <t>Podprogram predstavuje príspevky pre občanov, ktorí sa bez vlastného pričinenia neočakávane ocitli v hmotnej núdzi na prekonanie vzniknutej situácie. Príspevky sa poskytujú vo forme nenávratného jedno rázového príspevku, vo forme návratného jedno rázového príspevku, vo forme príspevku na pohreb rodinného príslušníka.</t>
  </si>
  <si>
    <t>počet žiadateľov dávky za rok</t>
  </si>
  <si>
    <t xml:space="preserve">počet príjemcov dávky za rok </t>
  </si>
  <si>
    <t xml:space="preserve">predpokladaný počet pohrebov za rok </t>
  </si>
  <si>
    <t>Zabezpečiť finančnú podporu na zmiernenie hmotnej núdze obyvateľov obce</t>
  </si>
  <si>
    <t>Zabezpečiť dôstojné pochovanie občanov</t>
  </si>
  <si>
    <t>Podprogram 10.3</t>
  </si>
  <si>
    <t>Pomoc občanom obce v ťažkých životných situáciách, vzdelávacie a voľnočasové aktivity, sociálna pomoc a poradenstvo.</t>
  </si>
  <si>
    <t xml:space="preserve">Podprogram predstavuje náklady na činnosti a aktivity komunitného centra – mzdy, platy a ostatné osobné vyrovnania, odvody a príspevky do poisťovní za zamestnancov komunitného centra, náklady na materiál a réžiu. </t>
  </si>
  <si>
    <t>Priemerný počet komunitných pracovníkov za rok</t>
  </si>
  <si>
    <t>Priemerný počet klientov komunitného centra za rok</t>
  </si>
  <si>
    <t>Odborné personálne zabezpečenie komunitného centra</t>
  </si>
  <si>
    <t>Podprogram 10.4</t>
  </si>
  <si>
    <t>Pomoc občanom obce v neočakávaných životných situáciách vykonávaním terénnej sociálnej práce v obci.</t>
  </si>
  <si>
    <t xml:space="preserve">Podprogram predstavuje náklady na činnosti a aktivity v rámci NP TSP – mzdy, platy a ostatné osobné vyrovnania, odvody a príspevky do poisťovní za terénnych sociálnych pracovníkov, náklady na materiál a réžiu. </t>
  </si>
  <si>
    <t>Priemerný počet TSP za rok</t>
  </si>
  <si>
    <t>Priemerný počet klientov TSP za rok</t>
  </si>
  <si>
    <t>Odborné personálne zabezpečenie terénnej sociálnej práce</t>
  </si>
  <si>
    <t>Podprogram 10.5</t>
  </si>
  <si>
    <t>Plnohodnotný život pre deti zo sociálne slabších rodín.</t>
  </si>
  <si>
    <t>Podprogram predstavuje pre deti zo sociálne slabších rodín. Príspevky sa poskytujú vo forme príspevku na stravovanie detí v hmotnej núdzi a vo forme vykonávania osobitného príjemcu príspevkov na dieťa. Rozpočtované sú aj dotácie sociálne a humanitárne účely.</t>
  </si>
  <si>
    <t xml:space="preserve">počet detí poberajúcich dotáciu na stravu  </t>
  </si>
  <si>
    <t>Počet prípadov osobitného príjemcu</t>
  </si>
  <si>
    <t>Koordinovať spoluprácu medzi Úradom práce, sociálnych vecí a rodiny a základnými školami a predškolskými zariadeniami .</t>
  </si>
  <si>
    <t>NA ROKY 2025 - 2027</t>
  </si>
  <si>
    <t>PROGRAMOVÝ ROZPOČET OBCE TEKOVSKÉ LUŽANY</t>
  </si>
  <si>
    <t>Zverejnenie návrhu rozpočtu podľa § 6 ods. 3 zák.č. 369/1990 Zb.</t>
  </si>
  <si>
    <t>Prerokovanie návrhu rozpočtu na zasadnutí obecného zastupiteľstva</t>
  </si>
  <si>
    <t>Schválenie rozpočtu uznesením číslo</t>
  </si>
  <si>
    <t>Zverejnenie rozpočtu podľa § 6 ods. 8 zák.č. 369/1990 Zb.</t>
  </si>
  <si>
    <t>Dátum účinnosti</t>
  </si>
  <si>
    <t xml:space="preserve">Programový rozpočet Obce Tekovské Lužany </t>
  </si>
  <si>
    <t>na roky 2025 - 2027</t>
  </si>
  <si>
    <t>Programový rozpočet Obce Tekovské Lužany  na roky 2025 - 2027 je zostavený v súlade s nasledovnými právnymi normami:</t>
  </si>
  <si>
    <t>Východiská pre prípravu rozpočtu obce Tekovské Lužany na rok 2025</t>
  </si>
  <si>
    <t xml:space="preserve">Pri tvorbe rozpočtu na rok 2025 a v procese svojho rozpočtového hospodárenia v roku 2025 musí obec zohľadňovať platné resp. navrhované znenia nasledovných dokumentov a legislatívnych noriem: </t>
  </si>
  <si>
    <t>Programový rozpočet Obce Tekovské Lužany na rok 2025</t>
  </si>
  <si>
    <t xml:space="preserve">Návrh Programového rozpočtu Obce Tekovské Lužany  na rok 2025 je zostavený na základe požiadaviek komisií a organizácií obce vychádzajúcich z potrieb obyvateľov obce a zo strategických dokumentov obce.  </t>
  </si>
  <si>
    <r>
      <t xml:space="preserve">Návrh rozpočtu je zostavený ako programový t.j. zdôrazňujúci vzťah medzi rozpočtovými výdavkami a očakávanými výstupmi a výsledkami realizovaných rozpočtových programov a aktivít. Pre roky 2025 - 2027 je rozpočtovaných </t>
    </r>
    <r>
      <rPr>
        <b/>
        <sz val="12"/>
        <rFont val="Calibri"/>
        <family val="2"/>
        <charset val="238"/>
      </rPr>
      <t xml:space="preserve">10 programov </t>
    </r>
    <r>
      <rPr>
        <sz val="12"/>
        <rFont val="Calibri"/>
        <family val="2"/>
        <charset val="238"/>
      </rPr>
      <t xml:space="preserve"> a </t>
    </r>
    <r>
      <rPr>
        <b/>
        <sz val="12"/>
        <rFont val="Calibri"/>
        <family val="2"/>
        <charset val="238"/>
      </rPr>
      <t>33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podprogramov</t>
    </r>
    <r>
      <rPr>
        <sz val="12"/>
        <rFont val="Calibri"/>
        <family val="2"/>
        <charset val="238"/>
      </rPr>
      <t xml:space="preserve">  slúžiacich k plneniu zámerov jednotlivých programov.</t>
    </r>
  </si>
  <si>
    <t xml:space="preserve">Príjmová časť návrhu rozpočtu nepočíta s úpravou sadzieb dane z nehnuteľností pre rok 2025, počíta  s úpravou poplatku za komunálny odpad a drobný stavebný odpad v zmysle novelizovaného VZN o miestnych daniach a poplatku za komunálne odpady a drobné stavebné odpady zohľadňujúci množstevný zber odpadu a pripravovanú povinnosť mechanicko -biologickej úpravy odpadov pred ich uložením na skládku odpadov. </t>
  </si>
  <si>
    <t>V súlade splatnou právnou úpravou je súčasťou rozpočtu podrobné rozpočtovanie príjmov (normatívnych, nenormatívnych a vlastných) ako aj výdavkov základných škôl a materskej školy.</t>
  </si>
  <si>
    <r>
      <t>Rozpočet na roky 2026 a 2027 nie je v zmysle § 9 ods.3 zákona č.583/2004 Z.z. o rozpočtových pravidlách územnej samosprávy a o zmene a doplnení niektorých zákonov v znení neskorších predpisov záväzný.</t>
    </r>
    <r>
      <rPr>
        <b/>
        <sz val="12"/>
        <rFont val="Calibri"/>
        <family val="2"/>
        <charset val="238"/>
      </rPr>
      <t xml:space="preserve">         </t>
    </r>
  </si>
  <si>
    <t>Úvod</t>
  </si>
  <si>
    <t>Hlavným cieľom zavedenia programového rozpočtovania v obci Tekovské Lužany je snaha o maximalizovanie transparentnosti pri nakladaní s verejnými zdrojmi obce a prezentovanie zámerov a vybraných cieľov samosprávy, ktoré sú základom pre tvorbu rozpočtu a rozdeľovanie verejných zdrojov. Pri vypracovávaní programového rozpočtu v tomto i v nasledujúcich rokoch sa obec bude snažiť prezentovať nielen výdavky, ktoré súvisia s činnosťou obce, ale aj ciele, ktoré chce napĺňať a súčasne s nimi aj merateľné ukazovatele, ktoré najlepším spôsobom umožnia identifikovať čo obec v danom roku plánuje realizovať a ako chce zlepšovať služby pre obyvateľov obce.</t>
  </si>
  <si>
    <t>V programovom rozpočte na roky 2025 – 2027 sú výdavky obce Tekovské Lužany alokované do 10 programov:</t>
  </si>
  <si>
    <t>Program 1  : Plánovanie, manažment a kontrola</t>
  </si>
  <si>
    <t>Program 2  : Ochrana obyvateľstva</t>
  </si>
  <si>
    <t>Program 3  : Bezpečnosť, právo a poriadok</t>
  </si>
  <si>
    <t>Program 4  : Prostredie pre život</t>
  </si>
  <si>
    <t>Program 5  : Odpadové hospodárstvo</t>
  </si>
  <si>
    <t>Program 6  : Občianska vybavenosť</t>
  </si>
  <si>
    <t>Program 7  : Zdravotná starostlivosť</t>
  </si>
  <si>
    <t>Program 8  : Šport a kultúra</t>
  </si>
  <si>
    <t>Program 9  : Vzdelávanie</t>
  </si>
  <si>
    <t>Program 10: Sociálne služby</t>
  </si>
  <si>
    <t>Každý program predstavuje rozpočet obce pre danú oblasť, ktorý má definovaný zámer, vyjadrujúci želaný dlhodobý dôsledok plnenia príslušných cieľov, ktoré si samospráva stanovila.</t>
  </si>
  <si>
    <t>Programy a ich časti obsahujú konkrétne merateľné ciele, ktoré prezentujú plánované výstupy a výsledky práce obce a obecných organizácií v nasledujúcich troch rokoch.</t>
  </si>
  <si>
    <t>Programový rozpočet obce Tekovské Lužany sa opiera o aktuálny PHSR obce Tekovské Lužany, ktorý prezentuje víziu obce, jeho poslanie a hodnoty a súčasne strednodobé strategické ciele.</t>
  </si>
  <si>
    <t>Programový rozpočet obce Tekovské Lužany bude podliehať pravidelnému monitorovaniu a hodnoteniu, prostredníctvom ktorého je možné sledovať nielen vývoj finančného plnenia rozpočtu, ale aj programového plnenia rozpočtu, čo znamená sledovať účinnosť plnenia deklarovaných cieľov.</t>
  </si>
  <si>
    <t>Výsledky plnenia rozpočtu budú prezentované prostredníctvom monitorovacích správ a záverečného účtu obce a budú verejne dostupné na úradnej tabuli obce a na internetovej stránke obce.</t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</si>
  <si>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 xml:space="preserve">so zákonom č. 583/2004 Z.z. o rozpočtových pravidlách územnej samosprávy a o zmene a doplnení niektorých zákonov v znení neskorších predpisov, </t>
    </r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</si>
  <si>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 xml:space="preserve">so zákonom č. 523/2004 Z.z. o rozpočtových pravidlách verejnej správy a o zmene a doplnení niektorých zákonov v znení neskorších predpisov, </t>
    </r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</si>
  <si>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>so zákonom č. 564/2004 Z.z. o rozpočtovom určení výnosu dane z príjmov územnej samospráve a o zmene a doplnení niektorých zákonov v znení neskorších predpisov,</t>
    </r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</si>
  <si>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 xml:space="preserve">so zákonom č. 369/1990 Zb. o obecnom zriadení v znení neskorších predpisov, </t>
    </r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</si>
  <si>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>s nariadením vlády č. 668/2004 Z.z. o rozdeľovaní a poukazovaní výnosu dane z príjmov územnej samospráve,</t>
    </r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</si>
  <si>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>so zákonom č. 582/2004 Z.z. o miestnych daniach a miestnom poplatku za komunálne odpady a drobné stavebné odpady v znení neskorších predpisov,</t>
    </r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</si>
  <si>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>so zákonom č. 597/2003 Z.z. o financovaní základných škôl, stredných škôl a školských zariadení v znení neskorších predpisov,</t>
    </r>
  </si>
  <si>
    <r>
      <t>·</t>
    </r>
    <r>
      <rPr>
        <sz val="7"/>
        <rFont val="Calibri"/>
        <family val="2"/>
        <charset val="238"/>
      </rPr>
      <t xml:space="preserve">         </t>
    </r>
    <r>
      <rPr>
        <sz val="12"/>
        <rFont val="Calibri"/>
        <family val="2"/>
        <charset val="238"/>
      </rPr>
      <t>s opatrením MF SR č. MF/010175/2004-42 zo dňa 8.12.2004 v znení neskorších predpisov, ktorým sa ustanovuje druhová klasifikácia, organizačná klasifikácia a ekonomická klasifikácia rozpočtovej klasifikácie.</t>
    </r>
  </si>
  <si>
    <t>*Návrh rozpočtu verejnej správy na roky 2025 – 2027, ktorého súčasťou je aj rozpočet obcí na rok 2025</t>
  </si>
  <si>
    <t xml:space="preserve">*Návrh zákona o štátnom rozpočte na rok 2025  </t>
  </si>
  <si>
    <t>*Novela zákona č. 583/2004 Z. z. o rozpočtových pravidlách územnej samosprávy</t>
  </si>
  <si>
    <t xml:space="preserve">*Ústavný zákon č. 493/2011 Z. z. o rozpočtovej zodpovednosti </t>
  </si>
  <si>
    <t xml:space="preserve">*Novela zákona č. 582/2004 Z. z. o miestnych daniach a miestnom poplatku </t>
  </si>
  <si>
    <t>*Novela zákona č. 564/2004 Z. z. o rozdeľovaní výnosu dane z príjmov územnej samospráve</t>
  </si>
  <si>
    <t xml:space="preserve">*Kolektívna zmluva vyššieho stupňa na rok 2025 a s ňou súvisiace zmeny v legislatívnych normách. </t>
  </si>
  <si>
    <t>*Nariadenie vlády SR č. 668/2004 Z. z. o rozdeľovaní výnosu dane z príjmov územnej samospráve</t>
  </si>
  <si>
    <t>MIRRI - športová hala</t>
  </si>
  <si>
    <t>Viacúčelová športová hala</t>
  </si>
  <si>
    <t>V rámci kapitálových výdavkov sú rozpočtované náklady na výstavbu viacúčelovej športovej haly.</t>
  </si>
  <si>
    <t>z MF SR výpadok PFO</t>
  </si>
  <si>
    <t>11.11.2024 - 11.12.2024</t>
  </si>
  <si>
    <t>odvody za dec.2024</t>
  </si>
  <si>
    <t>mzdy  a odvody za dec. 2024</t>
  </si>
  <si>
    <t>služby z r.2024</t>
  </si>
  <si>
    <t>služby z r 2024</t>
  </si>
  <si>
    <t xml:space="preserve">príspevok na spoločný úrad </t>
  </si>
  <si>
    <t>v tom:</t>
  </si>
  <si>
    <t>ZŠ</t>
  </si>
  <si>
    <t>ZŠ VJM</t>
  </si>
  <si>
    <t>01 všeobecné verejné služby</t>
  </si>
  <si>
    <t>05 ochrana životného prostredia</t>
  </si>
  <si>
    <t>06 občianska vybavenosť</t>
  </si>
  <si>
    <t>09 vzdelávanie</t>
  </si>
  <si>
    <t>10 sociálne zabezpečenie</t>
  </si>
  <si>
    <t>kolumbárium</t>
  </si>
  <si>
    <t>V kapitálových výdavkoch sú rozpočtované náklady na výstavbu kolumbária.</t>
  </si>
  <si>
    <r>
      <t xml:space="preserve">Programový rozpočet Obce Tekovské Lužany  na rok 2025 je navrhnutý ako prebytkový s prebytkom v celkovej výške </t>
    </r>
    <r>
      <rPr>
        <b/>
        <sz val="12"/>
        <rFont val="Calibri"/>
        <family val="2"/>
        <charset val="238"/>
      </rPr>
      <t>6 229 €</t>
    </r>
    <r>
      <rPr>
        <sz val="12"/>
        <rFont val="Calibri"/>
        <family val="2"/>
        <charset val="238"/>
      </rPr>
      <t xml:space="preserve">. </t>
    </r>
  </si>
  <si>
    <r>
      <t>Bežný rozpočet je navrhovaný  so schodkom vo výške -</t>
    </r>
    <r>
      <rPr>
        <b/>
        <sz val="12"/>
        <rFont val="Calibri"/>
        <family val="2"/>
        <charset val="238"/>
      </rPr>
      <t>32 501</t>
    </r>
    <r>
      <rPr>
        <b/>
        <sz val="12"/>
        <color rgb="FFFF000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€</t>
    </r>
    <r>
      <rPr>
        <sz val="12"/>
        <rFont val="Calibri"/>
        <family val="2"/>
        <charset val="238"/>
      </rPr>
      <t xml:space="preserve">, kapitálový rozpočet je rozpočtovaný  s prebytkom vo výške </t>
    </r>
    <r>
      <rPr>
        <b/>
        <sz val="12"/>
        <rFont val="Calibri"/>
        <family val="2"/>
        <charset val="238"/>
      </rPr>
      <t>189 234 €</t>
    </r>
    <r>
      <rPr>
        <sz val="12"/>
        <rFont val="Calibri"/>
        <family val="2"/>
        <charset val="238"/>
      </rPr>
      <t xml:space="preserve">, finančné operácie sú rozpočtované so schodkom vo výške  </t>
    </r>
    <r>
      <rPr>
        <b/>
        <sz val="12"/>
        <rFont val="Calibri"/>
        <family val="2"/>
        <charset val="238"/>
      </rPr>
      <t>-150 504 €.</t>
    </r>
    <r>
      <rPr>
        <sz val="12"/>
        <rFont val="Calibri"/>
        <family val="2"/>
        <charset val="238"/>
      </rPr>
      <t xml:space="preserve"> Schodok rozpočtu finančných operácií je krytý prebytkom  kapitálového rozpočtu. </t>
    </r>
  </si>
  <si>
    <r>
      <rPr>
        <b/>
        <sz val="14"/>
        <rFont val="Calibri"/>
        <family val="2"/>
        <charset val="238"/>
        <scheme val="minor"/>
      </rPr>
      <t>Zámer programu:</t>
    </r>
    <r>
      <rPr>
        <sz val="11"/>
        <rFont val="Calibri"/>
        <family val="2"/>
        <charset val="238"/>
        <scheme val="minor"/>
      </rPr>
      <t xml:space="preserve">
Bezpečná a priateľská obec pre všetkých obyvateľov a návštevníkov obce.</t>
    </r>
  </si>
  <si>
    <t>273/2024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</si>
</sst>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_-* #,##0.00,_S_k_-;\-* #,##0.00,_S_k_-;_-* \-??\ _S_k_-;_-@_-"/>
    <numFmt numFmtId="166" formatCode="_-* #,##0.00&quot; €&quot;_-;\-* #,##0.00&quot; €&quot;_-;_-* \-??&quot; €&quot;_-;_-@_-"/>
    <numFmt numFmtId="167" formatCode="#,##0.0"/>
    <numFmt numFmtId="168" formatCode="0.0"/>
    <numFmt numFmtId="169" formatCode="#,##0;\-#,##0"/>
    <numFmt numFmtId="170" formatCode="#,##0.00;\-#,##0.00"/>
    <numFmt numFmtId="171" formatCode="_-* #,##0\ _S_k_-;\-* #,##0\ _S_k_-;_-* &quot;-&quot;??\ _S_k_-;_-@_-"/>
  </numFmts>
  <fonts count="16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CE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color indexed="10"/>
      <name val="Tahoma"/>
      <family val="2"/>
      <charset val="238"/>
    </font>
    <font>
      <b/>
      <sz val="12"/>
      <name val="Tahoma"/>
      <family val="2"/>
      <charset val="238"/>
    </font>
    <font>
      <b/>
      <sz val="12"/>
      <name val="Arial"/>
      <family val="2"/>
      <charset val="238"/>
    </font>
    <font>
      <sz val="12"/>
      <name val="Tahoma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i/>
      <sz val="12"/>
      <name val="Tahoma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b/>
      <i/>
      <sz val="11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i/>
      <sz val="11"/>
      <name val="Arial"/>
      <family val="2"/>
      <charset val="238"/>
    </font>
    <font>
      <i/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color indexed="12"/>
      <name val="Arial CE"/>
      <family val="2"/>
      <charset val="238"/>
    </font>
    <font>
      <sz val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48"/>
      <name val="Arial CE"/>
      <family val="2"/>
      <charset val="238"/>
    </font>
    <font>
      <b/>
      <sz val="8"/>
      <color indexed="57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8"/>
      <color indexed="57"/>
      <name val="Arial CE"/>
      <family val="2"/>
      <charset val="238"/>
    </font>
    <font>
      <b/>
      <i/>
      <sz val="10"/>
      <color indexed="57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10"/>
      <color indexed="12"/>
      <name val="Arial CE"/>
      <family val="2"/>
      <charset val="238"/>
    </font>
    <font>
      <i/>
      <sz val="8"/>
      <color indexed="48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color indexed="30"/>
      <name val="Arial CE"/>
      <family val="2"/>
      <charset val="238"/>
    </font>
    <font>
      <sz val="8"/>
      <color indexed="62"/>
      <name val="Arial CE"/>
      <charset val="238"/>
    </font>
    <font>
      <sz val="8"/>
      <color indexed="56"/>
      <name val="Arial CE"/>
      <family val="2"/>
      <charset val="238"/>
    </font>
    <font>
      <sz val="8"/>
      <color indexed="56"/>
      <name val="Arial CE"/>
      <charset val="238"/>
    </font>
    <font>
      <sz val="8"/>
      <color indexed="12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8"/>
      <color indexed="12"/>
      <name val="Arial CE"/>
      <charset val="238"/>
    </font>
    <font>
      <i/>
      <sz val="9"/>
      <name val="Arial CE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8"/>
      <color indexed="30"/>
      <name val="Arial CE"/>
      <family val="2"/>
      <charset val="238"/>
    </font>
    <font>
      <b/>
      <sz val="8"/>
      <color indexed="17"/>
      <name val="Arial CE"/>
      <charset val="238"/>
    </font>
    <font>
      <b/>
      <i/>
      <sz val="8"/>
      <color indexed="17"/>
      <name val="Arial CE"/>
      <charset val="238"/>
    </font>
    <font>
      <sz val="8"/>
      <color indexed="30"/>
      <name val="Arial CE"/>
      <charset val="238"/>
    </font>
    <font>
      <b/>
      <sz val="8"/>
      <color indexed="30"/>
      <name val="Arial CE"/>
      <charset val="238"/>
    </font>
    <font>
      <b/>
      <sz val="8"/>
      <color indexed="17"/>
      <name val="Arial"/>
      <family val="2"/>
      <charset val="238"/>
    </font>
    <font>
      <sz val="8"/>
      <color indexed="12"/>
      <name val="Arial CE"/>
      <family val="2"/>
      <charset val="238"/>
    </font>
    <font>
      <b/>
      <sz val="8"/>
      <color indexed="17"/>
      <name val="Arial CE"/>
      <charset val="238"/>
    </font>
    <font>
      <b/>
      <sz val="8"/>
      <color indexed="17"/>
      <name val="Arial CE"/>
      <family val="2"/>
      <charset val="238"/>
    </font>
    <font>
      <b/>
      <sz val="9"/>
      <color indexed="3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30"/>
      <name val="Arial CE"/>
      <charset val="238"/>
    </font>
    <font>
      <b/>
      <sz val="8"/>
      <color indexed="17"/>
      <name val="Arial"/>
      <family val="2"/>
      <charset val="238"/>
    </font>
    <font>
      <sz val="8"/>
      <color indexed="30"/>
      <name val="Arial CE"/>
      <family val="2"/>
      <charset val="238"/>
    </font>
    <font>
      <sz val="8"/>
      <color indexed="30"/>
      <name val="Arial"/>
      <family val="2"/>
      <charset val="238"/>
    </font>
    <font>
      <i/>
      <sz val="8"/>
      <color indexed="12"/>
      <name val="Arial CE"/>
      <charset val="238"/>
    </font>
    <font>
      <b/>
      <sz val="8"/>
      <color indexed="10"/>
      <name val="Arial CE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color theme="7" tint="-0.249977111117893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i/>
      <sz val="9"/>
      <name val="Arial CE"/>
      <charset val="238"/>
    </font>
    <font>
      <sz val="8"/>
      <color rgb="FF002060"/>
      <name val="Arial"/>
      <family val="2"/>
      <charset val="238"/>
    </font>
    <font>
      <sz val="8"/>
      <color theme="7" tint="-0.249977111117893"/>
      <name val="Arial CE"/>
      <charset val="238"/>
    </font>
    <font>
      <sz val="8"/>
      <color theme="7" tint="-0.249977111117893"/>
      <name val="Arial CE"/>
      <family val="2"/>
      <charset val="238"/>
    </font>
    <font>
      <sz val="10"/>
      <color theme="7" tint="-0.249977111117893"/>
      <name val="Arial CE"/>
      <family val="2"/>
      <charset val="238"/>
    </font>
    <font>
      <i/>
      <sz val="10"/>
      <color theme="7" tint="-0.249977111117893"/>
      <name val="Arial CE"/>
      <family val="2"/>
      <charset val="238"/>
    </font>
    <font>
      <sz val="8"/>
      <color theme="8" tint="-0.249977111117893"/>
      <name val="Arial"/>
      <family val="2"/>
      <charset val="238"/>
    </font>
    <font>
      <sz val="7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8"/>
      <color theme="6" tint="-0.499984740745262"/>
      <name val="Arial CE"/>
      <family val="2"/>
      <charset val="238"/>
    </font>
    <font>
      <sz val="8"/>
      <color rgb="FF0070C0"/>
      <name val="Arial CE"/>
      <family val="2"/>
      <charset val="238"/>
    </font>
    <font>
      <sz val="8"/>
      <color rgb="FF0070C0"/>
      <name val="Arial CE"/>
      <charset val="238"/>
    </font>
    <font>
      <i/>
      <sz val="8"/>
      <color rgb="FF0070C0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Wingdings"/>
      <charset val="2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7"/>
      <name val="Calibri"/>
      <family val="2"/>
      <charset val="238"/>
    </font>
    <font>
      <sz val="10"/>
      <name val="Calibri"/>
      <family val="2"/>
      <charset val="238"/>
    </font>
    <font>
      <sz val="8"/>
      <color rgb="FFFF0000"/>
      <name val="Arial CE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50"/>
        <bgColor indexed="22"/>
      </patternFill>
    </fill>
    <fill>
      <patternFill patternType="solid">
        <fgColor indexed="4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theme="4" tint="0.39997558519241921"/>
        <bgColor indexed="2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FFCC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22"/>
      </patternFill>
    </fill>
    <fill>
      <patternFill patternType="solid">
        <fgColor rgb="FFCCFFCC"/>
        <bgColor indexed="29"/>
      </patternFill>
    </fill>
    <fill>
      <patternFill patternType="solid">
        <fgColor rgb="FFFFCC99"/>
        <bgColor indexed="2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</fills>
  <borders count="2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31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6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164" fontId="1" fillId="0" borderId="0" applyFill="0" applyBorder="0" applyAlignment="0" applyProtection="0"/>
    <xf numFmtId="165" fontId="6" fillId="0" borderId="0" applyFill="0" applyAlignment="0" applyProtection="0"/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2" fillId="24" borderId="5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6" fontId="82" fillId="0" borderId="0" applyFill="0" applyBorder="0" applyAlignment="0" applyProtection="0"/>
    <xf numFmtId="0" fontId="15" fillId="0" borderId="7" applyNumberFormat="0" applyFill="0" applyAlignment="0" applyProtection="0"/>
    <xf numFmtId="0" fontId="16" fillId="0" borderId="3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" fillId="0" borderId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82" fillId="9" borderId="9" applyNumberFormat="0" applyAlignment="0" applyProtection="0"/>
    <xf numFmtId="0" fontId="14" fillId="0" borderId="6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3" fillId="7" borderId="1" applyNumberFormat="0" applyAlignment="0" applyProtection="0"/>
    <xf numFmtId="0" fontId="5" fillId="14" borderId="1" applyNumberFormat="0" applyAlignment="0" applyProtection="0"/>
    <xf numFmtId="0" fontId="19" fillId="14" borderId="10" applyNumberFormat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</cellStyleXfs>
  <cellXfs count="24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right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49" fontId="0" fillId="0" borderId="0" xfId="0" applyNumberFormat="1" applyAlignment="1">
      <alignment horizontal="right"/>
    </xf>
    <xf numFmtId="0" fontId="29" fillId="0" borderId="0" xfId="0" applyFont="1" applyBorder="1"/>
    <xf numFmtId="3" fontId="30" fillId="0" borderId="0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center"/>
    </xf>
    <xf numFmtId="0" fontId="29" fillId="0" borderId="0" xfId="0" applyFont="1"/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6" fillId="0" borderId="0" xfId="569" applyFont="1" applyBorder="1"/>
    <xf numFmtId="0" fontId="31" fillId="0" borderId="0" xfId="569" applyFont="1" applyBorder="1"/>
    <xf numFmtId="2" fontId="6" fillId="0" borderId="0" xfId="569" applyNumberFormat="1" applyFont="1" applyBorder="1" applyAlignment="1">
      <alignment horizontal="center"/>
    </xf>
    <xf numFmtId="3" fontId="6" fillId="0" borderId="0" xfId="569" applyNumberFormat="1" applyFont="1" applyBorder="1"/>
    <xf numFmtId="0" fontId="6" fillId="0" borderId="0" xfId="569" applyFont="1" applyFill="1" applyBorder="1"/>
    <xf numFmtId="4" fontId="6" fillId="0" borderId="0" xfId="569" applyNumberFormat="1" applyFont="1" applyFill="1" applyBorder="1"/>
    <xf numFmtId="0" fontId="32" fillId="0" borderId="0" xfId="569" applyFont="1" applyFill="1" applyBorder="1" applyAlignment="1"/>
    <xf numFmtId="0" fontId="32" fillId="0" borderId="0" xfId="569" applyFont="1" applyBorder="1" applyAlignment="1">
      <alignment horizontal="center"/>
    </xf>
    <xf numFmtId="0" fontId="31" fillId="0" borderId="0" xfId="569" applyFont="1" applyBorder="1" applyAlignment="1">
      <alignment horizontal="center"/>
    </xf>
    <xf numFmtId="2" fontId="32" fillId="0" borderId="0" xfId="569" applyNumberFormat="1" applyFont="1" applyFill="1" applyBorder="1" applyAlignment="1"/>
    <xf numFmtId="2" fontId="32" fillId="0" borderId="0" xfId="569" applyNumberFormat="1" applyFont="1" applyFill="1" applyBorder="1" applyAlignment="1">
      <alignment horizontal="center"/>
    </xf>
    <xf numFmtId="3" fontId="32" fillId="0" borderId="0" xfId="569" applyNumberFormat="1" applyFont="1" applyFill="1" applyBorder="1" applyAlignment="1">
      <alignment horizontal="center"/>
    </xf>
    <xf numFmtId="4" fontId="32" fillId="0" borderId="0" xfId="569" applyNumberFormat="1" applyFont="1" applyFill="1" applyBorder="1" applyAlignment="1">
      <alignment horizontal="center"/>
    </xf>
    <xf numFmtId="2" fontId="31" fillId="0" borderId="0" xfId="569" applyNumberFormat="1" applyFont="1" applyFill="1" applyBorder="1" applyAlignment="1">
      <alignment horizontal="justify" vertical="center"/>
    </xf>
    <xf numFmtId="4" fontId="31" fillId="0" borderId="0" xfId="569" applyNumberFormat="1" applyFont="1" applyFill="1" applyBorder="1" applyAlignment="1">
      <alignment horizontal="justify" vertical="top"/>
    </xf>
    <xf numFmtId="4" fontId="35" fillId="0" borderId="0" xfId="569" applyNumberFormat="1" applyFont="1" applyFill="1" applyBorder="1" applyAlignment="1">
      <alignment horizontal="right" vertical="top"/>
    </xf>
    <xf numFmtId="4" fontId="35" fillId="0" borderId="0" xfId="569" applyNumberFormat="1" applyFont="1" applyFill="1" applyBorder="1" applyAlignment="1">
      <alignment horizontal="center" vertical="top"/>
    </xf>
    <xf numFmtId="0" fontId="33" fillId="0" borderId="0" xfId="569" applyFont="1" applyBorder="1"/>
    <xf numFmtId="4" fontId="37" fillId="0" borderId="0" xfId="569" applyNumberFormat="1" applyFont="1" applyFill="1" applyBorder="1" applyAlignment="1">
      <alignment horizontal="right"/>
    </xf>
    <xf numFmtId="4" fontId="37" fillId="0" borderId="0" xfId="569" applyNumberFormat="1" applyFont="1" applyFill="1" applyBorder="1" applyAlignment="1">
      <alignment horizontal="center"/>
    </xf>
    <xf numFmtId="0" fontId="6" fillId="0" borderId="0" xfId="569" applyFill="1" applyBorder="1"/>
    <xf numFmtId="4" fontId="36" fillId="0" borderId="0" xfId="569" applyNumberFormat="1" applyFont="1" applyFill="1" applyBorder="1" applyAlignment="1">
      <alignment horizontal="right"/>
    </xf>
    <xf numFmtId="4" fontId="36" fillId="0" borderId="0" xfId="569" applyNumberFormat="1" applyFont="1" applyFill="1" applyBorder="1" applyAlignment="1">
      <alignment horizontal="center"/>
    </xf>
    <xf numFmtId="4" fontId="38" fillId="0" borderId="0" xfId="569" applyNumberFormat="1" applyFont="1" applyFill="1" applyBorder="1" applyAlignment="1">
      <alignment horizontal="left"/>
    </xf>
    <xf numFmtId="4" fontId="39" fillId="0" borderId="0" xfId="569" applyNumberFormat="1" applyFont="1" applyBorder="1" applyAlignment="1">
      <alignment horizontal="left"/>
    </xf>
    <xf numFmtId="0" fontId="36" fillId="0" borderId="0" xfId="569" applyFont="1" applyBorder="1"/>
    <xf numFmtId="3" fontId="36" fillId="0" borderId="0" xfId="569" applyNumberFormat="1" applyFont="1" applyBorder="1"/>
    <xf numFmtId="3" fontId="36" fillId="0" borderId="0" xfId="569" applyNumberFormat="1" applyFont="1" applyBorder="1" applyAlignment="1">
      <alignment horizontal="center"/>
    </xf>
    <xf numFmtId="3" fontId="37" fillId="0" borderId="0" xfId="569" applyNumberFormat="1" applyFont="1" applyBorder="1"/>
    <xf numFmtId="4" fontId="36" fillId="0" borderId="0" xfId="569" applyNumberFormat="1" applyFont="1" applyBorder="1" applyAlignment="1">
      <alignment horizontal="center"/>
    </xf>
    <xf numFmtId="3" fontId="36" fillId="0" borderId="0" xfId="569" applyNumberFormat="1" applyFont="1" applyBorder="1" applyAlignment="1">
      <alignment horizontal="right"/>
    </xf>
    <xf numFmtId="4" fontId="35" fillId="0" borderId="0" xfId="569" applyNumberFormat="1" applyFont="1" applyFill="1" applyBorder="1" applyAlignment="1">
      <alignment horizontal="center"/>
    </xf>
    <xf numFmtId="0" fontId="33" fillId="0" borderId="0" xfId="569" applyFont="1" applyFill="1" applyBorder="1"/>
    <xf numFmtId="0" fontId="6" fillId="0" borderId="0" xfId="569" applyBorder="1"/>
    <xf numFmtId="0" fontId="36" fillId="0" borderId="0" xfId="569" applyFont="1" applyFill="1" applyBorder="1"/>
    <xf numFmtId="3" fontId="37" fillId="0" borderId="0" xfId="569" applyNumberFormat="1" applyFont="1" applyBorder="1" applyAlignment="1">
      <alignment horizontal="right"/>
    </xf>
    <xf numFmtId="2" fontId="36" fillId="0" borderId="0" xfId="569" applyNumberFormat="1" applyFont="1" applyBorder="1" applyAlignment="1">
      <alignment horizontal="center"/>
    </xf>
    <xf numFmtId="2" fontId="36" fillId="0" borderId="0" xfId="569" applyNumberFormat="1" applyFont="1" applyFill="1" applyBorder="1" applyAlignment="1">
      <alignment horizontal="center"/>
    </xf>
    <xf numFmtId="2" fontId="31" fillId="0" borderId="0" xfId="569" applyNumberFormat="1" applyFont="1" applyFill="1" applyBorder="1" applyAlignment="1">
      <alignment horizontal="center" vertical="center"/>
    </xf>
    <xf numFmtId="4" fontId="31" fillId="0" borderId="0" xfId="569" applyNumberFormat="1" applyFont="1" applyFill="1" applyBorder="1" applyAlignment="1">
      <alignment horizontal="center" vertical="top"/>
    </xf>
    <xf numFmtId="4" fontId="35" fillId="0" borderId="0" xfId="569" applyNumberFormat="1" applyFont="1" applyFill="1" applyBorder="1" applyAlignment="1">
      <alignment horizontal="right"/>
    </xf>
    <xf numFmtId="2" fontId="39" fillId="0" borderId="0" xfId="569" applyNumberFormat="1" applyFont="1" applyBorder="1" applyAlignment="1">
      <alignment horizontal="left"/>
    </xf>
    <xf numFmtId="3" fontId="36" fillId="0" borderId="0" xfId="569" applyNumberFormat="1" applyFont="1" applyFill="1" applyBorder="1"/>
    <xf numFmtId="3" fontId="37" fillId="0" borderId="0" xfId="569" applyNumberFormat="1" applyFont="1" applyFill="1" applyBorder="1"/>
    <xf numFmtId="1" fontId="36" fillId="0" borderId="0" xfId="569" applyNumberFormat="1" applyFont="1" applyFill="1" applyBorder="1" applyAlignment="1">
      <alignment horizontal="left"/>
    </xf>
    <xf numFmtId="1" fontId="36" fillId="0" borderId="0" xfId="569" applyNumberFormat="1" applyFont="1" applyFill="1" applyBorder="1" applyAlignment="1">
      <alignment horizontal="right"/>
    </xf>
    <xf numFmtId="2" fontId="41" fillId="0" borderId="0" xfId="569" applyNumberFormat="1" applyFont="1" applyBorder="1" applyAlignment="1">
      <alignment horizontal="left"/>
    </xf>
    <xf numFmtId="0" fontId="36" fillId="0" borderId="0" xfId="569" applyFont="1" applyBorder="1" applyAlignment="1"/>
    <xf numFmtId="3" fontId="36" fillId="0" borderId="0" xfId="569" applyNumberFormat="1" applyFont="1" applyFill="1" applyBorder="1" applyAlignment="1">
      <alignment horizontal="right"/>
    </xf>
    <xf numFmtId="3" fontId="37" fillId="0" borderId="0" xfId="569" applyNumberFormat="1" applyFont="1" applyFill="1" applyBorder="1" applyAlignment="1">
      <alignment horizontal="right"/>
    </xf>
    <xf numFmtId="3" fontId="32" fillId="4" borderId="0" xfId="569" applyNumberFormat="1" applyFont="1" applyFill="1" applyBorder="1" applyAlignment="1"/>
    <xf numFmtId="3" fontId="32" fillId="0" borderId="0" xfId="569" applyNumberFormat="1" applyFont="1" applyFill="1" applyBorder="1" applyAlignment="1"/>
    <xf numFmtId="3" fontId="34" fillId="0" borderId="0" xfId="569" applyNumberFormat="1" applyFont="1" applyFill="1" applyBorder="1" applyAlignment="1">
      <alignment horizontal="right" vertical="top"/>
    </xf>
    <xf numFmtId="3" fontId="34" fillId="0" borderId="0" xfId="569" applyNumberFormat="1" applyFont="1" applyFill="1" applyBorder="1" applyAlignment="1">
      <alignment horizontal="right"/>
    </xf>
    <xf numFmtId="3" fontId="34" fillId="0" borderId="0" xfId="569" applyNumberFormat="1" applyFont="1" applyFill="1" applyBorder="1"/>
    <xf numFmtId="3" fontId="33" fillId="0" borderId="0" xfId="569" applyNumberFormat="1" applyFont="1" applyFill="1" applyBorder="1" applyAlignment="1">
      <alignment horizontal="center"/>
    </xf>
    <xf numFmtId="3" fontId="6" fillId="0" borderId="0" xfId="569" applyNumberFormat="1" applyFont="1" applyFill="1" applyBorder="1"/>
    <xf numFmtId="2" fontId="39" fillId="0" borderId="0" xfId="569" applyNumberFormat="1" applyFont="1" applyFill="1" applyBorder="1" applyAlignment="1">
      <alignment horizontal="left"/>
    </xf>
    <xf numFmtId="4" fontId="6" fillId="0" borderId="0" xfId="569" applyNumberFormat="1" applyFont="1" applyFill="1" applyBorder="1" applyAlignment="1">
      <alignment horizontal="right"/>
    </xf>
    <xf numFmtId="3" fontId="6" fillId="0" borderId="0" xfId="569" applyNumberFormat="1" applyFont="1" applyFill="1" applyBorder="1" applyAlignment="1">
      <alignment horizontal="right"/>
    </xf>
    <xf numFmtId="4" fontId="36" fillId="0" borderId="0" xfId="569" applyNumberFormat="1" applyFont="1" applyFill="1" applyBorder="1"/>
    <xf numFmtId="1" fontId="35" fillId="0" borderId="0" xfId="569" applyNumberFormat="1" applyFont="1" applyFill="1" applyBorder="1" applyAlignment="1">
      <alignment horizontal="right"/>
    </xf>
    <xf numFmtId="4" fontId="35" fillId="0" borderId="0" xfId="569" applyNumberFormat="1" applyFont="1" applyFill="1" applyBorder="1"/>
    <xf numFmtId="0" fontId="36" fillId="0" borderId="0" xfId="569" applyFont="1" applyBorder="1" applyAlignment="1">
      <alignment horizontal="left"/>
    </xf>
    <xf numFmtId="0" fontId="6" fillId="0" borderId="0" xfId="569"/>
    <xf numFmtId="10" fontId="6" fillId="0" borderId="0" xfId="569" applyNumberFormat="1" applyFont="1" applyBorder="1"/>
    <xf numFmtId="4" fontId="36" fillId="0" borderId="0" xfId="569" applyNumberFormat="1" applyFont="1" applyBorder="1" applyAlignment="1">
      <alignment horizontal="right"/>
    </xf>
    <xf numFmtId="4" fontId="37" fillId="0" borderId="0" xfId="569" applyNumberFormat="1" applyFont="1" applyFill="1" applyBorder="1"/>
    <xf numFmtId="0" fontId="32" fillId="0" borderId="0" xfId="569" applyFont="1" applyFill="1" applyBorder="1"/>
    <xf numFmtId="0" fontId="31" fillId="4" borderId="0" xfId="569" applyFont="1" applyFill="1" applyBorder="1" applyAlignment="1"/>
    <xf numFmtId="0" fontId="31" fillId="0" borderId="0" xfId="569" applyFont="1" applyFill="1" applyBorder="1" applyAlignment="1"/>
    <xf numFmtId="0" fontId="37" fillId="0" borderId="0" xfId="569" applyFont="1" applyBorder="1" applyAlignment="1">
      <alignment horizontal="left"/>
    </xf>
    <xf numFmtId="0" fontId="31" fillId="0" borderId="0" xfId="569" applyFont="1" applyFill="1" applyBorder="1"/>
    <xf numFmtId="4" fontId="31" fillId="0" borderId="0" xfId="569" applyNumberFormat="1" applyFont="1" applyFill="1" applyBorder="1"/>
    <xf numFmtId="3" fontId="31" fillId="0" borderId="0" xfId="569" applyNumberFormat="1" applyFont="1" applyFill="1" applyBorder="1" applyAlignment="1">
      <alignment horizontal="right"/>
    </xf>
    <xf numFmtId="2" fontId="31" fillId="0" borderId="0" xfId="569" applyNumberFormat="1" applyFont="1" applyFill="1" applyBorder="1" applyAlignment="1">
      <alignment horizontal="center"/>
    </xf>
    <xf numFmtId="0" fontId="37" fillId="0" borderId="0" xfId="569" applyFont="1" applyBorder="1"/>
    <xf numFmtId="4" fontId="39" fillId="0" borderId="0" xfId="569" applyNumberFormat="1" applyFont="1" applyBorder="1"/>
    <xf numFmtId="4" fontId="41" fillId="0" borderId="0" xfId="569" applyNumberFormat="1" applyFont="1" applyBorder="1"/>
    <xf numFmtId="0" fontId="43" fillId="0" borderId="0" xfId="0" applyFont="1" applyAlignment="1">
      <alignment horizontal="center"/>
    </xf>
    <xf numFmtId="0" fontId="0" fillId="0" borderId="0" xfId="0" applyBorder="1"/>
    <xf numFmtId="167" fontId="0" fillId="0" borderId="0" xfId="0" applyNumberFormat="1"/>
    <xf numFmtId="3" fontId="0" fillId="0" borderId="0" xfId="0" applyNumberFormat="1"/>
    <xf numFmtId="0" fontId="26" fillId="0" borderId="0" xfId="0" applyFont="1"/>
    <xf numFmtId="167" fontId="44" fillId="0" borderId="0" xfId="0" applyNumberFormat="1" applyFont="1"/>
    <xf numFmtId="3" fontId="0" fillId="0" borderId="0" xfId="0" applyNumberFormat="1" applyFont="1"/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49" fontId="46" fillId="0" borderId="0" xfId="0" applyNumberFormat="1" applyFont="1" applyFill="1" applyBorder="1" applyAlignment="1">
      <alignment horizontal="center"/>
    </xf>
    <xf numFmtId="0" fontId="46" fillId="0" borderId="0" xfId="0" applyFont="1" applyFill="1" applyBorder="1"/>
    <xf numFmtId="0" fontId="36" fillId="0" borderId="0" xfId="0" applyFont="1" applyFill="1" applyBorder="1"/>
    <xf numFmtId="3" fontId="44" fillId="0" borderId="0" xfId="0" applyNumberFormat="1" applyFont="1"/>
    <xf numFmtId="0" fontId="43" fillId="9" borderId="25" xfId="0" applyFont="1" applyFill="1" applyBorder="1" applyAlignment="1">
      <alignment horizontal="center"/>
    </xf>
    <xf numFmtId="0" fontId="26" fillId="9" borderId="36" xfId="0" applyFont="1" applyFill="1" applyBorder="1" applyAlignment="1">
      <alignment horizontal="left"/>
    </xf>
    <xf numFmtId="49" fontId="45" fillId="9" borderId="28" xfId="0" applyNumberFormat="1" applyFont="1" applyFill="1" applyBorder="1" applyAlignment="1">
      <alignment horizontal="center"/>
    </xf>
    <xf numFmtId="0" fontId="0" fillId="9" borderId="28" xfId="0" applyFont="1" applyFill="1" applyBorder="1"/>
    <xf numFmtId="0" fontId="0" fillId="9" borderId="24" xfId="0" applyFont="1" applyFill="1" applyBorder="1"/>
    <xf numFmtId="0" fontId="43" fillId="9" borderId="37" xfId="0" applyFont="1" applyFill="1" applyBorder="1" applyAlignment="1">
      <alignment horizontal="center"/>
    </xf>
    <xf numFmtId="0" fontId="43" fillId="9" borderId="38" xfId="0" applyFont="1" applyFill="1" applyBorder="1" applyAlignment="1">
      <alignment horizontal="center"/>
    </xf>
    <xf numFmtId="49" fontId="43" fillId="9" borderId="38" xfId="0" applyNumberFormat="1" applyFont="1" applyFill="1" applyBorder="1" applyAlignment="1">
      <alignment horizontal="center"/>
    </xf>
    <xf numFmtId="0" fontId="47" fillId="9" borderId="13" xfId="0" applyFont="1" applyFill="1" applyBorder="1" applyAlignment="1"/>
    <xf numFmtId="0" fontId="47" fillId="9" borderId="39" xfId="0" applyFont="1" applyFill="1" applyBorder="1" applyAlignment="1">
      <alignment horizontal="center"/>
    </xf>
    <xf numFmtId="167" fontId="0" fillId="9" borderId="18" xfId="0" applyNumberFormat="1" applyFont="1" applyFill="1" applyBorder="1" applyAlignment="1">
      <alignment horizontal="center"/>
    </xf>
    <xf numFmtId="167" fontId="0" fillId="9" borderId="40" xfId="0" applyNumberFormat="1" applyFont="1" applyFill="1" applyBorder="1" applyAlignment="1">
      <alignment horizontal="center"/>
    </xf>
    <xf numFmtId="167" fontId="0" fillId="9" borderId="41" xfId="0" applyNumberFormat="1" applyFont="1" applyFill="1" applyBorder="1" applyAlignment="1">
      <alignment horizontal="center"/>
    </xf>
    <xf numFmtId="1" fontId="0" fillId="9" borderId="18" xfId="0" applyNumberFormat="1" applyFont="1" applyFill="1" applyBorder="1" applyAlignment="1">
      <alignment horizontal="center" vertical="center"/>
    </xf>
    <xf numFmtId="1" fontId="0" fillId="9" borderId="43" xfId="0" applyNumberFormat="1" applyFont="1" applyFill="1" applyBorder="1" applyAlignment="1">
      <alignment horizontal="center" vertical="center"/>
    </xf>
    <xf numFmtId="0" fontId="43" fillId="0" borderId="44" xfId="0" applyFont="1" applyBorder="1" applyAlignment="1">
      <alignment horizontal="center"/>
    </xf>
    <xf numFmtId="0" fontId="48" fillId="7" borderId="26" xfId="0" applyFont="1" applyFill="1" applyBorder="1" applyAlignment="1">
      <alignment horizontal="left" vertical="center"/>
    </xf>
    <xf numFmtId="0" fontId="48" fillId="7" borderId="26" xfId="0" applyFont="1" applyFill="1" applyBorder="1" applyAlignment="1">
      <alignment vertical="center"/>
    </xf>
    <xf numFmtId="0" fontId="48" fillId="7" borderId="26" xfId="0" applyFont="1" applyFill="1" applyBorder="1" applyAlignment="1"/>
    <xf numFmtId="0" fontId="48" fillId="7" borderId="45" xfId="0" applyFont="1" applyFill="1" applyBorder="1" applyAlignment="1"/>
    <xf numFmtId="167" fontId="48" fillId="7" borderId="13" xfId="0" applyNumberFormat="1" applyFont="1" applyFill="1" applyBorder="1" applyAlignment="1"/>
    <xf numFmtId="3" fontId="48" fillId="7" borderId="39" xfId="0" applyNumberFormat="1" applyFont="1" applyFill="1" applyBorder="1" applyAlignment="1"/>
    <xf numFmtId="0" fontId="43" fillId="0" borderId="37" xfId="0" applyFont="1" applyBorder="1" applyAlignment="1">
      <alignment horizontal="center"/>
    </xf>
    <xf numFmtId="0" fontId="49" fillId="7" borderId="38" xfId="0" applyFont="1" applyFill="1" applyBorder="1"/>
    <xf numFmtId="0" fontId="49" fillId="7" borderId="0" xfId="0" applyFont="1" applyFill="1" applyBorder="1"/>
    <xf numFmtId="0" fontId="49" fillId="7" borderId="46" xfId="0" applyFont="1" applyFill="1" applyBorder="1"/>
    <xf numFmtId="0" fontId="49" fillId="7" borderId="47" xfId="0" applyFont="1" applyFill="1" applyBorder="1"/>
    <xf numFmtId="0" fontId="50" fillId="10" borderId="38" xfId="0" applyFont="1" applyFill="1" applyBorder="1" applyAlignment="1">
      <alignment horizontal="center"/>
    </xf>
    <xf numFmtId="0" fontId="52" fillId="10" borderId="38" xfId="0" applyFont="1" applyFill="1" applyBorder="1" applyAlignment="1"/>
    <xf numFmtId="0" fontId="43" fillId="10" borderId="0" xfId="0" applyFont="1" applyFill="1" applyBorder="1" applyAlignment="1"/>
    <xf numFmtId="0" fontId="43" fillId="10" borderId="46" xfId="0" applyFont="1" applyFill="1" applyBorder="1" applyAlignment="1"/>
    <xf numFmtId="167" fontId="51" fillId="10" borderId="22" xfId="0" applyNumberFormat="1" applyFont="1" applyFill="1" applyBorder="1" applyAlignment="1"/>
    <xf numFmtId="3" fontId="51" fillId="10" borderId="44" xfId="0" applyNumberFormat="1" applyFont="1" applyFill="1" applyBorder="1" applyAlignment="1"/>
    <xf numFmtId="3" fontId="51" fillId="10" borderId="37" xfId="0" applyNumberFormat="1" applyFont="1" applyFill="1" applyBorder="1" applyAlignment="1"/>
    <xf numFmtId="0" fontId="53" fillId="0" borderId="38" xfId="0" applyFont="1" applyFill="1" applyBorder="1" applyAlignment="1">
      <alignment horizontal="center"/>
    </xf>
    <xf numFmtId="49" fontId="49" fillId="3" borderId="0" xfId="0" applyNumberFormat="1" applyFont="1" applyFill="1" applyBorder="1" applyAlignment="1">
      <alignment horizontal="left"/>
    </xf>
    <xf numFmtId="0" fontId="54" fillId="3" borderId="0" xfId="0" applyFont="1" applyFill="1" applyBorder="1"/>
    <xf numFmtId="0" fontId="43" fillId="3" borderId="0" xfId="0" applyFont="1" applyFill="1" applyBorder="1"/>
    <xf numFmtId="0" fontId="49" fillId="3" borderId="46" xfId="0" applyFont="1" applyFill="1" applyBorder="1"/>
    <xf numFmtId="167" fontId="49" fillId="3" borderId="22" xfId="0" applyNumberFormat="1" applyFont="1" applyFill="1" applyBorder="1" applyAlignment="1">
      <alignment horizontal="right"/>
    </xf>
    <xf numFmtId="3" fontId="49" fillId="3" borderId="37" xfId="0" applyNumberFormat="1" applyFont="1" applyFill="1" applyBorder="1" applyAlignment="1">
      <alignment horizontal="right"/>
    </xf>
    <xf numFmtId="0" fontId="43" fillId="0" borderId="0" xfId="0" applyFont="1" applyFill="1"/>
    <xf numFmtId="0" fontId="50" fillId="0" borderId="38" xfId="0" applyFont="1" applyFill="1" applyBorder="1" applyAlignment="1">
      <alignment horizontal="center"/>
    </xf>
    <xf numFmtId="0" fontId="52" fillId="0" borderId="0" xfId="0" applyFont="1" applyFill="1" applyBorder="1" applyAlignment="1"/>
    <xf numFmtId="0" fontId="0" fillId="7" borderId="0" xfId="0" applyFont="1" applyFill="1" applyBorder="1"/>
    <xf numFmtId="0" fontId="0" fillId="7" borderId="46" xfId="0" applyFont="1" applyFill="1" applyBorder="1"/>
    <xf numFmtId="167" fontId="49" fillId="7" borderId="22" xfId="0" applyNumberFormat="1" applyFont="1" applyFill="1" applyBorder="1"/>
    <xf numFmtId="3" fontId="49" fillId="7" borderId="37" xfId="0" applyNumberFormat="1" applyFont="1" applyFill="1" applyBorder="1"/>
    <xf numFmtId="0" fontId="43" fillId="0" borderId="0" xfId="0" applyFont="1" applyBorder="1" applyAlignment="1">
      <alignment horizontal="center"/>
    </xf>
    <xf numFmtId="49" fontId="50" fillId="15" borderId="21" xfId="0" applyNumberFormat="1" applyFont="1" applyFill="1" applyBorder="1" applyAlignment="1">
      <alignment horizontal="center"/>
    </xf>
    <xf numFmtId="49" fontId="51" fillId="15" borderId="48" xfId="0" applyNumberFormat="1" applyFont="1" applyFill="1" applyBorder="1" applyAlignment="1">
      <alignment horizontal="left"/>
    </xf>
    <xf numFmtId="0" fontId="51" fillId="15" borderId="15" xfId="0" applyFont="1" applyFill="1" applyBorder="1"/>
    <xf numFmtId="0" fontId="51" fillId="15" borderId="49" xfId="0" applyFont="1" applyFill="1" applyBorder="1"/>
    <xf numFmtId="167" fontId="51" fillId="15" borderId="14" xfId="0" applyNumberFormat="1" applyFont="1" applyFill="1" applyBorder="1" applyAlignment="1">
      <alignment horizontal="right"/>
    </xf>
    <xf numFmtId="3" fontId="49" fillId="15" borderId="50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center"/>
    </xf>
    <xf numFmtId="49" fontId="55" fillId="0" borderId="51" xfId="0" applyNumberFormat="1" applyFont="1" applyFill="1" applyBorder="1" applyAlignment="1">
      <alignment horizontal="right"/>
    </xf>
    <xf numFmtId="0" fontId="43" fillId="0" borderId="21" xfId="0" applyFont="1" applyBorder="1" applyAlignment="1">
      <alignment horizontal="center"/>
    </xf>
    <xf numFmtId="0" fontId="43" fillId="8" borderId="51" xfId="0" applyFont="1" applyFill="1" applyBorder="1"/>
    <xf numFmtId="0" fontId="43" fillId="8" borderId="38" xfId="0" applyFont="1" applyFill="1" applyBorder="1"/>
    <xf numFmtId="167" fontId="43" fillId="0" borderId="0" xfId="0" applyNumberFormat="1" applyFont="1" applyFill="1" applyBorder="1" applyAlignment="1">
      <alignment horizontal="right"/>
    </xf>
    <xf numFmtId="3" fontId="43" fillId="0" borderId="37" xfId="0" applyNumberFormat="1" applyFont="1" applyFill="1" applyBorder="1" applyAlignment="1">
      <alignment horizontal="right"/>
    </xf>
    <xf numFmtId="0" fontId="43" fillId="0" borderId="16" xfId="0" applyFont="1" applyBorder="1" applyAlignment="1">
      <alignment horizontal="center"/>
    </xf>
    <xf numFmtId="0" fontId="43" fillId="0" borderId="48" xfId="0" applyFont="1" applyFill="1" applyBorder="1"/>
    <xf numFmtId="0" fontId="43" fillId="0" borderId="30" xfId="0" applyFont="1" applyFill="1" applyBorder="1"/>
    <xf numFmtId="167" fontId="43" fillId="0" borderId="15" xfId="0" applyNumberFormat="1" applyFont="1" applyFill="1" applyBorder="1" applyAlignment="1">
      <alignment horizontal="right"/>
    </xf>
    <xf numFmtId="3" fontId="43" fillId="0" borderId="50" xfId="0" applyNumberFormat="1" applyFont="1" applyFill="1" applyBorder="1" applyAlignment="1">
      <alignment horizontal="right"/>
    </xf>
    <xf numFmtId="0" fontId="43" fillId="8" borderId="48" xfId="0" applyFont="1" applyFill="1" applyBorder="1"/>
    <xf numFmtId="0" fontId="43" fillId="8" borderId="30" xfId="0" applyFont="1" applyFill="1" applyBorder="1"/>
    <xf numFmtId="0" fontId="43" fillId="8" borderId="52" xfId="0" applyFont="1" applyFill="1" applyBorder="1"/>
    <xf numFmtId="0" fontId="43" fillId="8" borderId="53" xfId="0" applyFont="1" applyFill="1" applyBorder="1"/>
    <xf numFmtId="167" fontId="43" fillId="0" borderId="19" xfId="0" applyNumberFormat="1" applyFont="1" applyFill="1" applyBorder="1" applyAlignment="1">
      <alignment horizontal="right"/>
    </xf>
    <xf numFmtId="3" fontId="43" fillId="0" borderId="42" xfId="0" applyNumberFormat="1" applyFont="1" applyFill="1" applyBorder="1" applyAlignment="1">
      <alignment horizontal="right"/>
    </xf>
    <xf numFmtId="0" fontId="43" fillId="8" borderId="49" xfId="0" applyFont="1" applyFill="1" applyBorder="1"/>
    <xf numFmtId="167" fontId="43" fillId="0" borderId="14" xfId="0" applyNumberFormat="1" applyFont="1" applyFill="1" applyBorder="1" applyAlignment="1">
      <alignment horizontal="right"/>
    </xf>
    <xf numFmtId="0" fontId="43" fillId="0" borderId="38" xfId="0" applyFont="1" applyBorder="1" applyAlignment="1">
      <alignment horizontal="center"/>
    </xf>
    <xf numFmtId="0" fontId="0" fillId="3" borderId="0" xfId="0" applyFont="1" applyFill="1" applyBorder="1"/>
    <xf numFmtId="0" fontId="51" fillId="3" borderId="46" xfId="0" applyFont="1" applyFill="1" applyBorder="1"/>
    <xf numFmtId="167" fontId="51" fillId="3" borderId="22" xfId="0" applyNumberFormat="1" applyFont="1" applyFill="1" applyBorder="1" applyAlignment="1">
      <alignment horizontal="right"/>
    </xf>
    <xf numFmtId="3" fontId="51" fillId="3" borderId="37" xfId="0" applyNumberFormat="1" applyFont="1" applyFill="1" applyBorder="1" applyAlignment="1">
      <alignment horizontal="right"/>
    </xf>
    <xf numFmtId="0" fontId="43" fillId="0" borderId="38" xfId="0" applyFont="1" applyFill="1" applyBorder="1" applyAlignment="1">
      <alignment horizontal="center"/>
    </xf>
    <xf numFmtId="0" fontId="0" fillId="0" borderId="0" xfId="0" applyFill="1"/>
    <xf numFmtId="49" fontId="50" fillId="15" borderId="38" xfId="0" applyNumberFormat="1" applyFont="1" applyFill="1" applyBorder="1" applyAlignment="1">
      <alignment horizontal="center"/>
    </xf>
    <xf numFmtId="0" fontId="51" fillId="15" borderId="48" xfId="0" applyFont="1" applyFill="1" applyBorder="1"/>
    <xf numFmtId="0" fontId="49" fillId="15" borderId="49" xfId="0" applyFont="1" applyFill="1" applyBorder="1"/>
    <xf numFmtId="167" fontId="49" fillId="15" borderId="14" xfId="0" applyNumberFormat="1" applyFont="1" applyFill="1" applyBorder="1" applyAlignment="1">
      <alignment horizontal="right"/>
    </xf>
    <xf numFmtId="49" fontId="55" fillId="0" borderId="38" xfId="0" applyNumberFormat="1" applyFont="1" applyFill="1" applyBorder="1" applyAlignment="1">
      <alignment horizontal="right"/>
    </xf>
    <xf numFmtId="0" fontId="43" fillId="0" borderId="21" xfId="0" applyFont="1" applyFill="1" applyBorder="1" applyAlignment="1">
      <alignment horizontal="center"/>
    </xf>
    <xf numFmtId="0" fontId="43" fillId="0" borderId="0" xfId="0" applyFont="1" applyFill="1" applyBorder="1"/>
    <xf numFmtId="0" fontId="43" fillId="0" borderId="46" xfId="0" applyFont="1" applyFill="1" applyBorder="1"/>
    <xf numFmtId="167" fontId="49" fillId="0" borderId="22" xfId="0" applyNumberFormat="1" applyFont="1" applyFill="1" applyBorder="1" applyAlignment="1">
      <alignment horizontal="right"/>
    </xf>
    <xf numFmtId="0" fontId="43" fillId="0" borderId="16" xfId="0" applyFont="1" applyFill="1" applyBorder="1" applyAlignment="1">
      <alignment horizontal="center"/>
    </xf>
    <xf numFmtId="0" fontId="43" fillId="0" borderId="15" xfId="0" applyFont="1" applyFill="1" applyBorder="1"/>
    <xf numFmtId="0" fontId="43" fillId="0" borderId="49" xfId="0" applyFont="1" applyFill="1" applyBorder="1"/>
    <xf numFmtId="167" fontId="49" fillId="0" borderId="14" xfId="0" applyNumberFormat="1" applyFont="1" applyFill="1" applyBorder="1" applyAlignment="1">
      <alignment horizontal="right"/>
    </xf>
    <xf numFmtId="0" fontId="49" fillId="0" borderId="49" xfId="0" applyFont="1" applyFill="1" applyBorder="1"/>
    <xf numFmtId="167" fontId="43" fillId="0" borderId="14" xfId="0" applyNumberFormat="1" applyFont="1" applyFill="1" applyBorder="1"/>
    <xf numFmtId="3" fontId="43" fillId="0" borderId="50" xfId="0" applyNumberFormat="1" applyFont="1" applyFill="1" applyBorder="1"/>
    <xf numFmtId="167" fontId="49" fillId="15" borderId="14" xfId="0" applyNumberFormat="1" applyFont="1" applyFill="1" applyBorder="1"/>
    <xf numFmtId="3" fontId="49" fillId="15" borderId="50" xfId="0" applyNumberFormat="1" applyFont="1" applyFill="1" applyBorder="1"/>
    <xf numFmtId="49" fontId="43" fillId="0" borderId="21" xfId="0" applyNumberFormat="1" applyFont="1" applyFill="1" applyBorder="1" applyAlignment="1">
      <alignment horizontal="center"/>
    </xf>
    <xf numFmtId="0" fontId="43" fillId="8" borderId="46" xfId="0" applyFont="1" applyFill="1" applyBorder="1"/>
    <xf numFmtId="167" fontId="43" fillId="0" borderId="22" xfId="0" applyNumberFormat="1" applyFont="1" applyFill="1" applyBorder="1"/>
    <xf numFmtId="3" fontId="43" fillId="0" borderId="37" xfId="0" applyNumberFormat="1" applyFont="1" applyFill="1" applyBorder="1"/>
    <xf numFmtId="49" fontId="55" fillId="0" borderId="0" xfId="0" applyNumberFormat="1" applyFont="1" applyFill="1" applyBorder="1" applyAlignment="1">
      <alignment horizontal="right"/>
    </xf>
    <xf numFmtId="49" fontId="43" fillId="0" borderId="16" xfId="0" applyNumberFormat="1" applyFont="1" applyFill="1" applyBorder="1" applyAlignment="1">
      <alignment horizontal="center"/>
    </xf>
    <xf numFmtId="49" fontId="55" fillId="0" borderId="21" xfId="0" applyNumberFormat="1" applyFont="1" applyFill="1" applyBorder="1" applyAlignment="1">
      <alignment horizontal="right"/>
    </xf>
    <xf numFmtId="167" fontId="43" fillId="0" borderId="22" xfId="0" applyNumberFormat="1" applyFont="1" applyFill="1" applyBorder="1" applyAlignment="1">
      <alignment horizontal="right"/>
    </xf>
    <xf numFmtId="0" fontId="43" fillId="0" borderId="0" xfId="0" applyFont="1" applyBorder="1"/>
    <xf numFmtId="0" fontId="43" fillId="0" borderId="51" xfId="0" applyFont="1" applyBorder="1"/>
    <xf numFmtId="0" fontId="43" fillId="0" borderId="37" xfId="0" applyFont="1" applyBorder="1"/>
    <xf numFmtId="0" fontId="43" fillId="0" borderId="0" xfId="0" applyFont="1"/>
    <xf numFmtId="0" fontId="43" fillId="0" borderId="48" xfId="0" applyFont="1" applyBorder="1"/>
    <xf numFmtId="0" fontId="43" fillId="0" borderId="15" xfId="0" applyFont="1" applyBorder="1"/>
    <xf numFmtId="0" fontId="52" fillId="0" borderId="51" xfId="0" applyFont="1" applyFill="1" applyBorder="1" applyAlignment="1"/>
    <xf numFmtId="167" fontId="51" fillId="15" borderId="14" xfId="0" applyNumberFormat="1" applyFont="1" applyFill="1" applyBorder="1" applyAlignment="1"/>
    <xf numFmtId="3" fontId="49" fillId="15" borderId="50" xfId="0" applyNumberFormat="1" applyFont="1" applyFill="1" applyBorder="1" applyAlignment="1"/>
    <xf numFmtId="0" fontId="49" fillId="0" borderId="46" xfId="0" applyFont="1" applyFill="1" applyBorder="1"/>
    <xf numFmtId="167" fontId="49" fillId="0" borderId="22" xfId="0" applyNumberFormat="1" applyFont="1" applyFill="1" applyBorder="1" applyAlignment="1"/>
    <xf numFmtId="3" fontId="43" fillId="0" borderId="37" xfId="0" applyNumberFormat="1" applyFont="1" applyFill="1" applyBorder="1" applyAlignment="1"/>
    <xf numFmtId="167" fontId="49" fillId="0" borderId="14" xfId="0" applyNumberFormat="1" applyFont="1" applyFill="1" applyBorder="1" applyAlignment="1"/>
    <xf numFmtId="3" fontId="43" fillId="0" borderId="50" xfId="0" applyNumberFormat="1" applyFont="1" applyFill="1" applyBorder="1" applyAlignment="1"/>
    <xf numFmtId="0" fontId="50" fillId="10" borderId="0" xfId="0" applyFont="1" applyFill="1" applyBorder="1" applyAlignment="1">
      <alignment horizontal="center"/>
    </xf>
    <xf numFmtId="0" fontId="52" fillId="10" borderId="51" xfId="0" applyFont="1" applyFill="1" applyBorder="1" applyAlignment="1"/>
    <xf numFmtId="0" fontId="50" fillId="0" borderId="0" xfId="0" applyFont="1" applyFill="1" applyBorder="1" applyAlignment="1">
      <alignment horizontal="center"/>
    </xf>
    <xf numFmtId="49" fontId="53" fillId="15" borderId="21" xfId="0" applyNumberFormat="1" applyFont="1" applyFill="1" applyBorder="1" applyAlignment="1">
      <alignment horizontal="center"/>
    </xf>
    <xf numFmtId="0" fontId="43" fillId="0" borderId="51" xfId="0" applyFont="1" applyFill="1" applyBorder="1"/>
    <xf numFmtId="0" fontId="52" fillId="10" borderId="0" xfId="0" applyFont="1" applyFill="1" applyBorder="1" applyAlignment="1"/>
    <xf numFmtId="0" fontId="49" fillId="10" borderId="46" xfId="0" applyFont="1" applyFill="1" applyBorder="1" applyAlignment="1"/>
    <xf numFmtId="49" fontId="53" fillId="15" borderId="38" xfId="0" applyNumberFormat="1" applyFont="1" applyFill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43" fillId="0" borderId="15" xfId="0" applyFont="1" applyFill="1" applyBorder="1" applyAlignment="1"/>
    <xf numFmtId="0" fontId="49" fillId="0" borderId="49" xfId="0" applyFont="1" applyFill="1" applyBorder="1" applyAlignment="1"/>
    <xf numFmtId="167" fontId="51" fillId="0" borderId="14" xfId="0" applyNumberFormat="1" applyFont="1" applyFill="1" applyBorder="1" applyAlignment="1"/>
    <xf numFmtId="0" fontId="43" fillId="0" borderId="54" xfId="0" applyFont="1" applyBorder="1" applyAlignment="1">
      <alignment horizontal="center"/>
    </xf>
    <xf numFmtId="0" fontId="50" fillId="0" borderId="55" xfId="0" applyFont="1" applyFill="1" applyBorder="1" applyAlignment="1">
      <alignment horizontal="center"/>
    </xf>
    <xf numFmtId="0" fontId="55" fillId="0" borderId="32" xfId="0" applyFont="1" applyBorder="1" applyAlignment="1">
      <alignment horizontal="right"/>
    </xf>
    <xf numFmtId="0" fontId="43" fillId="0" borderId="35" xfId="0" applyFont="1" applyFill="1" applyBorder="1" applyAlignment="1">
      <alignment horizontal="center"/>
    </xf>
    <xf numFmtId="0" fontId="43" fillId="0" borderId="32" xfId="0" applyFont="1" applyFill="1" applyBorder="1" applyAlignment="1"/>
    <xf numFmtId="0" fontId="49" fillId="0" borderId="56" xfId="0" applyFont="1" applyFill="1" applyBorder="1" applyAlignment="1"/>
    <xf numFmtId="167" fontId="51" fillId="0" borderId="31" xfId="0" applyNumberFormat="1" applyFont="1" applyFill="1" applyBorder="1" applyAlignment="1"/>
    <xf numFmtId="3" fontId="47" fillId="0" borderId="54" xfId="0" applyNumberFormat="1" applyFont="1" applyFill="1" applyBorder="1" applyAlignment="1"/>
    <xf numFmtId="167" fontId="0" fillId="0" borderId="0" xfId="0" applyNumberFormat="1" applyFont="1" applyFill="1"/>
    <xf numFmtId="3" fontId="44" fillId="0" borderId="0" xfId="0" applyNumberFormat="1" applyFont="1" applyFill="1"/>
    <xf numFmtId="167" fontId="0" fillId="0" borderId="0" xfId="0" applyNumberFormat="1" applyFont="1"/>
    <xf numFmtId="167" fontId="0" fillId="9" borderId="22" xfId="0" applyNumberFormat="1" applyFont="1" applyFill="1" applyBorder="1" applyAlignment="1">
      <alignment horizontal="center"/>
    </xf>
    <xf numFmtId="0" fontId="43" fillId="9" borderId="54" xfId="0" applyFont="1" applyFill="1" applyBorder="1" applyAlignment="1">
      <alignment horizontal="center"/>
    </xf>
    <xf numFmtId="0" fontId="43" fillId="9" borderId="57" xfId="0" applyFont="1" applyFill="1" applyBorder="1" applyAlignment="1">
      <alignment horizontal="center"/>
    </xf>
    <xf numFmtId="49" fontId="43" fillId="9" borderId="57" xfId="0" applyNumberFormat="1" applyFont="1" applyFill="1" applyBorder="1" applyAlignment="1">
      <alignment horizontal="center"/>
    </xf>
    <xf numFmtId="1" fontId="0" fillId="9" borderId="33" xfId="0" applyNumberFormat="1" applyFont="1" applyFill="1" applyBorder="1" applyAlignment="1">
      <alignment horizontal="center" vertical="center"/>
    </xf>
    <xf numFmtId="1" fontId="0" fillId="9" borderId="58" xfId="0" applyNumberFormat="1" applyFont="1" applyFill="1" applyBorder="1" applyAlignment="1">
      <alignment horizontal="center" vertical="center"/>
    </xf>
    <xf numFmtId="0" fontId="48" fillId="7" borderId="59" xfId="0" applyFont="1" applyFill="1" applyBorder="1" applyAlignment="1">
      <alignment horizontal="left" vertical="center"/>
    </xf>
    <xf numFmtId="0" fontId="48" fillId="7" borderId="60" xfId="0" applyFont="1" applyFill="1" applyBorder="1" applyAlignment="1">
      <alignment vertical="center"/>
    </xf>
    <xf numFmtId="0" fontId="56" fillId="7" borderId="60" xfId="0" applyFont="1" applyFill="1" applyBorder="1" applyAlignment="1"/>
    <xf numFmtId="0" fontId="48" fillId="7" borderId="60" xfId="0" applyFont="1" applyFill="1" applyBorder="1" applyAlignment="1"/>
    <xf numFmtId="0" fontId="56" fillId="7" borderId="41" xfId="0" applyFont="1" applyFill="1" applyBorder="1" applyAlignment="1"/>
    <xf numFmtId="167" fontId="48" fillId="7" borderId="59" xfId="0" applyNumberFormat="1" applyFont="1" applyFill="1" applyBorder="1" applyAlignment="1"/>
    <xf numFmtId="3" fontId="48" fillId="7" borderId="60" xfId="0" applyNumberFormat="1" applyFont="1" applyFill="1" applyBorder="1" applyAlignment="1"/>
    <xf numFmtId="0" fontId="49" fillId="7" borderId="61" xfId="0" applyFont="1" applyFill="1" applyBorder="1"/>
    <xf numFmtId="0" fontId="49" fillId="7" borderId="62" xfId="0" applyFont="1" applyFill="1" applyBorder="1"/>
    <xf numFmtId="0" fontId="50" fillId="10" borderId="61" xfId="0" applyFont="1" applyFill="1" applyBorder="1" applyAlignment="1">
      <alignment horizontal="center"/>
    </xf>
    <xf numFmtId="3" fontId="51" fillId="10" borderId="0" xfId="0" applyNumberFormat="1" applyFont="1" applyFill="1" applyBorder="1" applyAlignment="1"/>
    <xf numFmtId="0" fontId="50" fillId="0" borderId="61" xfId="0" applyFont="1" applyFill="1" applyBorder="1" applyAlignment="1">
      <alignment horizontal="center"/>
    </xf>
    <xf numFmtId="3" fontId="49" fillId="7" borderId="0" xfId="0" applyNumberFormat="1" applyFont="1" applyFill="1" applyBorder="1"/>
    <xf numFmtId="0" fontId="43" fillId="0" borderId="61" xfId="0" applyFont="1" applyBorder="1" applyAlignment="1">
      <alignment horizontal="center"/>
    </xf>
    <xf numFmtId="49" fontId="53" fillId="15" borderId="0" xfId="0" applyNumberFormat="1" applyFont="1" applyFill="1" applyBorder="1" applyAlignment="1">
      <alignment horizontal="center"/>
    </xf>
    <xf numFmtId="0" fontId="43" fillId="15" borderId="15" xfId="0" applyFont="1" applyFill="1" applyBorder="1"/>
    <xf numFmtId="0" fontId="43" fillId="15" borderId="49" xfId="0" applyFont="1" applyFill="1" applyBorder="1"/>
    <xf numFmtId="3" fontId="49" fillId="15" borderId="14" xfId="0" applyNumberFormat="1" applyFont="1" applyFill="1" applyBorder="1" applyAlignment="1">
      <alignment horizontal="right"/>
    </xf>
    <xf numFmtId="3" fontId="43" fillId="0" borderId="15" xfId="0" applyNumberFormat="1" applyFont="1" applyFill="1" applyBorder="1" applyAlignment="1">
      <alignment horizontal="right"/>
    </xf>
    <xf numFmtId="0" fontId="43" fillId="0" borderId="55" xfId="0" applyFont="1" applyBorder="1" applyAlignment="1">
      <alignment horizontal="center"/>
    </xf>
    <xf numFmtId="49" fontId="55" fillId="0" borderId="32" xfId="0" applyNumberFormat="1" applyFont="1" applyFill="1" applyBorder="1" applyAlignment="1">
      <alignment horizontal="right"/>
    </xf>
    <xf numFmtId="49" fontId="43" fillId="0" borderId="35" xfId="0" applyNumberFormat="1" applyFont="1" applyFill="1" applyBorder="1" applyAlignment="1">
      <alignment horizontal="center"/>
    </xf>
    <xf numFmtId="0" fontId="43" fillId="0" borderId="63" xfId="0" applyFont="1" applyFill="1" applyBorder="1"/>
    <xf numFmtId="0" fontId="43" fillId="0" borderId="56" xfId="0" applyFont="1" applyFill="1" applyBorder="1"/>
    <xf numFmtId="167" fontId="49" fillId="0" borderId="31" xfId="0" applyNumberFormat="1" applyFont="1" applyFill="1" applyBorder="1" applyAlignment="1">
      <alignment horizontal="right"/>
    </xf>
    <xf numFmtId="3" fontId="43" fillId="0" borderId="32" xfId="0" applyNumberFormat="1" applyFont="1" applyFill="1" applyBorder="1" applyAlignment="1">
      <alignment horizontal="right"/>
    </xf>
    <xf numFmtId="3" fontId="43" fillId="0" borderId="54" xfId="0" applyNumberFormat="1" applyFont="1" applyFill="1" applyBorder="1" applyAlignment="1">
      <alignment horizontal="right"/>
    </xf>
    <xf numFmtId="0" fontId="57" fillId="0" borderId="0" xfId="0" applyFont="1" applyBorder="1"/>
    <xf numFmtId="0" fontId="26" fillId="0" borderId="0" xfId="0" applyFont="1" applyBorder="1"/>
    <xf numFmtId="167" fontId="0" fillId="0" borderId="0" xfId="0" applyNumberFormat="1" applyFont="1" applyBorder="1"/>
    <xf numFmtId="3" fontId="58" fillId="0" borderId="0" xfId="0" applyNumberFormat="1" applyFont="1" applyBorder="1"/>
    <xf numFmtId="3" fontId="58" fillId="0" borderId="0" xfId="0" applyNumberFormat="1" applyFont="1" applyFill="1"/>
    <xf numFmtId="0" fontId="56" fillId="7" borderId="26" xfId="0" applyFont="1" applyFill="1" applyBorder="1" applyAlignment="1"/>
    <xf numFmtId="0" fontId="56" fillId="7" borderId="45" xfId="0" applyFont="1" applyFill="1" applyBorder="1" applyAlignment="1"/>
    <xf numFmtId="0" fontId="43" fillId="0" borderId="22" xfId="0" applyFont="1" applyBorder="1" applyAlignment="1">
      <alignment horizontal="center"/>
    </xf>
    <xf numFmtId="49" fontId="53" fillId="15" borderId="21" xfId="0" applyNumberFormat="1" applyFont="1" applyFill="1" applyBorder="1" applyAlignment="1">
      <alignment horizontal="right"/>
    </xf>
    <xf numFmtId="0" fontId="43" fillId="8" borderId="0" xfId="0" applyFont="1" applyFill="1" applyBorder="1"/>
    <xf numFmtId="3" fontId="43" fillId="0" borderId="0" xfId="0" applyNumberFormat="1" applyFont="1" applyFill="1" applyBorder="1" applyAlignment="1">
      <alignment horizontal="right"/>
    </xf>
    <xf numFmtId="0" fontId="43" fillId="8" borderId="15" xfId="0" applyFont="1" applyFill="1" applyBorder="1"/>
    <xf numFmtId="3" fontId="51" fillId="10" borderId="37" xfId="0" applyNumberFormat="1" applyFont="1" applyFill="1" applyBorder="1" applyAlignment="1">
      <alignment horizontal="right"/>
    </xf>
    <xf numFmtId="3" fontId="51" fillId="10" borderId="0" xfId="0" applyNumberFormat="1" applyFont="1" applyFill="1" applyBorder="1" applyAlignment="1">
      <alignment horizontal="right"/>
    </xf>
    <xf numFmtId="0" fontId="0" fillId="0" borderId="21" xfId="0" applyFont="1" applyBorder="1"/>
    <xf numFmtId="0" fontId="43" fillId="8" borderId="16" xfId="0" applyFont="1" applyFill="1" applyBorder="1" applyAlignment="1">
      <alignment horizontal="center"/>
    </xf>
    <xf numFmtId="0" fontId="43" fillId="8" borderId="21" xfId="0" applyFont="1" applyFill="1" applyBorder="1" applyAlignment="1">
      <alignment horizontal="center"/>
    </xf>
    <xf numFmtId="1" fontId="0" fillId="9" borderId="64" xfId="0" applyNumberFormat="1" applyFont="1" applyFill="1" applyBorder="1" applyAlignment="1">
      <alignment horizontal="center" vertical="center"/>
    </xf>
    <xf numFmtId="167" fontId="59" fillId="7" borderId="13" xfId="0" applyNumberFormat="1" applyFont="1" applyFill="1" applyBorder="1" applyAlignment="1"/>
    <xf numFmtId="3" fontId="49" fillId="7" borderId="46" xfId="0" applyNumberFormat="1" applyFont="1" applyFill="1" applyBorder="1"/>
    <xf numFmtId="3" fontId="43" fillId="0" borderId="46" xfId="0" applyNumberFormat="1" applyFont="1" applyFill="1" applyBorder="1" applyAlignment="1">
      <alignment horizontal="right"/>
    </xf>
    <xf numFmtId="3" fontId="43" fillId="0" borderId="49" xfId="0" applyNumberFormat="1" applyFont="1" applyFill="1" applyBorder="1" applyAlignment="1">
      <alignment horizontal="right"/>
    </xf>
    <xf numFmtId="3" fontId="51" fillId="10" borderId="46" xfId="0" applyNumberFormat="1" applyFont="1" applyFill="1" applyBorder="1" applyAlignment="1"/>
    <xf numFmtId="0" fontId="0" fillId="15" borderId="49" xfId="0" applyFont="1" applyFill="1" applyBorder="1"/>
    <xf numFmtId="3" fontId="43" fillId="0" borderId="46" xfId="0" applyNumberFormat="1" applyFont="1" applyBorder="1"/>
    <xf numFmtId="3" fontId="43" fillId="0" borderId="49" xfId="0" applyNumberFormat="1" applyFont="1" applyBorder="1"/>
    <xf numFmtId="0" fontId="43" fillId="7" borderId="46" xfId="0" applyFont="1" applyFill="1" applyBorder="1"/>
    <xf numFmtId="167" fontId="43" fillId="7" borderId="22" xfId="0" applyNumberFormat="1" applyFont="1" applyFill="1" applyBorder="1" applyAlignment="1">
      <alignment horizontal="right"/>
    </xf>
    <xf numFmtId="3" fontId="49" fillId="7" borderId="3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horizontal="right"/>
    </xf>
    <xf numFmtId="0" fontId="0" fillId="0" borderId="49" xfId="0" applyFont="1" applyFill="1" applyBorder="1"/>
    <xf numFmtId="0" fontId="54" fillId="0" borderId="0" xfId="0" applyFont="1" applyBorder="1" applyAlignment="1">
      <alignment horizontal="center"/>
    </xf>
    <xf numFmtId="0" fontId="54" fillId="15" borderId="49" xfId="0" applyFont="1" applyFill="1" applyBorder="1"/>
    <xf numFmtId="0" fontId="54" fillId="0" borderId="0" xfId="0" applyFont="1"/>
    <xf numFmtId="0" fontId="0" fillId="0" borderId="0" xfId="0" applyFont="1" applyBorder="1" applyAlignment="1">
      <alignment horizontal="center"/>
    </xf>
    <xf numFmtId="0" fontId="43" fillId="0" borderId="46" xfId="0" applyFont="1" applyBorder="1"/>
    <xf numFmtId="0" fontId="0" fillId="0" borderId="22" xfId="0" applyFont="1" applyBorder="1" applyAlignment="1"/>
    <xf numFmtId="0" fontId="55" fillId="0" borderId="0" xfId="0" applyFont="1" applyBorder="1" applyAlignment="1"/>
    <xf numFmtId="0" fontId="43" fillId="0" borderId="15" xfId="0" applyFont="1" applyBorder="1" applyAlignment="1"/>
    <xf numFmtId="0" fontId="43" fillId="0" borderId="49" xfId="0" applyFont="1" applyBorder="1" applyAlignment="1"/>
    <xf numFmtId="0" fontId="52" fillId="10" borderId="0" xfId="0" applyFont="1" applyFill="1" applyBorder="1" applyAlignment="1">
      <alignment horizontal="center"/>
    </xf>
    <xf numFmtId="0" fontId="0" fillId="10" borderId="0" xfId="0" applyFont="1" applyFill="1" applyBorder="1" applyAlignment="1"/>
    <xf numFmtId="0" fontId="0" fillId="10" borderId="46" xfId="0" applyFont="1" applyFill="1" applyBorder="1" applyAlignment="1"/>
    <xf numFmtId="167" fontId="54" fillId="10" borderId="22" xfId="0" applyNumberFormat="1" applyFont="1" applyFill="1" applyBorder="1" applyAlignment="1"/>
    <xf numFmtId="0" fontId="43" fillId="0" borderId="32" xfId="0" applyFont="1" applyBorder="1" applyAlignment="1">
      <alignment horizontal="center"/>
    </xf>
    <xf numFmtId="49" fontId="55" fillId="0" borderId="35" xfId="0" applyNumberFormat="1" applyFont="1" applyFill="1" applyBorder="1" applyAlignment="1">
      <alignment horizontal="right"/>
    </xf>
    <xf numFmtId="0" fontId="43" fillId="8" borderId="63" xfId="0" applyFont="1" applyFill="1" applyBorder="1"/>
    <xf numFmtId="0" fontId="43" fillId="8" borderId="56" xfId="0" applyFont="1" applyFill="1" applyBorder="1"/>
    <xf numFmtId="167" fontId="43" fillId="0" borderId="31" xfId="0" applyNumberFormat="1" applyFont="1" applyFill="1" applyBorder="1" applyAlignment="1">
      <alignment horizontal="right"/>
    </xf>
    <xf numFmtId="3" fontId="43" fillId="0" borderId="56" xfId="0" applyNumberFormat="1" applyFont="1" applyFill="1" applyBorder="1" applyAlignment="1">
      <alignment horizontal="right"/>
    </xf>
    <xf numFmtId="0" fontId="48" fillId="7" borderId="60" xfId="0" applyFont="1" applyFill="1" applyBorder="1" applyAlignment="1">
      <alignment horizontal="left" vertical="center"/>
    </xf>
    <xf numFmtId="3" fontId="51" fillId="10" borderId="65" xfId="0" applyNumberFormat="1" applyFont="1" applyFill="1" applyBorder="1" applyAlignment="1"/>
    <xf numFmtId="3" fontId="49" fillId="15" borderId="49" xfId="0" applyNumberFormat="1" applyFont="1" applyFill="1" applyBorder="1" applyAlignment="1">
      <alignment horizontal="right"/>
    </xf>
    <xf numFmtId="0" fontId="52" fillId="1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right"/>
    </xf>
    <xf numFmtId="49" fontId="53" fillId="15" borderId="0" xfId="0" applyNumberFormat="1" applyFont="1" applyFill="1" applyBorder="1" applyAlignment="1">
      <alignment horizontal="right"/>
    </xf>
    <xf numFmtId="3" fontId="43" fillId="15" borderId="50" xfId="0" applyNumberFormat="1" applyFont="1" applyFill="1" applyBorder="1" applyAlignment="1">
      <alignment horizontal="right"/>
    </xf>
    <xf numFmtId="3" fontId="43" fillId="15" borderId="49" xfId="0" applyNumberFormat="1" applyFont="1" applyFill="1" applyBorder="1" applyAlignment="1">
      <alignment horizontal="right"/>
    </xf>
    <xf numFmtId="167" fontId="49" fillId="0" borderId="15" xfId="0" applyNumberFormat="1" applyFont="1" applyFill="1" applyBorder="1" applyAlignment="1">
      <alignment horizontal="right"/>
    </xf>
    <xf numFmtId="0" fontId="43" fillId="0" borderId="17" xfId="0" applyFont="1" applyFill="1" applyBorder="1" applyAlignment="1">
      <alignment horizontal="center"/>
    </xf>
    <xf numFmtId="0" fontId="43" fillId="0" borderId="43" xfId="0" applyFont="1" applyFill="1" applyBorder="1"/>
    <xf numFmtId="167" fontId="49" fillId="0" borderId="18" xfId="0" applyNumberFormat="1" applyFont="1" applyFill="1" applyBorder="1" applyAlignment="1">
      <alignment horizontal="right"/>
    </xf>
    <xf numFmtId="3" fontId="43" fillId="0" borderId="43" xfId="0" applyNumberFormat="1" applyFont="1" applyFill="1" applyBorder="1" applyAlignment="1">
      <alignment horizontal="right"/>
    </xf>
    <xf numFmtId="0" fontId="0" fillId="10" borderId="0" xfId="0" applyFill="1" applyBorder="1"/>
    <xf numFmtId="0" fontId="0" fillId="0" borderId="0" xfId="0" applyBorder="1" applyAlignment="1">
      <alignment horizontal="center"/>
    </xf>
    <xf numFmtId="0" fontId="0" fillId="0" borderId="51" xfId="0" applyBorder="1"/>
    <xf numFmtId="0" fontId="55" fillId="0" borderId="51" xfId="0" applyFont="1" applyBorder="1"/>
    <xf numFmtId="0" fontId="43" fillId="0" borderId="48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55" fillId="0" borderId="63" xfId="0" applyFont="1" applyBorder="1"/>
    <xf numFmtId="0" fontId="43" fillId="0" borderId="66" xfId="0" applyFont="1" applyBorder="1" applyAlignment="1">
      <alignment horizontal="center"/>
    </xf>
    <xf numFmtId="0" fontId="43" fillId="0" borderId="34" xfId="0" applyFont="1" applyBorder="1"/>
    <xf numFmtId="0" fontId="60" fillId="0" borderId="49" xfId="0" applyFont="1" applyFill="1" applyBorder="1"/>
    <xf numFmtId="167" fontId="61" fillId="0" borderId="14" xfId="0" applyNumberFormat="1" applyFont="1" applyFill="1" applyBorder="1" applyAlignment="1">
      <alignment horizontal="right"/>
    </xf>
    <xf numFmtId="0" fontId="43" fillId="0" borderId="55" xfId="0" applyFont="1" applyFill="1" applyBorder="1" applyAlignment="1">
      <alignment horizontal="center"/>
    </xf>
    <xf numFmtId="0" fontId="43" fillId="0" borderId="32" xfId="0" applyFont="1" applyFill="1" applyBorder="1"/>
    <xf numFmtId="0" fontId="50" fillId="10" borderId="67" xfId="0" applyFont="1" applyFill="1" applyBorder="1" applyAlignment="1">
      <alignment horizontal="center"/>
    </xf>
    <xf numFmtId="0" fontId="52" fillId="10" borderId="68" xfId="0" applyFont="1" applyFill="1" applyBorder="1" applyAlignment="1"/>
    <xf numFmtId="0" fontId="43" fillId="10" borderId="68" xfId="0" applyFont="1" applyFill="1" applyBorder="1" applyAlignment="1"/>
    <xf numFmtId="0" fontId="43" fillId="10" borderId="65" xfId="0" applyFont="1" applyFill="1" applyBorder="1" applyAlignment="1"/>
    <xf numFmtId="167" fontId="51" fillId="10" borderId="69" xfId="0" applyNumberFormat="1" applyFont="1" applyFill="1" applyBorder="1" applyAlignment="1"/>
    <xf numFmtId="49" fontId="43" fillId="0" borderId="27" xfId="0" applyNumberFormat="1" applyFont="1" applyFill="1" applyBorder="1" applyAlignment="1">
      <alignment horizontal="center"/>
    </xf>
    <xf numFmtId="0" fontId="43" fillId="8" borderId="34" xfId="0" applyFont="1" applyFill="1" applyBorder="1"/>
    <xf numFmtId="0" fontId="43" fillId="8" borderId="64" xfId="0" applyFont="1" applyFill="1" applyBorder="1"/>
    <xf numFmtId="167" fontId="43" fillId="0" borderId="33" xfId="0" applyNumberFormat="1" applyFont="1" applyFill="1" applyBorder="1" applyAlignment="1">
      <alignment horizontal="right"/>
    </xf>
    <xf numFmtId="3" fontId="43" fillId="0" borderId="58" xfId="0" applyNumberFormat="1" applyFont="1" applyFill="1" applyBorder="1" applyAlignment="1">
      <alignment horizontal="right"/>
    </xf>
    <xf numFmtId="167" fontId="0" fillId="9" borderId="59" xfId="0" applyNumberFormat="1" applyFont="1" applyFill="1" applyBorder="1" applyAlignment="1">
      <alignment horizontal="center"/>
    </xf>
    <xf numFmtId="0" fontId="59" fillId="7" borderId="26" xfId="0" applyFont="1" applyFill="1" applyBorder="1" applyAlignment="1">
      <alignment vertical="center"/>
    </xf>
    <xf numFmtId="0" fontId="62" fillId="7" borderId="26" xfId="0" applyFont="1" applyFill="1" applyBorder="1" applyAlignment="1"/>
    <xf numFmtId="0" fontId="62" fillId="7" borderId="45" xfId="0" applyFont="1" applyFill="1" applyBorder="1" applyAlignment="1"/>
    <xf numFmtId="0" fontId="51" fillId="0" borderId="46" xfId="0" applyFont="1" applyFill="1" applyBorder="1"/>
    <xf numFmtId="167" fontId="49" fillId="0" borderId="22" xfId="0" applyNumberFormat="1" applyFont="1" applyFill="1" applyBorder="1"/>
    <xf numFmtId="3" fontId="43" fillId="0" borderId="0" xfId="0" applyNumberFormat="1" applyFont="1" applyFill="1" applyBorder="1"/>
    <xf numFmtId="0" fontId="51" fillId="0" borderId="49" xfId="0" applyFont="1" applyFill="1" applyBorder="1"/>
    <xf numFmtId="167" fontId="49" fillId="0" borderId="14" xfId="0" applyNumberFormat="1" applyFont="1" applyFill="1" applyBorder="1"/>
    <xf numFmtId="3" fontId="43" fillId="0" borderId="15" xfId="0" applyNumberFormat="1" applyFont="1" applyFill="1" applyBorder="1"/>
    <xf numFmtId="167" fontId="47" fillId="0" borderId="22" xfId="0" applyNumberFormat="1" applyFont="1" applyFill="1" applyBorder="1" applyAlignment="1"/>
    <xf numFmtId="167" fontId="47" fillId="0" borderId="14" xfId="0" applyNumberFormat="1" applyFont="1" applyFill="1" applyBorder="1" applyAlignment="1"/>
    <xf numFmtId="3" fontId="49" fillId="15" borderId="15" xfId="0" applyNumberFormat="1" applyFont="1" applyFill="1" applyBorder="1" applyAlignment="1">
      <alignment horizontal="right"/>
    </xf>
    <xf numFmtId="0" fontId="0" fillId="0" borderId="38" xfId="0" applyFont="1" applyBorder="1" applyAlignment="1">
      <alignment horizontal="center"/>
    </xf>
    <xf numFmtId="49" fontId="49" fillId="3" borderId="0" xfId="0" applyNumberFormat="1" applyFont="1" applyFill="1" applyBorder="1" applyAlignment="1">
      <alignment horizontal="right"/>
    </xf>
    <xf numFmtId="0" fontId="43" fillId="3" borderId="46" xfId="0" applyFont="1" applyFill="1" applyBorder="1"/>
    <xf numFmtId="167" fontId="43" fillId="3" borderId="22" xfId="0" applyNumberFormat="1" applyFont="1" applyFill="1" applyBorder="1" applyAlignment="1">
      <alignment horizontal="right"/>
    </xf>
    <xf numFmtId="3" fontId="43" fillId="7" borderId="37" xfId="0" applyNumberFormat="1" applyFont="1" applyFill="1" applyBorder="1" applyAlignment="1">
      <alignment horizontal="right"/>
    </xf>
    <xf numFmtId="0" fontId="49" fillId="0" borderId="38" xfId="0" applyFont="1" applyBorder="1" applyAlignment="1">
      <alignment horizontal="center"/>
    </xf>
    <xf numFmtId="49" fontId="43" fillId="0" borderId="48" xfId="0" applyNumberFormat="1" applyFont="1" applyFill="1" applyBorder="1" applyAlignment="1">
      <alignment horizontal="center"/>
    </xf>
    <xf numFmtId="4" fontId="43" fillId="0" borderId="0" xfId="0" applyNumberFormat="1" applyFont="1"/>
    <xf numFmtId="0" fontId="0" fillId="0" borderId="0" xfId="0" applyFont="1"/>
    <xf numFmtId="167" fontId="0" fillId="9" borderId="70" xfId="0" applyNumberFormat="1" applyFont="1" applyFill="1" applyBorder="1" applyAlignment="1">
      <alignment horizontal="center"/>
    </xf>
    <xf numFmtId="0" fontId="60" fillId="8" borderId="48" xfId="0" applyFont="1" applyFill="1" applyBorder="1"/>
    <xf numFmtId="3" fontId="60" fillId="0" borderId="50" xfId="0" applyNumberFormat="1" applyFont="1" applyFill="1" applyBorder="1" applyAlignment="1">
      <alignment horizontal="right"/>
    </xf>
    <xf numFmtId="3" fontId="60" fillId="0" borderId="15" xfId="0" applyNumberFormat="1" applyFont="1" applyFill="1" applyBorder="1" applyAlignment="1">
      <alignment horizontal="right"/>
    </xf>
    <xf numFmtId="0" fontId="60" fillId="8" borderId="15" xfId="0" applyFont="1" applyFill="1" applyBorder="1"/>
    <xf numFmtId="167" fontId="61" fillId="8" borderId="71" xfId="0" applyNumberFormat="1" applyFont="1" applyFill="1" applyBorder="1"/>
    <xf numFmtId="0" fontId="64" fillId="8" borderId="15" xfId="0" applyFont="1" applyFill="1" applyBorder="1"/>
    <xf numFmtId="167" fontId="61" fillId="8" borderId="15" xfId="0" applyNumberFormat="1" applyFont="1" applyFill="1" applyBorder="1"/>
    <xf numFmtId="0" fontId="0" fillId="8" borderId="15" xfId="0" applyFont="1" applyFill="1" applyBorder="1"/>
    <xf numFmtId="167" fontId="49" fillId="8" borderId="15" xfId="0" applyNumberFormat="1" applyFont="1" applyFill="1" applyBorder="1"/>
    <xf numFmtId="167" fontId="63" fillId="0" borderId="0" xfId="0" applyNumberFormat="1" applyFont="1" applyFill="1" applyBorder="1" applyAlignment="1">
      <alignment horizontal="right"/>
    </xf>
    <xf numFmtId="167" fontId="26" fillId="0" borderId="0" xfId="0" applyNumberFormat="1" applyFont="1"/>
    <xf numFmtId="0" fontId="48" fillId="7" borderId="70" xfId="0" applyFont="1" applyFill="1" applyBorder="1" applyAlignment="1">
      <alignment horizontal="left" vertical="center"/>
    </xf>
    <xf numFmtId="167" fontId="48" fillId="7" borderId="59" xfId="0" applyNumberFormat="1" applyFont="1" applyFill="1" applyBorder="1"/>
    <xf numFmtId="3" fontId="54" fillId="7" borderId="40" xfId="0" applyNumberFormat="1" applyFont="1" applyFill="1" applyBorder="1"/>
    <xf numFmtId="168" fontId="51" fillId="10" borderId="22" xfId="0" applyNumberFormat="1" applyFont="1" applyFill="1" applyBorder="1" applyAlignment="1"/>
    <xf numFmtId="3" fontId="51" fillId="10" borderId="22" xfId="0" applyNumberFormat="1" applyFont="1" applyFill="1" applyBorder="1" applyAlignment="1"/>
    <xf numFmtId="168" fontId="49" fillId="7" borderId="22" xfId="0" applyNumberFormat="1" applyFont="1" applyFill="1" applyBorder="1"/>
    <xf numFmtId="3" fontId="49" fillId="7" borderId="22" xfId="0" applyNumberFormat="1" applyFont="1" applyFill="1" applyBorder="1"/>
    <xf numFmtId="168" fontId="49" fillId="15" borderId="14" xfId="0" applyNumberFormat="1" applyFont="1" applyFill="1" applyBorder="1" applyAlignment="1">
      <alignment horizontal="right"/>
    </xf>
    <xf numFmtId="3" fontId="51" fillId="10" borderId="37" xfId="0" applyNumberFormat="1" applyFont="1" applyFill="1" applyBorder="1"/>
    <xf numFmtId="3" fontId="51" fillId="10" borderId="22" xfId="0" applyNumberFormat="1" applyFont="1" applyFill="1" applyBorder="1"/>
    <xf numFmtId="3" fontId="49" fillId="15" borderId="14" xfId="0" applyNumberFormat="1" applyFont="1" applyFill="1" applyBorder="1" applyAlignment="1"/>
    <xf numFmtId="3" fontId="43" fillId="0" borderId="14" xfId="0" applyNumberFormat="1" applyFont="1" applyFill="1" applyBorder="1" applyAlignment="1">
      <alignment horizontal="right"/>
    </xf>
    <xf numFmtId="0" fontId="0" fillId="10" borderId="72" xfId="0" applyFont="1" applyFill="1" applyBorder="1"/>
    <xf numFmtId="167" fontId="0" fillId="10" borderId="22" xfId="0" applyNumberFormat="1" applyFont="1" applyFill="1" applyBorder="1" applyAlignment="1">
      <alignment horizontal="right"/>
    </xf>
    <xf numFmtId="3" fontId="51" fillId="10" borderId="22" xfId="0" applyNumberFormat="1" applyFont="1" applyFill="1" applyBorder="1" applyAlignment="1">
      <alignment horizontal="right"/>
    </xf>
    <xf numFmtId="3" fontId="43" fillId="7" borderId="22" xfId="0" applyNumberFormat="1" applyFont="1" applyFill="1" applyBorder="1" applyAlignment="1">
      <alignment horizontal="right"/>
    </xf>
    <xf numFmtId="0" fontId="60" fillId="8" borderId="49" xfId="0" applyFont="1" applyFill="1" applyBorder="1"/>
    <xf numFmtId="167" fontId="60" fillId="0" borderId="14" xfId="0" applyNumberFormat="1" applyFont="1" applyFill="1" applyBorder="1" applyAlignment="1">
      <alignment horizontal="right"/>
    </xf>
    <xf numFmtId="3" fontId="60" fillId="0" borderId="14" xfId="0" applyNumberFormat="1" applyFont="1" applyFill="1" applyBorder="1" applyAlignment="1">
      <alignment horizontal="right"/>
    </xf>
    <xf numFmtId="167" fontId="43" fillId="0" borderId="54" xfId="0" applyNumberFormat="1" applyFont="1" applyFill="1" applyBorder="1" applyAlignment="1">
      <alignment horizontal="right"/>
    </xf>
    <xf numFmtId="3" fontId="43" fillId="0" borderId="54" xfId="0" applyNumberFormat="1" applyFont="1" applyBorder="1"/>
    <xf numFmtId="3" fontId="43" fillId="0" borderId="31" xfId="0" applyNumberFormat="1" applyFont="1" applyFill="1" applyBorder="1" applyAlignment="1">
      <alignment horizontal="right"/>
    </xf>
    <xf numFmtId="0" fontId="28" fillId="0" borderId="0" xfId="0" applyFont="1"/>
    <xf numFmtId="0" fontId="31" fillId="0" borderId="0" xfId="0" applyFont="1" applyFill="1" applyBorder="1"/>
    <xf numFmtId="3" fontId="31" fillId="0" borderId="0" xfId="0" applyNumberFormat="1" applyFont="1" applyFill="1" applyBorder="1" applyAlignment="1">
      <alignment horizontal="right"/>
    </xf>
    <xf numFmtId="0" fontId="54" fillId="10" borderId="69" xfId="0" applyFont="1" applyFill="1" applyBorder="1" applyAlignment="1">
      <alignment vertical="center"/>
    </xf>
    <xf numFmtId="0" fontId="54" fillId="10" borderId="65" xfId="0" applyFont="1" applyFill="1" applyBorder="1" applyAlignment="1">
      <alignment vertical="center"/>
    </xf>
    <xf numFmtId="0" fontId="54" fillId="10" borderId="22" xfId="0" applyFont="1" applyFill="1" applyBorder="1" applyAlignment="1">
      <alignment horizontal="left" vertical="center"/>
    </xf>
    <xf numFmtId="0" fontId="54" fillId="10" borderId="0" xfId="0" applyFont="1" applyFill="1" applyBorder="1" applyAlignment="1">
      <alignment horizontal="left" vertical="center"/>
    </xf>
    <xf numFmtId="0" fontId="0" fillId="10" borderId="25" xfId="0" applyFont="1" applyFill="1" applyBorder="1" applyAlignment="1">
      <alignment horizontal="center"/>
    </xf>
    <xf numFmtId="0" fontId="0" fillId="10" borderId="40" xfId="0" applyFont="1" applyFill="1" applyBorder="1" applyAlignment="1">
      <alignment horizontal="center"/>
    </xf>
    <xf numFmtId="0" fontId="54" fillId="10" borderId="31" xfId="0" applyFont="1" applyFill="1" applyBorder="1" applyAlignment="1">
      <alignment horizontal="left" vertical="center"/>
    </xf>
    <xf numFmtId="0" fontId="54" fillId="10" borderId="32" xfId="0" applyFont="1" applyFill="1" applyBorder="1" applyAlignment="1">
      <alignment horizontal="left" vertical="center"/>
    </xf>
    <xf numFmtId="0" fontId="6" fillId="10" borderId="37" xfId="0" applyFont="1" applyFill="1" applyBorder="1" applyAlignment="1">
      <alignment horizontal="center" vertical="center"/>
    </xf>
    <xf numFmtId="0" fontId="6" fillId="10" borderId="58" xfId="0" applyFont="1" applyFill="1" applyBorder="1" applyAlignment="1">
      <alignment horizontal="center" vertical="center"/>
    </xf>
    <xf numFmtId="0" fontId="52" fillId="0" borderId="69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3" fontId="65" fillId="0" borderId="44" xfId="0" applyNumberFormat="1" applyFont="1" applyBorder="1"/>
    <xf numFmtId="0" fontId="65" fillId="0" borderId="44" xfId="0" applyFont="1" applyBorder="1"/>
    <xf numFmtId="0" fontId="0" fillId="0" borderId="14" xfId="0" applyFont="1" applyBorder="1"/>
    <xf numFmtId="0" fontId="0" fillId="0" borderId="15" xfId="0" applyFont="1" applyBorder="1"/>
    <xf numFmtId="3" fontId="0" fillId="0" borderId="50" xfId="0" applyNumberFormat="1" applyFont="1" applyBorder="1"/>
    <xf numFmtId="0" fontId="0" fillId="0" borderId="22" xfId="0" applyFont="1" applyBorder="1"/>
    <xf numFmtId="0" fontId="0" fillId="0" borderId="0" xfId="0" applyFont="1" applyBorder="1"/>
    <xf numFmtId="0" fontId="54" fillId="15" borderId="23" xfId="0" applyFont="1" applyFill="1" applyBorder="1"/>
    <xf numFmtId="3" fontId="54" fillId="0" borderId="0" xfId="0" applyNumberFormat="1" applyFont="1"/>
    <xf numFmtId="0" fontId="54" fillId="0" borderId="22" xfId="0" applyFont="1" applyFill="1" applyBorder="1"/>
    <xf numFmtId="0" fontId="54" fillId="0" borderId="0" xfId="0" applyFont="1" applyFill="1" applyBorder="1"/>
    <xf numFmtId="3" fontId="0" fillId="0" borderId="37" xfId="0" applyNumberFormat="1" applyFont="1" applyFill="1" applyBorder="1"/>
    <xf numFmtId="0" fontId="52" fillId="0" borderId="14" xfId="0" applyFont="1" applyFill="1" applyBorder="1"/>
    <xf numFmtId="0" fontId="52" fillId="0" borderId="15" xfId="0" applyFont="1" applyFill="1" applyBorder="1"/>
    <xf numFmtId="0" fontId="0" fillId="0" borderId="51" xfId="0" applyFont="1" applyBorder="1"/>
    <xf numFmtId="0" fontId="54" fillId="15" borderId="73" xfId="0" applyFont="1" applyFill="1" applyBorder="1"/>
    <xf numFmtId="0" fontId="0" fillId="0" borderId="23" xfId="0" applyFont="1" applyBorder="1"/>
    <xf numFmtId="0" fontId="6" fillId="10" borderId="54" xfId="0" applyFont="1" applyFill="1" applyBorder="1" applyAlignment="1">
      <alignment horizontal="center" vertical="center"/>
    </xf>
    <xf numFmtId="4" fontId="6" fillId="0" borderId="0" xfId="569" applyNumberFormat="1" applyFont="1" applyBorder="1"/>
    <xf numFmtId="4" fontId="6" fillId="0" borderId="0" xfId="569" applyNumberFormat="1" applyFont="1" applyBorder="1" applyAlignment="1">
      <alignment horizontal="center"/>
    </xf>
    <xf numFmtId="166" fontId="26" fillId="0" borderId="0" xfId="548" applyFont="1" applyFill="1" applyBorder="1" applyAlignment="1" applyProtection="1"/>
    <xf numFmtId="0" fontId="31" fillId="3" borderId="0" xfId="569" applyFont="1" applyFill="1" applyBorder="1"/>
    <xf numFmtId="4" fontId="31" fillId="0" borderId="0" xfId="569" applyNumberFormat="1" applyFont="1" applyBorder="1"/>
    <xf numFmtId="4" fontId="42" fillId="0" borderId="0" xfId="569" applyNumberFormat="1" applyFont="1" applyFill="1" applyBorder="1" applyAlignment="1">
      <alignment horizontal="justify" vertical="top"/>
    </xf>
    <xf numFmtId="1" fontId="42" fillId="0" borderId="0" xfId="569" applyNumberFormat="1" applyFont="1" applyFill="1" applyBorder="1" applyAlignment="1">
      <alignment horizontal="justify" vertical="top"/>
    </xf>
    <xf numFmtId="1" fontId="42" fillId="0" borderId="0" xfId="569" applyNumberFormat="1" applyFont="1" applyFill="1" applyBorder="1" applyAlignment="1">
      <alignment horizontal="center" vertical="center"/>
    </xf>
    <xf numFmtId="0" fontId="66" fillId="0" borderId="0" xfId="569" applyFont="1" applyFill="1" applyBorder="1" applyAlignment="1">
      <alignment horizontal="left"/>
    </xf>
    <xf numFmtId="0" fontId="67" fillId="0" borderId="0" xfId="569" applyFont="1" applyFill="1" applyBorder="1"/>
    <xf numFmtId="3" fontId="35" fillId="0" borderId="0" xfId="569" applyNumberFormat="1" applyFont="1" applyFill="1" applyBorder="1"/>
    <xf numFmtId="0" fontId="66" fillId="0" borderId="0" xfId="569" applyFont="1" applyBorder="1" applyAlignment="1">
      <alignment horizontal="left"/>
    </xf>
    <xf numFmtId="4" fontId="68" fillId="0" borderId="0" xfId="569" applyNumberFormat="1" applyFont="1" applyFill="1" applyBorder="1"/>
    <xf numFmtId="4" fontId="70" fillId="0" borderId="0" xfId="569" applyNumberFormat="1" applyFont="1" applyFill="1" applyBorder="1"/>
    <xf numFmtId="0" fontId="70" fillId="0" borderId="0" xfId="569" applyFont="1" applyFill="1" applyBorder="1"/>
    <xf numFmtId="3" fontId="70" fillId="0" borderId="0" xfId="569" applyNumberFormat="1" applyFont="1" applyFill="1" applyBorder="1"/>
    <xf numFmtId="0" fontId="71" fillId="0" borderId="0" xfId="569" applyFont="1" applyFill="1" applyBorder="1"/>
    <xf numFmtId="3" fontId="71" fillId="0" borderId="0" xfId="569" applyNumberFormat="1" applyFont="1" applyFill="1" applyBorder="1"/>
    <xf numFmtId="0" fontId="72" fillId="0" borderId="0" xfId="569" applyFont="1" applyFill="1" applyBorder="1"/>
    <xf numFmtId="4" fontId="73" fillId="0" borderId="0" xfId="569" applyNumberFormat="1" applyFont="1" applyFill="1" applyBorder="1" applyAlignment="1">
      <alignment horizontal="right"/>
    </xf>
    <xf numFmtId="3" fontId="73" fillId="0" borderId="0" xfId="569" applyNumberFormat="1" applyFont="1" applyFill="1" applyBorder="1" applyAlignment="1">
      <alignment horizontal="right"/>
    </xf>
    <xf numFmtId="0" fontId="72" fillId="0" borderId="0" xfId="569" applyFont="1" applyBorder="1"/>
    <xf numFmtId="0" fontId="66" fillId="0" borderId="0" xfId="569" applyFont="1" applyBorder="1"/>
    <xf numFmtId="0" fontId="68" fillId="0" borderId="0" xfId="569" applyFont="1" applyFill="1" applyBorder="1"/>
    <xf numFmtId="3" fontId="68" fillId="0" borderId="0" xfId="569" applyNumberFormat="1" applyFont="1" applyFill="1" applyBorder="1"/>
    <xf numFmtId="4" fontId="73" fillId="0" borderId="0" xfId="569" applyNumberFormat="1" applyFont="1" applyFill="1" applyBorder="1"/>
    <xf numFmtId="3" fontId="73" fillId="0" borderId="0" xfId="569" applyNumberFormat="1" applyFont="1" applyFill="1" applyBorder="1"/>
    <xf numFmtId="0" fontId="38" fillId="0" borderId="0" xfId="569" applyFont="1" applyFill="1" applyBorder="1" applyAlignment="1">
      <alignment horizontal="left"/>
    </xf>
    <xf numFmtId="0" fontId="74" fillId="0" borderId="0" xfId="569" applyFont="1" applyFill="1" applyBorder="1"/>
    <xf numFmtId="3" fontId="36" fillId="0" borderId="0" xfId="569" applyNumberFormat="1" applyFont="1" applyFill="1" applyBorder="1" applyAlignment="1">
      <alignment horizontal="left"/>
    </xf>
    <xf numFmtId="0" fontId="35" fillId="0" borderId="0" xfId="569" applyFont="1" applyFill="1" applyBorder="1"/>
    <xf numFmtId="3" fontId="68" fillId="0" borderId="0" xfId="569" applyNumberFormat="1" applyFont="1" applyFill="1" applyBorder="1" applyAlignment="1">
      <alignment horizontal="left"/>
    </xf>
    <xf numFmtId="2" fontId="75" fillId="0" borderId="0" xfId="569" applyNumberFormat="1" applyFont="1" applyBorder="1" applyAlignment="1">
      <alignment horizontal="left"/>
    </xf>
    <xf numFmtId="4" fontId="36" fillId="0" borderId="0" xfId="569" applyNumberFormat="1" applyFont="1" applyFill="1" applyBorder="1" applyAlignment="1">
      <alignment horizontal="left"/>
    </xf>
    <xf numFmtId="0" fontId="42" fillId="0" borderId="0" xfId="569" applyFont="1" applyFill="1" applyBorder="1" applyAlignment="1">
      <alignment horizontal="center" vertical="center"/>
    </xf>
    <xf numFmtId="2" fontId="42" fillId="0" borderId="0" xfId="569" applyNumberFormat="1" applyFont="1" applyFill="1" applyBorder="1" applyAlignment="1">
      <alignment horizontal="justify" vertical="center"/>
    </xf>
    <xf numFmtId="0" fontId="67" fillId="0" borderId="0" xfId="569" applyFont="1" applyBorder="1"/>
    <xf numFmtId="2" fontId="35" fillId="0" borderId="0" xfId="569" applyNumberFormat="1" applyFont="1" applyFill="1" applyBorder="1"/>
    <xf numFmtId="0" fontId="37" fillId="0" borderId="0" xfId="569" applyFont="1" applyFill="1" applyBorder="1"/>
    <xf numFmtId="0" fontId="34" fillId="0" borderId="0" xfId="569" applyFont="1" applyBorder="1"/>
    <xf numFmtId="0" fontId="36" fillId="0" borderId="0" xfId="569" applyFont="1" applyFill="1" applyBorder="1" applyAlignment="1">
      <alignment horizontal="right"/>
    </xf>
    <xf numFmtId="49" fontId="31" fillId="0" borderId="0" xfId="569" applyNumberFormat="1" applyFont="1" applyFill="1" applyBorder="1" applyAlignment="1">
      <alignment horizontal="right"/>
    </xf>
    <xf numFmtId="4" fontId="31" fillId="0" borderId="0" xfId="569" applyNumberFormat="1" applyFont="1" applyFill="1" applyBorder="1" applyAlignment="1">
      <alignment horizontal="right"/>
    </xf>
    <xf numFmtId="4" fontId="31" fillId="0" borderId="0" xfId="569" applyNumberFormat="1" applyFont="1" applyFill="1" applyBorder="1" applyAlignment="1">
      <alignment horizontal="center"/>
    </xf>
    <xf numFmtId="0" fontId="31" fillId="0" borderId="0" xfId="569" applyFont="1" applyFill="1" applyBorder="1" applyAlignment="1">
      <alignment horizontal="center"/>
    </xf>
    <xf numFmtId="0" fontId="36" fillId="0" borderId="0" xfId="569" applyFont="1" applyFill="1" applyBorder="1" applyAlignment="1">
      <alignment horizontal="left"/>
    </xf>
    <xf numFmtId="4" fontId="75" fillId="0" borderId="0" xfId="569" applyNumberFormat="1" applyFont="1" applyBorder="1" applyAlignment="1">
      <alignment horizontal="left"/>
    </xf>
    <xf numFmtId="0" fontId="6" fillId="0" borderId="51" xfId="569" applyFont="1" applyFill="1" applyBorder="1"/>
    <xf numFmtId="3" fontId="69" fillId="0" borderId="0" xfId="569" applyNumberFormat="1" applyFont="1" applyFill="1" applyBorder="1"/>
    <xf numFmtId="4" fontId="75" fillId="0" borderId="0" xfId="569" applyNumberFormat="1" applyFont="1" applyFill="1" applyBorder="1" applyAlignment="1">
      <alignment horizontal="left"/>
    </xf>
    <xf numFmtId="49" fontId="31" fillId="8" borderId="0" xfId="569" applyNumberFormat="1" applyFont="1" applyFill="1" applyBorder="1" applyAlignment="1">
      <alignment horizontal="right"/>
    </xf>
    <xf numFmtId="0" fontId="36" fillId="8" borderId="0" xfId="569" applyFont="1" applyFill="1" applyBorder="1"/>
    <xf numFmtId="0" fontId="31" fillId="8" borderId="0" xfId="569" applyFont="1" applyFill="1" applyBorder="1"/>
    <xf numFmtId="4" fontId="31" fillId="8" borderId="0" xfId="569" applyNumberFormat="1" applyFont="1" applyFill="1" applyBorder="1" applyAlignment="1">
      <alignment horizontal="right"/>
    </xf>
    <xf numFmtId="4" fontId="31" fillId="8" borderId="0" xfId="569" applyNumberFormat="1" applyFont="1" applyFill="1" applyBorder="1" applyAlignment="1">
      <alignment horizontal="center"/>
    </xf>
    <xf numFmtId="2" fontId="34" fillId="0" borderId="0" xfId="569" applyNumberFormat="1" applyFont="1" applyFill="1" applyBorder="1"/>
    <xf numFmtId="3" fontId="31" fillId="0" borderId="0" xfId="569" applyNumberFormat="1" applyFont="1" applyFill="1" applyBorder="1" applyAlignment="1"/>
    <xf numFmtId="0" fontId="69" fillId="0" borderId="0" xfId="569" applyFont="1" applyFill="1" applyBorder="1" applyAlignment="1">
      <alignment horizontal="left"/>
    </xf>
    <xf numFmtId="0" fontId="69" fillId="0" borderId="0" xfId="569" applyFont="1" applyFill="1" applyBorder="1"/>
    <xf numFmtId="0" fontId="37" fillId="0" borderId="51" xfId="569" applyFont="1" applyBorder="1"/>
    <xf numFmtId="0" fontId="38" fillId="0" borderId="0" xfId="569" applyFont="1" applyFill="1" applyBorder="1"/>
    <xf numFmtId="2" fontId="37" fillId="0" borderId="0" xfId="569" applyNumberFormat="1" applyFont="1" applyFill="1" applyBorder="1"/>
    <xf numFmtId="0" fontId="68" fillId="0" borderId="0" xfId="569" applyFont="1" applyBorder="1" applyAlignment="1">
      <alignment horizontal="left"/>
    </xf>
    <xf numFmtId="0" fontId="75" fillId="0" borderId="0" xfId="569" applyFont="1" applyFill="1" applyBorder="1"/>
    <xf numFmtId="3" fontId="66" fillId="0" borderId="0" xfId="569" applyNumberFormat="1" applyFont="1" applyFill="1" applyBorder="1" applyAlignment="1">
      <alignment horizontal="left"/>
    </xf>
    <xf numFmtId="0" fontId="76" fillId="0" borderId="0" xfId="569" applyFont="1" applyFill="1" applyBorder="1" applyAlignment="1">
      <alignment horizontal="left"/>
    </xf>
    <xf numFmtId="4" fontId="37" fillId="0" borderId="0" xfId="569" applyNumberFormat="1" applyFont="1" applyBorder="1"/>
    <xf numFmtId="4" fontId="37" fillId="0" borderId="0" xfId="569" applyNumberFormat="1" applyFont="1" applyBorder="1" applyAlignment="1">
      <alignment horizontal="center"/>
    </xf>
    <xf numFmtId="49" fontId="31" fillId="8" borderId="0" xfId="569" applyNumberFormat="1" applyFont="1" applyFill="1" applyBorder="1" applyAlignment="1"/>
    <xf numFmtId="4" fontId="31" fillId="8" borderId="0" xfId="569" applyNumberFormat="1" applyFont="1" applyFill="1" applyBorder="1" applyAlignment="1"/>
    <xf numFmtId="4" fontId="6" fillId="0" borderId="0" xfId="569" applyNumberFormat="1" applyFont="1" applyFill="1" applyBorder="1" applyAlignment="1">
      <alignment horizontal="left"/>
    </xf>
    <xf numFmtId="4" fontId="6" fillId="0" borderId="0" xfId="569" applyNumberFormat="1" applyFont="1" applyFill="1" applyBorder="1" applyAlignment="1">
      <alignment horizontal="center"/>
    </xf>
    <xf numFmtId="4" fontId="36" fillId="0" borderId="0" xfId="569" applyNumberFormat="1" applyFont="1" applyBorder="1"/>
    <xf numFmtId="0" fontId="76" fillId="0" borderId="0" xfId="569" applyFont="1" applyBorder="1"/>
    <xf numFmtId="0" fontId="68" fillId="0" borderId="0" xfId="569" applyFont="1" applyFill="1" applyBorder="1" applyAlignment="1">
      <alignment horizontal="right"/>
    </xf>
    <xf numFmtId="4" fontId="33" fillId="0" borderId="0" xfId="569" applyNumberFormat="1" applyFont="1" applyFill="1" applyBorder="1"/>
    <xf numFmtId="3" fontId="38" fillId="0" borderId="0" xfId="569" applyNumberFormat="1" applyFont="1" applyFill="1" applyBorder="1" applyAlignment="1">
      <alignment horizontal="left"/>
    </xf>
    <xf numFmtId="3" fontId="38" fillId="0" borderId="0" xfId="569" applyNumberFormat="1" applyFont="1" applyFill="1" applyBorder="1" applyAlignment="1">
      <alignment horizontal="right"/>
    </xf>
    <xf numFmtId="4" fontId="78" fillId="0" borderId="0" xfId="569" applyNumberFormat="1" applyFont="1" applyFill="1" applyBorder="1" applyAlignment="1">
      <alignment horizontal="right"/>
    </xf>
    <xf numFmtId="3" fontId="77" fillId="0" borderId="0" xfId="569" applyNumberFormat="1" applyFont="1" applyFill="1" applyBorder="1" applyAlignment="1">
      <alignment horizontal="left"/>
    </xf>
    <xf numFmtId="3" fontId="66" fillId="0" borderId="0" xfId="569" applyNumberFormat="1" applyFont="1" applyFill="1" applyBorder="1" applyAlignment="1">
      <alignment horizontal="right"/>
    </xf>
    <xf numFmtId="0" fontId="77" fillId="0" borderId="0" xfId="569" applyFont="1" applyFill="1" applyBorder="1" applyAlignment="1">
      <alignment horizontal="left"/>
    </xf>
    <xf numFmtId="0" fontId="66" fillId="0" borderId="0" xfId="569" applyFont="1" applyFill="1" applyBorder="1"/>
    <xf numFmtId="0" fontId="6" fillId="8" borderId="0" xfId="569" applyFont="1" applyFill="1" applyBorder="1"/>
    <xf numFmtId="4" fontId="31" fillId="8" borderId="0" xfId="569" applyNumberFormat="1" applyFont="1" applyFill="1" applyBorder="1"/>
    <xf numFmtId="0" fontId="35" fillId="0" borderId="0" xfId="569" applyFont="1" applyBorder="1"/>
    <xf numFmtId="3" fontId="66" fillId="0" borderId="0" xfId="569" applyNumberFormat="1" applyFont="1" applyFill="1" applyBorder="1"/>
    <xf numFmtId="169" fontId="37" fillId="0" borderId="0" xfId="569" applyNumberFormat="1" applyFont="1" applyFill="1" applyBorder="1"/>
    <xf numFmtId="170" fontId="37" fillId="0" borderId="0" xfId="569" applyNumberFormat="1" applyFont="1" applyFill="1" applyBorder="1"/>
    <xf numFmtId="0" fontId="34" fillId="0" borderId="0" xfId="569" applyFont="1" applyFill="1" applyBorder="1"/>
    <xf numFmtId="2" fontId="42" fillId="0" borderId="0" xfId="569" applyNumberFormat="1" applyFont="1" applyFill="1" applyBorder="1" applyAlignment="1">
      <alignment horizontal="center" vertical="center"/>
    </xf>
    <xf numFmtId="1" fontId="42" fillId="0" borderId="0" xfId="569" applyNumberFormat="1" applyFont="1" applyFill="1" applyBorder="1" applyAlignment="1">
      <alignment horizontal="center" vertical="top"/>
    </xf>
    <xf numFmtId="0" fontId="36" fillId="0" borderId="0" xfId="569" applyFont="1" applyFill="1" applyBorder="1" applyAlignment="1">
      <alignment horizontal="center"/>
    </xf>
    <xf numFmtId="3" fontId="39" fillId="0" borderId="0" xfId="569" applyNumberFormat="1" applyFont="1" applyBorder="1"/>
    <xf numFmtId="3" fontId="41" fillId="0" borderId="0" xfId="569" applyNumberFormat="1" applyFont="1" applyBorder="1"/>
    <xf numFmtId="0" fontId="81" fillId="0" borderId="0" xfId="569" applyFont="1" applyBorder="1"/>
    <xf numFmtId="0" fontId="80" fillId="0" borderId="0" xfId="569" applyFont="1" applyBorder="1"/>
    <xf numFmtId="0" fontId="6" fillId="0" borderId="0" xfId="569" applyFont="1" applyFill="1" applyBorder="1" applyAlignment="1">
      <alignment horizontal="center"/>
    </xf>
    <xf numFmtId="0" fontId="47" fillId="0" borderId="17" xfId="0" applyFont="1" applyFill="1" applyBorder="1" applyAlignment="1">
      <alignment horizontal="center"/>
    </xf>
    <xf numFmtId="0" fontId="43" fillId="0" borderId="52" xfId="0" applyFont="1" applyFill="1" applyBorder="1"/>
    <xf numFmtId="167" fontId="43" fillId="0" borderId="18" xfId="0" applyNumberFormat="1" applyFont="1" applyFill="1" applyBorder="1" applyAlignment="1">
      <alignment horizontal="right"/>
    </xf>
    <xf numFmtId="3" fontId="43" fillId="0" borderId="19" xfId="0" applyNumberFormat="1" applyFont="1" applyFill="1" applyBorder="1" applyAlignment="1">
      <alignment horizontal="right"/>
    </xf>
    <xf numFmtId="0" fontId="47" fillId="0" borderId="74" xfId="0" applyFont="1" applyFill="1" applyBorder="1" applyAlignment="1">
      <alignment horizontal="center"/>
    </xf>
    <xf numFmtId="0" fontId="43" fillId="0" borderId="75" xfId="0" applyFont="1" applyFill="1" applyBorder="1"/>
    <xf numFmtId="3" fontId="43" fillId="0" borderId="78" xfId="0" applyNumberFormat="1" applyFont="1" applyFill="1" applyBorder="1" applyAlignment="1">
      <alignment horizontal="right"/>
    </xf>
    <xf numFmtId="3" fontId="43" fillId="0" borderId="79" xfId="0" applyNumberFormat="1" applyFont="1" applyFill="1" applyBorder="1" applyAlignment="1">
      <alignment horizontal="right"/>
    </xf>
    <xf numFmtId="3" fontId="43" fillId="0" borderId="22" xfId="0" applyNumberFormat="1" applyFont="1" applyFill="1" applyBorder="1" applyAlignment="1">
      <alignment horizontal="right"/>
    </xf>
    <xf numFmtId="3" fontId="49" fillId="15" borderId="14" xfId="0" applyNumberFormat="1" applyFont="1" applyFill="1" applyBorder="1"/>
    <xf numFmtId="3" fontId="43" fillId="0" borderId="18" xfId="0" applyNumberFormat="1" applyFont="1" applyFill="1" applyBorder="1" applyAlignment="1">
      <alignment horizontal="right"/>
    </xf>
    <xf numFmtId="3" fontId="43" fillId="0" borderId="77" xfId="0" applyNumberFormat="1" applyFont="1" applyFill="1" applyBorder="1" applyAlignment="1">
      <alignment horizontal="right"/>
    </xf>
    <xf numFmtId="3" fontId="48" fillId="7" borderId="80" xfId="0" applyNumberFormat="1" applyFont="1" applyFill="1" applyBorder="1" applyAlignment="1"/>
    <xf numFmtId="3" fontId="51" fillId="10" borderId="81" xfId="0" applyNumberFormat="1" applyFont="1" applyFill="1" applyBorder="1" applyAlignment="1"/>
    <xf numFmtId="3" fontId="49" fillId="7" borderId="81" xfId="0" applyNumberFormat="1" applyFont="1" applyFill="1" applyBorder="1"/>
    <xf numFmtId="3" fontId="49" fillId="15" borderId="82" xfId="0" applyNumberFormat="1" applyFont="1" applyFill="1" applyBorder="1" applyAlignment="1">
      <alignment horizontal="right"/>
    </xf>
    <xf numFmtId="3" fontId="43" fillId="0" borderId="81" xfId="0" applyNumberFormat="1" applyFont="1" applyFill="1" applyBorder="1" applyAlignment="1">
      <alignment horizontal="right"/>
    </xf>
    <xf numFmtId="3" fontId="43" fillId="0" borderId="82" xfId="0" applyNumberFormat="1" applyFont="1" applyFill="1" applyBorder="1" applyAlignment="1">
      <alignment horizontal="right"/>
    </xf>
    <xf numFmtId="3" fontId="51" fillId="10" borderId="81" xfId="0" applyNumberFormat="1" applyFont="1" applyFill="1" applyBorder="1" applyAlignment="1">
      <alignment horizontal="right"/>
    </xf>
    <xf numFmtId="3" fontId="49" fillId="15" borderId="82" xfId="0" applyNumberFormat="1" applyFont="1" applyFill="1" applyBorder="1"/>
    <xf numFmtId="3" fontId="43" fillId="0" borderId="83" xfId="0" applyNumberFormat="1" applyFont="1" applyFill="1" applyBorder="1" applyAlignment="1">
      <alignment horizontal="right"/>
    </xf>
    <xf numFmtId="3" fontId="43" fillId="0" borderId="84" xfId="0" applyNumberFormat="1" applyFont="1" applyFill="1" applyBorder="1" applyAlignment="1">
      <alignment horizontal="right"/>
    </xf>
    <xf numFmtId="49" fontId="29" fillId="0" borderId="0" xfId="0" applyNumberFormat="1" applyFont="1" applyBorder="1" applyAlignment="1">
      <alignment horizontal="center"/>
    </xf>
    <xf numFmtId="3" fontId="29" fillId="0" borderId="0" xfId="0" applyNumberFormat="1" applyFont="1" applyBorder="1" applyAlignment="1">
      <alignment horizontal="right"/>
    </xf>
    <xf numFmtId="0" fontId="29" fillId="0" borderId="0" xfId="0" applyFont="1" applyFill="1" applyBorder="1" applyAlignment="1">
      <alignment horizontal="justify" vertical="top"/>
    </xf>
    <xf numFmtId="3" fontId="27" fillId="0" borderId="0" xfId="0" applyNumberFormat="1" applyFont="1" applyBorder="1" applyAlignment="1">
      <alignment horizontal="right"/>
    </xf>
    <xf numFmtId="49" fontId="43" fillId="0" borderId="51" xfId="0" applyNumberFormat="1" applyFont="1" applyFill="1" applyBorder="1" applyAlignment="1">
      <alignment horizontal="center"/>
    </xf>
    <xf numFmtId="49" fontId="43" fillId="0" borderId="17" xfId="0" applyNumberFormat="1" applyFont="1" applyFill="1" applyBorder="1" applyAlignment="1">
      <alignment horizontal="center"/>
    </xf>
    <xf numFmtId="0" fontId="43" fillId="8" borderId="43" xfId="0" applyFont="1" applyFill="1" applyBorder="1"/>
    <xf numFmtId="0" fontId="43" fillId="8" borderId="75" xfId="0" applyFont="1" applyFill="1" applyBorder="1"/>
    <xf numFmtId="49" fontId="43" fillId="0" borderId="20" xfId="0" applyNumberFormat="1" applyFont="1" applyFill="1" applyBorder="1" applyAlignment="1">
      <alignment horizontal="center"/>
    </xf>
    <xf numFmtId="0" fontId="43" fillId="8" borderId="96" xfId="0" applyFont="1" applyFill="1" applyBorder="1"/>
    <xf numFmtId="0" fontId="43" fillId="8" borderId="41" xfId="0" applyFont="1" applyFill="1" applyBorder="1"/>
    <xf numFmtId="167" fontId="43" fillId="26" borderId="77" xfId="0" applyNumberFormat="1" applyFont="1" applyFill="1" applyBorder="1" applyAlignment="1">
      <alignment horizontal="right"/>
    </xf>
    <xf numFmtId="3" fontId="43" fillId="26" borderId="78" xfId="0" applyNumberFormat="1" applyFont="1" applyFill="1" applyBorder="1" applyAlignment="1">
      <alignment horizontal="right"/>
    </xf>
    <xf numFmtId="3" fontId="43" fillId="26" borderId="77" xfId="0" applyNumberFormat="1" applyFont="1" applyFill="1" applyBorder="1" applyAlignment="1">
      <alignment horizontal="right"/>
    </xf>
    <xf numFmtId="0" fontId="52" fillId="10" borderId="38" xfId="0" applyFont="1" applyFill="1" applyBorder="1" applyAlignment="1">
      <alignment horizontal="center"/>
    </xf>
    <xf numFmtId="0" fontId="49" fillId="27" borderId="97" xfId="0" applyFont="1" applyFill="1" applyBorder="1"/>
    <xf numFmtId="0" fontId="43" fillId="27" borderId="0" xfId="0" applyFont="1" applyFill="1" applyBorder="1" applyAlignment="1"/>
    <xf numFmtId="0" fontId="49" fillId="27" borderId="0" xfId="0" applyFont="1" applyFill="1" applyBorder="1"/>
    <xf numFmtId="0" fontId="49" fillId="27" borderId="46" xfId="0" applyFont="1" applyFill="1" applyBorder="1"/>
    <xf numFmtId="167" fontId="51" fillId="27" borderId="22" xfId="0" applyNumberFormat="1" applyFont="1" applyFill="1" applyBorder="1"/>
    <xf numFmtId="3" fontId="51" fillId="27" borderId="37" xfId="0" applyNumberFormat="1" applyFont="1" applyFill="1" applyBorder="1"/>
    <xf numFmtId="0" fontId="43" fillId="27" borderId="0" xfId="0" applyFont="1" applyFill="1" applyBorder="1"/>
    <xf numFmtId="167" fontId="43" fillId="27" borderId="0" xfId="0" applyNumberFormat="1" applyFont="1" applyFill="1" applyBorder="1" applyAlignment="1">
      <alignment horizontal="right"/>
    </xf>
    <xf numFmtId="3" fontId="43" fillId="27" borderId="37" xfId="0" applyNumberFormat="1" applyFont="1" applyFill="1" applyBorder="1" applyAlignment="1">
      <alignment horizontal="right"/>
    </xf>
    <xf numFmtId="3" fontId="43" fillId="27" borderId="0" xfId="0" applyNumberFormat="1" applyFont="1" applyFill="1" applyBorder="1" applyAlignment="1">
      <alignment horizontal="right"/>
    </xf>
    <xf numFmtId="3" fontId="90" fillId="0" borderId="15" xfId="0" applyNumberFormat="1" applyFont="1" applyFill="1" applyBorder="1" applyAlignment="1">
      <alignment horizontal="right"/>
    </xf>
    <xf numFmtId="0" fontId="0" fillId="27" borderId="46" xfId="0" applyFont="1" applyFill="1" applyBorder="1"/>
    <xf numFmtId="167" fontId="49" fillId="27" borderId="22" xfId="0" applyNumberFormat="1" applyFont="1" applyFill="1" applyBorder="1"/>
    <xf numFmtId="3" fontId="49" fillId="27" borderId="37" xfId="0" applyNumberFormat="1" applyFont="1" applyFill="1" applyBorder="1"/>
    <xf numFmtId="3" fontId="49" fillId="27" borderId="46" xfId="0" applyNumberFormat="1" applyFont="1" applyFill="1" applyBorder="1"/>
    <xf numFmtId="3" fontId="51" fillId="10" borderId="98" xfId="0" applyNumberFormat="1" applyFont="1" applyFill="1" applyBorder="1" applyAlignment="1"/>
    <xf numFmtId="3" fontId="90" fillId="0" borderId="82" xfId="0" applyNumberFormat="1" applyFont="1" applyFill="1" applyBorder="1" applyAlignment="1">
      <alignment horizontal="right"/>
    </xf>
    <xf numFmtId="3" fontId="60" fillId="0" borderId="82" xfId="0" applyNumberFormat="1" applyFont="1" applyFill="1" applyBorder="1" applyAlignment="1">
      <alignment horizontal="right"/>
    </xf>
    <xf numFmtId="3" fontId="49" fillId="27" borderId="81" xfId="0" applyNumberFormat="1" applyFont="1" applyFill="1" applyBorder="1"/>
    <xf numFmtId="3" fontId="43" fillId="0" borderId="82" xfId="0" applyNumberFormat="1" applyFont="1" applyFill="1" applyBorder="1"/>
    <xf numFmtId="3" fontId="60" fillId="8" borderId="82" xfId="0" applyNumberFormat="1" applyFont="1" applyFill="1" applyBorder="1" applyAlignment="1"/>
    <xf numFmtId="3" fontId="43" fillId="8" borderId="82" xfId="0" applyNumberFormat="1" applyFont="1" applyFill="1" applyBorder="1" applyAlignment="1"/>
    <xf numFmtId="3" fontId="49" fillId="27" borderId="22" xfId="0" applyNumberFormat="1" applyFont="1" applyFill="1" applyBorder="1"/>
    <xf numFmtId="3" fontId="49" fillId="15" borderId="15" xfId="0" applyNumberFormat="1" applyFont="1" applyFill="1" applyBorder="1"/>
    <xf numFmtId="3" fontId="49" fillId="27" borderId="0" xfId="0" applyNumberFormat="1" applyFont="1" applyFill="1" applyBorder="1"/>
    <xf numFmtId="3" fontId="60" fillId="8" borderId="15" xfId="0" applyNumberFormat="1" applyFont="1" applyFill="1" applyBorder="1" applyAlignment="1"/>
    <xf numFmtId="3" fontId="43" fillId="8" borderId="15" xfId="0" applyNumberFormat="1" applyFont="1" applyFill="1" applyBorder="1" applyAlignment="1"/>
    <xf numFmtId="49" fontId="43" fillId="0" borderId="74" xfId="0" applyNumberFormat="1" applyFont="1" applyFill="1" applyBorder="1" applyAlignment="1">
      <alignment horizontal="center"/>
    </xf>
    <xf numFmtId="49" fontId="43" fillId="0" borderId="99" xfId="0" applyNumberFormat="1" applyFont="1" applyFill="1" applyBorder="1" applyAlignment="1">
      <alignment horizontal="center"/>
    </xf>
    <xf numFmtId="3" fontId="43" fillId="0" borderId="100" xfId="0" applyNumberFormat="1" applyFont="1" applyFill="1" applyBorder="1" applyAlignment="1">
      <alignment horizontal="right"/>
    </xf>
    <xf numFmtId="3" fontId="43" fillId="0" borderId="101" xfId="0" applyNumberFormat="1" applyFont="1" applyFill="1" applyBorder="1" applyAlignment="1">
      <alignment horizontal="right"/>
    </xf>
    <xf numFmtId="49" fontId="43" fillId="0" borderId="102" xfId="0" applyNumberFormat="1" applyFont="1" applyFill="1" applyBorder="1" applyAlignment="1">
      <alignment horizontal="center"/>
    </xf>
    <xf numFmtId="167" fontId="43" fillId="0" borderId="100" xfId="0" applyNumberFormat="1" applyFont="1" applyFill="1" applyBorder="1" applyAlignment="1">
      <alignment horizontal="right"/>
    </xf>
    <xf numFmtId="0" fontId="43" fillId="8" borderId="86" xfId="0" applyFont="1" applyFill="1" applyBorder="1"/>
    <xf numFmtId="0" fontId="43" fillId="8" borderId="103" xfId="0" applyFont="1" applyFill="1" applyBorder="1"/>
    <xf numFmtId="49" fontId="43" fillId="0" borderId="52" xfId="0" applyNumberFormat="1" applyFont="1" applyFill="1" applyBorder="1" applyAlignment="1">
      <alignment horizontal="center"/>
    </xf>
    <xf numFmtId="49" fontId="43" fillId="0" borderId="0" xfId="0" applyNumberFormat="1" applyFont="1" applyFill="1" applyBorder="1" applyAlignment="1">
      <alignment horizontal="right"/>
    </xf>
    <xf numFmtId="167" fontId="49" fillId="15" borderId="15" xfId="0" applyNumberFormat="1" applyFont="1" applyFill="1" applyBorder="1"/>
    <xf numFmtId="167" fontId="51" fillId="10" borderId="0" xfId="0" applyNumberFormat="1" applyFont="1" applyFill="1" applyBorder="1" applyAlignment="1"/>
    <xf numFmtId="167" fontId="45" fillId="0" borderId="0" xfId="0" applyNumberFormat="1" applyFont="1" applyFill="1" applyBorder="1" applyAlignment="1">
      <alignment horizontal="right"/>
    </xf>
    <xf numFmtId="167" fontId="63" fillId="0" borderId="15" xfId="0" applyNumberFormat="1" applyFont="1" applyFill="1" applyBorder="1" applyAlignment="1">
      <alignment horizontal="right"/>
    </xf>
    <xf numFmtId="167" fontId="49" fillId="0" borderId="15" xfId="0" applyNumberFormat="1" applyFont="1" applyFill="1" applyBorder="1"/>
    <xf numFmtId="167" fontId="90" fillId="0" borderId="15" xfId="0" applyNumberFormat="1" applyFont="1" applyFill="1" applyBorder="1" applyAlignment="1">
      <alignment horizontal="right"/>
    </xf>
    <xf numFmtId="0" fontId="0" fillId="8" borderId="19" xfId="0" applyFont="1" applyFill="1" applyBorder="1"/>
    <xf numFmtId="0" fontId="43" fillId="8" borderId="104" xfId="0" applyFont="1" applyFill="1" applyBorder="1"/>
    <xf numFmtId="0" fontId="43" fillId="8" borderId="105" xfId="0" applyFont="1" applyFill="1" applyBorder="1"/>
    <xf numFmtId="49" fontId="43" fillId="0" borderId="96" xfId="0" applyNumberFormat="1" applyFont="1" applyFill="1" applyBorder="1" applyAlignment="1">
      <alignment horizontal="center"/>
    </xf>
    <xf numFmtId="0" fontId="60" fillId="8" borderId="60" xfId="0" applyFont="1" applyFill="1" applyBorder="1"/>
    <xf numFmtId="0" fontId="43" fillId="8" borderId="20" xfId="0" applyFont="1" applyFill="1" applyBorder="1" applyAlignment="1">
      <alignment horizontal="center"/>
    </xf>
    <xf numFmtId="0" fontId="64" fillId="8" borderId="106" xfId="0" applyFont="1" applyFill="1" applyBorder="1"/>
    <xf numFmtId="49" fontId="51" fillId="15" borderId="86" xfId="0" applyNumberFormat="1" applyFont="1" applyFill="1" applyBorder="1" applyAlignment="1">
      <alignment horizontal="left"/>
    </xf>
    <xf numFmtId="0" fontId="51" fillId="15" borderId="79" xfId="0" applyFont="1" applyFill="1" applyBorder="1"/>
    <xf numFmtId="0" fontId="51" fillId="15" borderId="103" xfId="0" applyFont="1" applyFill="1" applyBorder="1"/>
    <xf numFmtId="0" fontId="52" fillId="10" borderId="86" xfId="0" applyFont="1" applyFill="1" applyBorder="1" applyAlignment="1"/>
    <xf numFmtId="0" fontId="43" fillId="10" borderId="79" xfId="0" applyFont="1" applyFill="1" applyBorder="1" applyAlignment="1"/>
    <xf numFmtId="0" fontId="43" fillId="10" borderId="103" xfId="0" applyFont="1" applyFill="1" applyBorder="1" applyAlignment="1"/>
    <xf numFmtId="0" fontId="43" fillId="0" borderId="86" xfId="0" applyFont="1" applyFill="1" applyBorder="1"/>
    <xf numFmtId="0" fontId="45" fillId="0" borderId="103" xfId="0" applyFont="1" applyFill="1" applyBorder="1"/>
    <xf numFmtId="0" fontId="63" fillId="8" borderId="103" xfId="0" applyFont="1" applyFill="1" applyBorder="1"/>
    <xf numFmtId="0" fontId="60" fillId="8" borderId="75" xfId="0" applyFont="1" applyFill="1" applyBorder="1"/>
    <xf numFmtId="0" fontId="90" fillId="8" borderId="103" xfId="0" applyFont="1" applyFill="1" applyBorder="1"/>
    <xf numFmtId="167" fontId="49" fillId="7" borderId="0" xfId="0" applyNumberFormat="1" applyFont="1" applyFill="1" applyBorder="1"/>
    <xf numFmtId="167" fontId="49" fillId="27" borderId="0" xfId="0" applyNumberFormat="1" applyFont="1" applyFill="1" applyBorder="1"/>
    <xf numFmtId="0" fontId="63" fillId="8" borderId="107" xfId="0" applyFont="1" applyFill="1" applyBorder="1"/>
    <xf numFmtId="0" fontId="0" fillId="27" borderId="0" xfId="0" applyFont="1" applyFill="1" applyBorder="1"/>
    <xf numFmtId="0" fontId="52" fillId="10" borderId="108" xfId="0" applyFont="1" applyFill="1" applyBorder="1" applyAlignment="1"/>
    <xf numFmtId="167" fontId="51" fillId="10" borderId="109" xfId="0" applyNumberFormat="1" applyFont="1" applyFill="1" applyBorder="1" applyAlignment="1"/>
    <xf numFmtId="3" fontId="51" fillId="10" borderId="109" xfId="0" applyNumberFormat="1" applyFont="1" applyFill="1" applyBorder="1" applyAlignment="1"/>
    <xf numFmtId="0" fontId="55" fillId="0" borderId="93" xfId="0" applyFont="1" applyBorder="1"/>
    <xf numFmtId="3" fontId="51" fillId="10" borderId="110" xfId="0" applyNumberFormat="1" applyFont="1" applyFill="1" applyBorder="1" applyAlignment="1"/>
    <xf numFmtId="3" fontId="51" fillId="10" borderId="111" xfId="0" applyNumberFormat="1" applyFont="1" applyFill="1" applyBorder="1" applyAlignment="1"/>
    <xf numFmtId="0" fontId="43" fillId="0" borderId="102" xfId="0" applyFont="1" applyFill="1" applyBorder="1"/>
    <xf numFmtId="0" fontId="43" fillId="0" borderId="107" xfId="0" applyFont="1" applyFill="1" applyBorder="1"/>
    <xf numFmtId="0" fontId="43" fillId="10" borderId="112" xfId="0" applyFont="1" applyFill="1" applyBorder="1" applyAlignment="1"/>
    <xf numFmtId="0" fontId="43" fillId="10" borderId="113" xfId="0" applyFont="1" applyFill="1" applyBorder="1" applyAlignment="1"/>
    <xf numFmtId="0" fontId="43" fillId="0" borderId="100" xfId="0" applyFont="1" applyFill="1" applyBorder="1"/>
    <xf numFmtId="0" fontId="51" fillId="0" borderId="107" xfId="0" applyFont="1" applyFill="1" applyBorder="1"/>
    <xf numFmtId="0" fontId="52" fillId="8" borderId="114" xfId="0" applyFont="1" applyFill="1" applyBorder="1" applyAlignment="1"/>
    <xf numFmtId="0" fontId="49" fillId="7" borderId="115" xfId="0" applyFont="1" applyFill="1" applyBorder="1"/>
    <xf numFmtId="0" fontId="43" fillId="7" borderId="110" xfId="0" applyFont="1" applyFill="1" applyBorder="1" applyAlignment="1"/>
    <xf numFmtId="0" fontId="49" fillId="7" borderId="110" xfId="0" applyFont="1" applyFill="1" applyBorder="1"/>
    <xf numFmtId="0" fontId="49" fillId="7" borderId="116" xfId="0" applyFont="1" applyFill="1" applyBorder="1"/>
    <xf numFmtId="167" fontId="51" fillId="7" borderId="117" xfId="0" applyNumberFormat="1" applyFont="1" applyFill="1" applyBorder="1"/>
    <xf numFmtId="3" fontId="51" fillId="7" borderId="118" xfId="0" applyNumberFormat="1" applyFont="1" applyFill="1" applyBorder="1"/>
    <xf numFmtId="0" fontId="50" fillId="10" borderId="119" xfId="0" applyFont="1" applyFill="1" applyBorder="1" applyAlignment="1">
      <alignment horizontal="center"/>
    </xf>
    <xf numFmtId="0" fontId="50" fillId="10" borderId="120" xfId="0" applyFont="1" applyFill="1" applyBorder="1" applyAlignment="1">
      <alignment horizontal="center"/>
    </xf>
    <xf numFmtId="3" fontId="49" fillId="7" borderId="121" xfId="0" applyNumberFormat="1" applyFont="1" applyFill="1" applyBorder="1"/>
    <xf numFmtId="3" fontId="49" fillId="7" borderId="122" xfId="0" applyNumberFormat="1" applyFont="1" applyFill="1" applyBorder="1"/>
    <xf numFmtId="167" fontId="49" fillId="27" borderId="22" xfId="0" applyNumberFormat="1" applyFont="1" applyFill="1" applyBorder="1" applyAlignment="1">
      <alignment horizontal="right"/>
    </xf>
    <xf numFmtId="3" fontId="49" fillId="27" borderId="37" xfId="0" applyNumberFormat="1" applyFont="1" applyFill="1" applyBorder="1" applyAlignment="1">
      <alignment horizontal="right"/>
    </xf>
    <xf numFmtId="3" fontId="49" fillId="27" borderId="0" xfId="0" applyNumberFormat="1" applyFont="1" applyFill="1" applyBorder="1" applyAlignment="1">
      <alignment horizontal="right"/>
    </xf>
    <xf numFmtId="0" fontId="43" fillId="27" borderId="46" xfId="0" applyFont="1" applyFill="1" applyBorder="1"/>
    <xf numFmtId="3" fontId="49" fillId="27" borderId="46" xfId="0" applyNumberFormat="1" applyFont="1" applyFill="1" applyBorder="1" applyAlignment="1">
      <alignment horizontal="right"/>
    </xf>
    <xf numFmtId="49" fontId="53" fillId="0" borderId="0" xfId="0" applyNumberFormat="1" applyFont="1" applyFill="1" applyBorder="1" applyAlignment="1">
      <alignment horizontal="center"/>
    </xf>
    <xf numFmtId="0" fontId="43" fillId="0" borderId="123" xfId="0" applyFont="1" applyFill="1" applyBorder="1" applyAlignment="1">
      <alignment horizontal="center"/>
    </xf>
    <xf numFmtId="0" fontId="43" fillId="0" borderId="124" xfId="0" applyFont="1" applyFill="1" applyBorder="1" applyAlignment="1">
      <alignment horizontal="center"/>
    </xf>
    <xf numFmtId="0" fontId="43" fillId="0" borderId="110" xfId="0" applyFont="1" applyFill="1" applyBorder="1"/>
    <xf numFmtId="0" fontId="43" fillId="0" borderId="116" xfId="0" applyFont="1" applyFill="1" applyBorder="1"/>
    <xf numFmtId="167" fontId="43" fillId="0" borderId="117" xfId="0" applyNumberFormat="1" applyFont="1" applyFill="1" applyBorder="1" applyAlignment="1">
      <alignment horizontal="right"/>
    </xf>
    <xf numFmtId="3" fontId="43" fillId="0" borderId="118" xfId="0" applyNumberFormat="1" applyFont="1" applyFill="1" applyBorder="1" applyAlignment="1">
      <alignment horizontal="right"/>
    </xf>
    <xf numFmtId="3" fontId="43" fillId="0" borderId="116" xfId="0" applyNumberFormat="1" applyFont="1" applyFill="1" applyBorder="1" applyAlignment="1">
      <alignment horizontal="right"/>
    </xf>
    <xf numFmtId="0" fontId="49" fillId="28" borderId="0" xfId="0" applyFont="1" applyFill="1" applyBorder="1"/>
    <xf numFmtId="0" fontId="43" fillId="28" borderId="0" xfId="0" applyFont="1" applyFill="1" applyBorder="1"/>
    <xf numFmtId="0" fontId="0" fillId="28" borderId="46" xfId="0" applyFont="1" applyFill="1" applyBorder="1"/>
    <xf numFmtId="167" fontId="49" fillId="28" borderId="22" xfId="0" applyNumberFormat="1" applyFont="1" applyFill="1" applyBorder="1"/>
    <xf numFmtId="3" fontId="49" fillId="28" borderId="37" xfId="0" applyNumberFormat="1" applyFont="1" applyFill="1" applyBorder="1"/>
    <xf numFmtId="0" fontId="49" fillId="29" borderId="125" xfId="0" applyFont="1" applyFill="1" applyBorder="1"/>
    <xf numFmtId="0" fontId="43" fillId="29" borderId="126" xfId="0" applyFont="1" applyFill="1" applyBorder="1" applyAlignment="1"/>
    <xf numFmtId="0" fontId="49" fillId="29" borderId="126" xfId="0" applyFont="1" applyFill="1" applyBorder="1"/>
    <xf numFmtId="0" fontId="49" fillId="29" borderId="127" xfId="0" applyFont="1" applyFill="1" applyBorder="1"/>
    <xf numFmtId="167" fontId="50" fillId="29" borderId="128" xfId="0" applyNumberFormat="1" applyFont="1" applyFill="1" applyBorder="1" applyAlignment="1"/>
    <xf numFmtId="3" fontId="51" fillId="29" borderId="37" xfId="0" applyNumberFormat="1" applyFont="1" applyFill="1" applyBorder="1" applyAlignment="1"/>
    <xf numFmtId="3" fontId="51" fillId="29" borderId="129" xfId="0" applyNumberFormat="1" applyFont="1" applyFill="1" applyBorder="1" applyAlignment="1"/>
    <xf numFmtId="0" fontId="49" fillId="29" borderId="46" xfId="0" applyFont="1" applyFill="1" applyBorder="1"/>
    <xf numFmtId="0" fontId="43" fillId="29" borderId="0" xfId="0" applyFont="1" applyFill="1" applyBorder="1"/>
    <xf numFmtId="0" fontId="0" fillId="29" borderId="46" xfId="0" applyFont="1" applyFill="1" applyBorder="1"/>
    <xf numFmtId="167" fontId="49" fillId="29" borderId="22" xfId="0" applyNumberFormat="1" applyFont="1" applyFill="1" applyBorder="1"/>
    <xf numFmtId="3" fontId="49" fillId="29" borderId="37" xfId="0" applyNumberFormat="1" applyFont="1" applyFill="1" applyBorder="1"/>
    <xf numFmtId="3" fontId="43" fillId="0" borderId="120" xfId="0" applyNumberFormat="1" applyFont="1" applyFill="1" applyBorder="1" applyAlignment="1">
      <alignment horizontal="right"/>
    </xf>
    <xf numFmtId="49" fontId="43" fillId="0" borderId="130" xfId="0" applyNumberFormat="1" applyFont="1" applyFill="1" applyBorder="1" applyAlignment="1">
      <alignment horizontal="center"/>
    </xf>
    <xf numFmtId="3" fontId="43" fillId="0" borderId="50" xfId="0" applyNumberFormat="1" applyFont="1" applyBorder="1"/>
    <xf numFmtId="0" fontId="36" fillId="3" borderId="0" xfId="569" applyFont="1" applyFill="1" applyBorder="1"/>
    <xf numFmtId="0" fontId="36" fillId="31" borderId="0" xfId="569" applyFont="1" applyFill="1" applyBorder="1"/>
    <xf numFmtId="0" fontId="37" fillId="31" borderId="0" xfId="569" applyFont="1" applyFill="1" applyBorder="1"/>
    <xf numFmtId="2" fontId="36" fillId="3" borderId="0" xfId="569" applyNumberFormat="1" applyFont="1" applyFill="1" applyBorder="1" applyAlignment="1">
      <alignment horizontal="center"/>
    </xf>
    <xf numFmtId="0" fontId="6" fillId="3" borderId="0" xfId="569" applyFont="1" applyFill="1" applyBorder="1"/>
    <xf numFmtId="4" fontId="37" fillId="0" borderId="132" xfId="569" applyNumberFormat="1" applyFont="1" applyBorder="1"/>
    <xf numFmtId="0" fontId="47" fillId="9" borderId="13" xfId="0" applyFont="1" applyFill="1" applyBorder="1" applyAlignment="1">
      <alignment horizontal="center"/>
    </xf>
    <xf numFmtId="3" fontId="48" fillId="7" borderId="45" xfId="0" applyNumberFormat="1" applyFont="1" applyFill="1" applyBorder="1" applyAlignment="1"/>
    <xf numFmtId="3" fontId="51" fillId="29" borderId="46" xfId="0" applyNumberFormat="1" applyFont="1" applyFill="1" applyBorder="1" applyAlignment="1"/>
    <xf numFmtId="3" fontId="49" fillId="3" borderId="46" xfId="0" applyNumberFormat="1" applyFont="1" applyFill="1" applyBorder="1" applyAlignment="1">
      <alignment horizontal="right"/>
    </xf>
    <xf numFmtId="3" fontId="49" fillId="28" borderId="46" xfId="0" applyNumberFormat="1" applyFont="1" applyFill="1" applyBorder="1"/>
    <xf numFmtId="3" fontId="51" fillId="3" borderId="46" xfId="0" applyNumberFormat="1" applyFont="1" applyFill="1" applyBorder="1" applyAlignment="1">
      <alignment horizontal="right"/>
    </xf>
    <xf numFmtId="3" fontId="43" fillId="0" borderId="49" xfId="0" applyNumberFormat="1" applyFont="1" applyFill="1" applyBorder="1"/>
    <xf numFmtId="3" fontId="49" fillId="15" borderId="49" xfId="0" applyNumberFormat="1" applyFont="1" applyFill="1" applyBorder="1"/>
    <xf numFmtId="3" fontId="43" fillId="0" borderId="46" xfId="0" applyNumberFormat="1" applyFont="1" applyFill="1" applyBorder="1"/>
    <xf numFmtId="3" fontId="49" fillId="29" borderId="46" xfId="0" applyNumberFormat="1" applyFont="1" applyFill="1" applyBorder="1"/>
    <xf numFmtId="3" fontId="49" fillId="15" borderId="49" xfId="0" applyNumberFormat="1" applyFont="1" applyFill="1" applyBorder="1" applyAlignment="1"/>
    <xf numFmtId="3" fontId="43" fillId="0" borderId="46" xfId="0" applyNumberFormat="1" applyFont="1" applyFill="1" applyBorder="1" applyAlignment="1"/>
    <xf numFmtId="3" fontId="43" fillId="0" borderId="49" xfId="0" applyNumberFormat="1" applyFont="1" applyFill="1" applyBorder="1" applyAlignment="1"/>
    <xf numFmtId="3" fontId="47" fillId="0" borderId="56" xfId="0" applyNumberFormat="1" applyFont="1" applyFill="1" applyBorder="1" applyAlignment="1"/>
    <xf numFmtId="0" fontId="43" fillId="0" borderId="81" xfId="0" applyFont="1" applyBorder="1"/>
    <xf numFmtId="0" fontId="43" fillId="0" borderId="82" xfId="0" applyFont="1" applyBorder="1"/>
    <xf numFmtId="3" fontId="51" fillId="27" borderId="46" xfId="0" applyNumberFormat="1" applyFont="1" applyFill="1" applyBorder="1"/>
    <xf numFmtId="3" fontId="43" fillId="0" borderId="85" xfId="0" applyNumberFormat="1" applyFont="1" applyFill="1" applyBorder="1" applyAlignment="1">
      <alignment horizontal="right"/>
    </xf>
    <xf numFmtId="3" fontId="49" fillId="7" borderId="46" xfId="0" applyNumberFormat="1" applyFont="1" applyFill="1" applyBorder="1" applyAlignment="1">
      <alignment horizontal="right"/>
    </xf>
    <xf numFmtId="1" fontId="43" fillId="0" borderId="49" xfId="0" applyNumberFormat="1" applyFont="1" applyBorder="1"/>
    <xf numFmtId="167" fontId="0" fillId="9" borderId="0" xfId="0" applyNumberFormat="1" applyFont="1" applyFill="1" applyBorder="1" applyAlignment="1">
      <alignment horizontal="center"/>
    </xf>
    <xf numFmtId="1" fontId="0" fillId="9" borderId="19" xfId="0" applyNumberFormat="1" applyFont="1" applyFill="1" applyBorder="1" applyAlignment="1">
      <alignment horizontal="center" vertical="center"/>
    </xf>
    <xf numFmtId="3" fontId="43" fillId="0" borderId="19" xfId="0" applyNumberFormat="1" applyFont="1" applyFill="1" applyBorder="1"/>
    <xf numFmtId="3" fontId="51" fillId="7" borderId="116" xfId="0" applyNumberFormat="1" applyFont="1" applyFill="1" applyBorder="1"/>
    <xf numFmtId="167" fontId="0" fillId="9" borderId="81" xfId="0" applyNumberFormat="1" applyFont="1" applyFill="1" applyBorder="1" applyAlignment="1">
      <alignment horizontal="center"/>
    </xf>
    <xf numFmtId="1" fontId="0" fillId="9" borderId="83" xfId="0" applyNumberFormat="1" applyFont="1" applyFill="1" applyBorder="1" applyAlignment="1">
      <alignment horizontal="center" vertical="center"/>
    </xf>
    <xf numFmtId="3" fontId="51" fillId="10" borderId="133" xfId="0" applyNumberFormat="1" applyFont="1" applyFill="1" applyBorder="1" applyAlignment="1"/>
    <xf numFmtId="3" fontId="49" fillId="7" borderId="134" xfId="0" applyNumberFormat="1" applyFont="1" applyFill="1" applyBorder="1"/>
    <xf numFmtId="3" fontId="49" fillId="15" borderId="135" xfId="0" applyNumberFormat="1" applyFont="1" applyFill="1" applyBorder="1"/>
    <xf numFmtId="3" fontId="43" fillId="0" borderId="135" xfId="0" applyNumberFormat="1" applyFont="1" applyFill="1" applyBorder="1" applyAlignment="1">
      <alignment horizontal="right"/>
    </xf>
    <xf numFmtId="3" fontId="90" fillId="0" borderId="135" xfId="0" applyNumberFormat="1" applyFont="1" applyFill="1" applyBorder="1" applyAlignment="1">
      <alignment horizontal="right"/>
    </xf>
    <xf numFmtId="3" fontId="60" fillId="0" borderId="135" xfId="0" applyNumberFormat="1" applyFont="1" applyFill="1" applyBorder="1" applyAlignment="1">
      <alignment horizontal="right"/>
    </xf>
    <xf numFmtId="3" fontId="49" fillId="27" borderId="136" xfId="0" applyNumberFormat="1" applyFont="1" applyFill="1" applyBorder="1"/>
    <xf numFmtId="3" fontId="43" fillId="0" borderId="135" xfId="0" applyNumberFormat="1" applyFont="1" applyFill="1" applyBorder="1"/>
    <xf numFmtId="3" fontId="51" fillId="10" borderId="136" xfId="0" applyNumberFormat="1" applyFont="1" applyFill="1" applyBorder="1" applyAlignment="1"/>
    <xf numFmtId="3" fontId="49" fillId="7" borderId="136" xfId="0" applyNumberFormat="1" applyFont="1" applyFill="1" applyBorder="1"/>
    <xf numFmtId="3" fontId="43" fillId="0" borderId="136" xfId="0" applyNumberFormat="1" applyFont="1" applyFill="1" applyBorder="1" applyAlignment="1">
      <alignment horizontal="right"/>
    </xf>
    <xf numFmtId="3" fontId="51" fillId="10" borderId="137" xfId="0" applyNumberFormat="1" applyFont="1" applyFill="1" applyBorder="1" applyAlignment="1"/>
    <xf numFmtId="3" fontId="43" fillId="0" borderId="139" xfId="0" applyNumberFormat="1" applyFont="1" applyFill="1" applyBorder="1" applyAlignment="1">
      <alignment horizontal="right"/>
    </xf>
    <xf numFmtId="3" fontId="54" fillId="7" borderId="41" xfId="0" applyNumberFormat="1" applyFont="1" applyFill="1" applyBorder="1"/>
    <xf numFmtId="167" fontId="43" fillId="32" borderId="22" xfId="0" applyNumberFormat="1" applyFont="1" applyFill="1" applyBorder="1" applyAlignment="1">
      <alignment horizontal="right"/>
    </xf>
    <xf numFmtId="3" fontId="43" fillId="32" borderId="37" xfId="0" applyNumberFormat="1" applyFont="1" applyFill="1" applyBorder="1" applyAlignment="1">
      <alignment horizontal="right"/>
    </xf>
    <xf numFmtId="3" fontId="43" fillId="32" borderId="22" xfId="0" applyNumberFormat="1" applyFont="1" applyFill="1" applyBorder="1" applyAlignment="1">
      <alignment horizontal="right"/>
    </xf>
    <xf numFmtId="167" fontId="43" fillId="26" borderId="14" xfId="0" applyNumberFormat="1" applyFont="1" applyFill="1" applyBorder="1" applyAlignment="1">
      <alignment horizontal="right"/>
    </xf>
    <xf numFmtId="3" fontId="43" fillId="15" borderId="14" xfId="0" applyNumberFormat="1" applyFont="1" applyFill="1" applyBorder="1" applyAlignment="1">
      <alignment horizontal="right"/>
    </xf>
    <xf numFmtId="0" fontId="49" fillId="27" borderId="140" xfId="0" applyFont="1" applyFill="1" applyBorder="1"/>
    <xf numFmtId="0" fontId="43" fillId="27" borderId="79" xfId="0" applyFont="1" applyFill="1" applyBorder="1" applyAlignment="1"/>
    <xf numFmtId="0" fontId="49" fillId="27" borderId="79" xfId="0" applyFont="1" applyFill="1" applyBorder="1"/>
    <xf numFmtId="0" fontId="49" fillId="27" borderId="76" xfId="0" applyFont="1" applyFill="1" applyBorder="1"/>
    <xf numFmtId="167" fontId="51" fillId="27" borderId="77" xfId="0" applyNumberFormat="1" applyFont="1" applyFill="1" applyBorder="1"/>
    <xf numFmtId="3" fontId="51" fillId="27" borderId="76" xfId="0" applyNumberFormat="1" applyFont="1" applyFill="1" applyBorder="1"/>
    <xf numFmtId="3" fontId="51" fillId="27" borderId="78" xfId="0" applyNumberFormat="1" applyFont="1" applyFill="1" applyBorder="1"/>
    <xf numFmtId="3" fontId="51" fillId="27" borderId="79" xfId="0" applyNumberFormat="1" applyFont="1" applyFill="1" applyBorder="1"/>
    <xf numFmtId="3" fontId="51" fillId="7" borderId="110" xfId="0" applyNumberFormat="1" applyFont="1" applyFill="1" applyBorder="1"/>
    <xf numFmtId="3" fontId="51" fillId="7" borderId="117" xfId="0" applyNumberFormat="1" applyFont="1" applyFill="1" applyBorder="1"/>
    <xf numFmtId="3" fontId="51" fillId="7" borderId="111" xfId="0" applyNumberFormat="1" applyFont="1" applyFill="1" applyBorder="1"/>
    <xf numFmtId="0" fontId="51" fillId="15" borderId="52" xfId="0" applyFont="1" applyFill="1" applyBorder="1"/>
    <xf numFmtId="0" fontId="51" fillId="15" borderId="19" xfId="0" applyFont="1" applyFill="1" applyBorder="1"/>
    <xf numFmtId="0" fontId="49" fillId="26" borderId="100" xfId="0" applyFont="1" applyFill="1" applyBorder="1"/>
    <xf numFmtId="3" fontId="43" fillId="26" borderId="141" xfId="0" applyNumberFormat="1" applyFont="1" applyFill="1" applyBorder="1" applyAlignment="1">
      <alignment horizontal="right"/>
    </xf>
    <xf numFmtId="3" fontId="43" fillId="26" borderId="100" xfId="0" applyNumberFormat="1" applyFont="1" applyFill="1" applyBorder="1" applyAlignment="1">
      <alignment horizontal="right"/>
    </xf>
    <xf numFmtId="3" fontId="43" fillId="26" borderId="142" xfId="0" applyNumberFormat="1" applyFont="1" applyFill="1" applyBorder="1" applyAlignment="1">
      <alignment horizontal="right"/>
    </xf>
    <xf numFmtId="3" fontId="51" fillId="27" borderId="84" xfId="0" applyNumberFormat="1" applyFont="1" applyFill="1" applyBorder="1"/>
    <xf numFmtId="167" fontId="50" fillId="7" borderId="117" xfId="0" applyNumberFormat="1" applyFont="1" applyFill="1" applyBorder="1" applyAlignment="1"/>
    <xf numFmtId="3" fontId="51" fillId="7" borderId="116" xfId="0" applyNumberFormat="1" applyFont="1" applyFill="1" applyBorder="1" applyAlignment="1"/>
    <xf numFmtId="3" fontId="51" fillId="7" borderId="118" xfId="0" applyNumberFormat="1" applyFont="1" applyFill="1" applyBorder="1" applyAlignment="1"/>
    <xf numFmtId="0" fontId="49" fillId="28" borderId="140" xfId="0" applyFont="1" applyFill="1" applyBorder="1"/>
    <xf numFmtId="0" fontId="43" fillId="28" borderId="79" xfId="0" applyFont="1" applyFill="1" applyBorder="1" applyAlignment="1"/>
    <xf numFmtId="0" fontId="49" fillId="28" borderId="79" xfId="0" applyFont="1" applyFill="1" applyBorder="1"/>
    <xf numFmtId="0" fontId="49" fillId="28" borderId="76" xfId="0" applyFont="1" applyFill="1" applyBorder="1"/>
    <xf numFmtId="167" fontId="50" fillId="28" borderId="77" xfId="0" applyNumberFormat="1" applyFont="1" applyFill="1" applyBorder="1" applyAlignment="1"/>
    <xf numFmtId="3" fontId="51" fillId="28" borderId="76" xfId="0" applyNumberFormat="1" applyFont="1" applyFill="1" applyBorder="1" applyAlignment="1"/>
    <xf numFmtId="3" fontId="51" fillId="28" borderId="78" xfId="0" applyNumberFormat="1" applyFont="1" applyFill="1" applyBorder="1" applyAlignment="1"/>
    <xf numFmtId="167" fontId="51" fillId="29" borderId="128" xfId="0" applyNumberFormat="1" applyFont="1" applyFill="1" applyBorder="1"/>
    <xf numFmtId="3" fontId="51" fillId="29" borderId="126" xfId="0" applyNumberFormat="1" applyFont="1" applyFill="1" applyBorder="1"/>
    <xf numFmtId="3" fontId="51" fillId="29" borderId="144" xfId="0" applyNumberFormat="1" applyFont="1" applyFill="1" applyBorder="1"/>
    <xf numFmtId="3" fontId="51" fillId="29" borderId="127" xfId="0" applyNumberFormat="1" applyFont="1" applyFill="1" applyBorder="1"/>
    <xf numFmtId="3" fontId="51" fillId="29" borderId="129" xfId="0" applyNumberFormat="1" applyFont="1" applyFill="1" applyBorder="1"/>
    <xf numFmtId="0" fontId="92" fillId="27" borderId="79" xfId="0" applyFont="1" applyFill="1" applyBorder="1" applyAlignment="1"/>
    <xf numFmtId="0" fontId="91" fillId="27" borderId="79" xfId="0" applyFont="1" applyFill="1" applyBorder="1"/>
    <xf numFmtId="3" fontId="51" fillId="27" borderId="77" xfId="0" applyNumberFormat="1" applyFont="1" applyFill="1" applyBorder="1"/>
    <xf numFmtId="3" fontId="51" fillId="29" borderId="128" xfId="0" applyNumberFormat="1" applyFont="1" applyFill="1" applyBorder="1"/>
    <xf numFmtId="0" fontId="49" fillId="29" borderId="97" xfId="0" applyFont="1" applyFill="1" applyBorder="1"/>
    <xf numFmtId="0" fontId="43" fillId="29" borderId="0" xfId="0" applyFont="1" applyFill="1" applyBorder="1" applyAlignment="1"/>
    <xf numFmtId="0" fontId="49" fillId="29" borderId="0" xfId="0" applyFont="1" applyFill="1" applyBorder="1"/>
    <xf numFmtId="3" fontId="43" fillId="33" borderId="37" xfId="0" applyNumberFormat="1" applyFont="1" applyFill="1" applyBorder="1" applyAlignment="1">
      <alignment horizontal="right"/>
    </xf>
    <xf numFmtId="3" fontId="43" fillId="33" borderId="0" xfId="0" applyNumberFormat="1" applyFont="1" applyFill="1" applyBorder="1" applyAlignment="1">
      <alignment horizontal="right"/>
    </xf>
    <xf numFmtId="3" fontId="43" fillId="33" borderId="22" xfId="0" applyNumberFormat="1" applyFont="1" applyFill="1" applyBorder="1" applyAlignment="1">
      <alignment horizontal="right"/>
    </xf>
    <xf numFmtId="3" fontId="43" fillId="33" borderId="81" xfId="0" applyNumberFormat="1" applyFont="1" applyFill="1" applyBorder="1" applyAlignment="1">
      <alignment horizontal="right"/>
    </xf>
    <xf numFmtId="3" fontId="51" fillId="29" borderId="46" xfId="0" applyNumberFormat="1" applyFont="1" applyFill="1" applyBorder="1"/>
    <xf numFmtId="3" fontId="51" fillId="29" borderId="37" xfId="0" applyNumberFormat="1" applyFont="1" applyFill="1" applyBorder="1"/>
    <xf numFmtId="3" fontId="51" fillId="29" borderId="0" xfId="0" applyNumberFormat="1" applyFont="1" applyFill="1" applyBorder="1"/>
    <xf numFmtId="0" fontId="0" fillId="32" borderId="0" xfId="0" applyFill="1" applyBorder="1"/>
    <xf numFmtId="49" fontId="53" fillId="15" borderId="51" xfId="0" applyNumberFormat="1" applyFont="1" applyFill="1" applyBorder="1" applyAlignment="1">
      <alignment horizontal="right"/>
    </xf>
    <xf numFmtId="0" fontId="0" fillId="26" borderId="15" xfId="0" applyFill="1" applyBorder="1"/>
    <xf numFmtId="167" fontId="51" fillId="29" borderId="22" xfId="0" applyNumberFormat="1" applyFont="1" applyFill="1" applyBorder="1"/>
    <xf numFmtId="0" fontId="49" fillId="29" borderId="145" xfId="0" applyFont="1" applyFill="1" applyBorder="1"/>
    <xf numFmtId="0" fontId="43" fillId="29" borderId="146" xfId="0" applyFont="1" applyFill="1" applyBorder="1" applyAlignment="1"/>
    <xf numFmtId="0" fontId="49" fillId="29" borderId="146" xfId="0" applyFont="1" applyFill="1" applyBorder="1"/>
    <xf numFmtId="0" fontId="49" fillId="29" borderId="147" xfId="0" applyFont="1" applyFill="1" applyBorder="1"/>
    <xf numFmtId="167" fontId="51" fillId="29" borderId="148" xfId="0" applyNumberFormat="1" applyFont="1" applyFill="1" applyBorder="1"/>
    <xf numFmtId="3" fontId="51" fillId="29" borderId="147" xfId="0" applyNumberFormat="1" applyFont="1" applyFill="1" applyBorder="1"/>
    <xf numFmtId="3" fontId="51" fillId="29" borderId="149" xfId="0" applyNumberFormat="1" applyFont="1" applyFill="1" applyBorder="1"/>
    <xf numFmtId="3" fontId="51" fillId="29" borderId="146" xfId="0" applyNumberFormat="1" applyFont="1" applyFill="1" applyBorder="1"/>
    <xf numFmtId="0" fontId="54" fillId="10" borderId="68" xfId="0" applyFont="1" applyFill="1" applyBorder="1" applyAlignment="1">
      <alignment vertical="center"/>
    </xf>
    <xf numFmtId="0" fontId="0" fillId="10" borderId="24" xfId="0" applyFont="1" applyFill="1" applyBorder="1" applyAlignment="1">
      <alignment horizontal="center"/>
    </xf>
    <xf numFmtId="0" fontId="0" fillId="10" borderId="150" xfId="0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/>
    </xf>
    <xf numFmtId="0" fontId="6" fillId="10" borderId="46" xfId="0" applyFont="1" applyFill="1" applyBorder="1" applyAlignment="1">
      <alignment horizontal="center" vertical="center"/>
    </xf>
    <xf numFmtId="0" fontId="0" fillId="10" borderId="85" xfId="0" applyFont="1" applyFill="1" applyBorder="1" applyAlignment="1">
      <alignment horizontal="center" vertical="center"/>
    </xf>
    <xf numFmtId="3" fontId="65" fillId="0" borderId="65" xfId="0" applyNumberFormat="1" applyFont="1" applyBorder="1"/>
    <xf numFmtId="3" fontId="0" fillId="0" borderId="49" xfId="0" applyNumberFormat="1" applyFont="1" applyBorder="1"/>
    <xf numFmtId="3" fontId="0" fillId="0" borderId="46" xfId="0" applyNumberFormat="1" applyFont="1" applyFill="1" applyBorder="1"/>
    <xf numFmtId="0" fontId="0" fillId="0" borderId="98" xfId="0" applyFont="1" applyFill="1" applyBorder="1" applyAlignment="1">
      <alignment horizontal="left" vertical="center"/>
    </xf>
    <xf numFmtId="0" fontId="54" fillId="0" borderId="81" xfId="0" applyFont="1" applyFill="1" applyBorder="1"/>
    <xf numFmtId="0" fontId="52" fillId="0" borderId="82" xfId="0" applyFont="1" applyFill="1" applyBorder="1"/>
    <xf numFmtId="0" fontId="6" fillId="10" borderId="56" xfId="0" applyFont="1" applyFill="1" applyBorder="1" applyAlignment="1">
      <alignment horizontal="center" vertical="center"/>
    </xf>
    <xf numFmtId="0" fontId="0" fillId="10" borderId="151" xfId="0" applyFont="1" applyFill="1" applyBorder="1" applyAlignment="1">
      <alignment horizontal="center" vertical="center"/>
    </xf>
    <xf numFmtId="0" fontId="0" fillId="10" borderId="80" xfId="0" applyFont="1" applyFill="1" applyBorder="1" applyAlignment="1">
      <alignment horizontal="center"/>
    </xf>
    <xf numFmtId="0" fontId="6" fillId="10" borderId="85" xfId="0" applyFont="1" applyFill="1" applyBorder="1" applyAlignment="1">
      <alignment horizontal="center" vertical="center"/>
    </xf>
    <xf numFmtId="0" fontId="50" fillId="34" borderId="152" xfId="0" applyFont="1" applyFill="1" applyBorder="1" applyAlignment="1">
      <alignment horizontal="center"/>
    </xf>
    <xf numFmtId="167" fontId="43" fillId="34" borderId="77" xfId="0" applyNumberFormat="1" applyFont="1" applyFill="1" applyBorder="1" applyAlignment="1">
      <alignment horizontal="right"/>
    </xf>
    <xf numFmtId="3" fontId="51" fillId="34" borderId="78" xfId="0" applyNumberFormat="1" applyFont="1" applyFill="1" applyBorder="1" applyAlignment="1">
      <alignment horizontal="right"/>
    </xf>
    <xf numFmtId="3" fontId="51" fillId="34" borderId="77" xfId="0" applyNumberFormat="1" applyFont="1" applyFill="1" applyBorder="1" applyAlignment="1">
      <alignment horizontal="right"/>
    </xf>
    <xf numFmtId="3" fontId="54" fillId="7" borderId="80" xfId="0" applyNumberFormat="1" applyFont="1" applyFill="1" applyBorder="1"/>
    <xf numFmtId="3" fontId="51" fillId="29" borderId="85" xfId="0" applyNumberFormat="1" applyFont="1" applyFill="1" applyBorder="1"/>
    <xf numFmtId="3" fontId="51" fillId="15" borderId="14" xfId="0" applyNumberFormat="1" applyFont="1" applyFill="1" applyBorder="1" applyAlignment="1"/>
    <xf numFmtId="3" fontId="43" fillId="26" borderId="14" xfId="0" applyNumberFormat="1" applyFont="1" applyFill="1" applyBorder="1" applyAlignment="1">
      <alignment horizontal="right"/>
    </xf>
    <xf numFmtId="3" fontId="51" fillId="27" borderId="81" xfId="0" applyNumberFormat="1" applyFont="1" applyFill="1" applyBorder="1"/>
    <xf numFmtId="3" fontId="51" fillId="29" borderId="153" xfId="0" applyNumberFormat="1" applyFont="1" applyFill="1" applyBorder="1"/>
    <xf numFmtId="3" fontId="51" fillId="10" borderId="151" xfId="0" applyNumberFormat="1" applyFont="1" applyFill="1" applyBorder="1" applyAlignment="1"/>
    <xf numFmtId="3" fontId="63" fillId="0" borderId="82" xfId="0" applyNumberFormat="1" applyFont="1" applyFill="1" applyBorder="1" applyAlignment="1">
      <alignment horizontal="right"/>
    </xf>
    <xf numFmtId="3" fontId="60" fillId="8" borderId="82" xfId="0" applyNumberFormat="1" applyFont="1" applyFill="1" applyBorder="1"/>
    <xf numFmtId="3" fontId="43" fillId="8" borderId="82" xfId="0" applyNumberFormat="1" applyFont="1" applyFill="1" applyBorder="1"/>
    <xf numFmtId="3" fontId="48" fillId="7" borderId="59" xfId="0" applyNumberFormat="1" applyFont="1" applyFill="1" applyBorder="1" applyAlignment="1"/>
    <xf numFmtId="3" fontId="51" fillId="29" borderId="22" xfId="0" applyNumberFormat="1" applyFont="1" applyFill="1" applyBorder="1"/>
    <xf numFmtId="3" fontId="51" fillId="10" borderId="69" xfId="0" applyNumberFormat="1" applyFont="1" applyFill="1" applyBorder="1" applyAlignment="1"/>
    <xf numFmtId="3" fontId="51" fillId="15" borderId="14" xfId="0" applyNumberFormat="1" applyFont="1" applyFill="1" applyBorder="1" applyAlignment="1">
      <alignment horizontal="right"/>
    </xf>
    <xf numFmtId="3" fontId="43" fillId="0" borderId="33" xfId="0" applyNumberFormat="1" applyFont="1" applyFill="1" applyBorder="1" applyAlignment="1">
      <alignment horizontal="right"/>
    </xf>
    <xf numFmtId="3" fontId="49" fillId="0" borderId="82" xfId="0" applyNumberFormat="1" applyFont="1" applyFill="1" applyBorder="1" applyAlignment="1">
      <alignment horizontal="right"/>
    </xf>
    <xf numFmtId="3" fontId="51" fillId="15" borderId="82" xfId="0" applyNumberFormat="1" applyFont="1" applyFill="1" applyBorder="1" applyAlignment="1">
      <alignment horizontal="right"/>
    </xf>
    <xf numFmtId="3" fontId="49" fillId="27" borderId="81" xfId="0" applyNumberFormat="1" applyFont="1" applyFill="1" applyBorder="1" applyAlignment="1">
      <alignment horizontal="right"/>
    </xf>
    <xf numFmtId="3" fontId="51" fillId="15" borderId="49" xfId="0" applyNumberFormat="1" applyFont="1" applyFill="1" applyBorder="1" applyAlignment="1">
      <alignment horizontal="right"/>
    </xf>
    <xf numFmtId="3" fontId="51" fillId="15" borderId="50" xfId="0" applyNumberFormat="1" applyFont="1" applyFill="1" applyBorder="1" applyAlignment="1">
      <alignment horizontal="right"/>
    </xf>
    <xf numFmtId="3" fontId="49" fillId="0" borderId="83" xfId="0" applyNumberFormat="1" applyFont="1" applyFill="1" applyBorder="1" applyAlignment="1">
      <alignment horizontal="right"/>
    </xf>
    <xf numFmtId="3" fontId="43" fillId="0" borderId="82" xfId="0" applyNumberFormat="1" applyFont="1" applyBorder="1"/>
    <xf numFmtId="3" fontId="49" fillId="10" borderId="81" xfId="0" applyNumberFormat="1" applyFont="1" applyFill="1" applyBorder="1"/>
    <xf numFmtId="3" fontId="49" fillId="32" borderId="81" xfId="0" applyNumberFormat="1" applyFont="1" applyFill="1" applyBorder="1"/>
    <xf numFmtId="3" fontId="49" fillId="26" borderId="82" xfId="0" applyNumberFormat="1" applyFont="1" applyFill="1" applyBorder="1"/>
    <xf numFmtId="3" fontId="43" fillId="0" borderId="111" xfId="0" applyNumberFormat="1" applyFont="1" applyFill="1" applyBorder="1" applyAlignment="1">
      <alignment horizontal="right"/>
    </xf>
    <xf numFmtId="3" fontId="43" fillId="7" borderId="81" xfId="0" applyNumberFormat="1" applyFont="1" applyFill="1" applyBorder="1" applyAlignment="1">
      <alignment horizontal="right"/>
    </xf>
    <xf numFmtId="3" fontId="43" fillId="0" borderId="81" xfId="0" applyNumberFormat="1" applyFont="1" applyFill="1" applyBorder="1"/>
    <xf numFmtId="3" fontId="54" fillId="10" borderId="81" xfId="0" applyNumberFormat="1" applyFont="1" applyFill="1" applyBorder="1" applyAlignment="1"/>
    <xf numFmtId="3" fontId="43" fillId="33" borderId="46" xfId="0" applyNumberFormat="1" applyFont="1" applyFill="1" applyBorder="1" applyAlignment="1">
      <alignment horizontal="right"/>
    </xf>
    <xf numFmtId="3" fontId="43" fillId="26" borderId="155" xfId="0" applyNumberFormat="1" applyFont="1" applyFill="1" applyBorder="1" applyAlignment="1">
      <alignment horizontal="right"/>
    </xf>
    <xf numFmtId="3" fontId="43" fillId="0" borderId="76" xfId="0" applyNumberFormat="1" applyFont="1" applyFill="1" applyBorder="1" applyAlignment="1">
      <alignment horizontal="right"/>
    </xf>
    <xf numFmtId="3" fontId="51" fillId="10" borderId="46" xfId="0" applyNumberFormat="1" applyFont="1" applyFill="1" applyBorder="1" applyAlignment="1">
      <alignment horizontal="right"/>
    </xf>
    <xf numFmtId="3" fontId="49" fillId="29" borderId="81" xfId="0" applyNumberFormat="1" applyFont="1" applyFill="1" applyBorder="1"/>
    <xf numFmtId="3" fontId="49" fillId="26" borderId="101" xfId="0" applyNumberFormat="1" applyFont="1" applyFill="1" applyBorder="1"/>
    <xf numFmtId="3" fontId="43" fillId="10" borderId="81" xfId="0" applyNumberFormat="1" applyFont="1" applyFill="1" applyBorder="1" applyAlignment="1">
      <alignment horizontal="right"/>
    </xf>
    <xf numFmtId="3" fontId="49" fillId="0" borderId="85" xfId="0" applyNumberFormat="1" applyFont="1" applyFill="1" applyBorder="1" applyAlignment="1">
      <alignment horizontal="right"/>
    </xf>
    <xf numFmtId="3" fontId="49" fillId="3" borderId="81" xfId="0" applyNumberFormat="1" applyFont="1" applyFill="1" applyBorder="1" applyAlignment="1">
      <alignment horizontal="right"/>
    </xf>
    <xf numFmtId="3" fontId="49" fillId="28" borderId="81" xfId="0" applyNumberFormat="1" applyFont="1" applyFill="1" applyBorder="1"/>
    <xf numFmtId="3" fontId="51" fillId="3" borderId="81" xfId="0" applyNumberFormat="1" applyFont="1" applyFill="1" applyBorder="1" applyAlignment="1">
      <alignment horizontal="right"/>
    </xf>
    <xf numFmtId="3" fontId="43" fillId="0" borderId="81" xfId="0" applyNumberFormat="1" applyFont="1" applyBorder="1"/>
    <xf numFmtId="3" fontId="51" fillId="7" borderId="111" xfId="0" applyNumberFormat="1" applyFont="1" applyFill="1" applyBorder="1" applyAlignment="1"/>
    <xf numFmtId="3" fontId="51" fillId="28" borderId="84" xfId="0" applyNumberFormat="1" applyFont="1" applyFill="1" applyBorder="1" applyAlignment="1"/>
    <xf numFmtId="3" fontId="51" fillId="29" borderId="85" xfId="0" applyNumberFormat="1" applyFont="1" applyFill="1" applyBorder="1" applyAlignment="1"/>
    <xf numFmtId="3" fontId="43" fillId="0" borderId="81" xfId="0" applyNumberFormat="1" applyFont="1" applyFill="1" applyBorder="1" applyAlignment="1"/>
    <xf numFmtId="3" fontId="43" fillId="0" borderId="82" xfId="0" applyNumberFormat="1" applyFont="1" applyFill="1" applyBorder="1" applyAlignment="1"/>
    <xf numFmtId="3" fontId="49" fillId="15" borderId="82" xfId="0" applyNumberFormat="1" applyFont="1" applyFill="1" applyBorder="1" applyAlignment="1"/>
    <xf numFmtId="3" fontId="43" fillId="0" borderId="85" xfId="0" applyNumberFormat="1" applyFont="1" applyFill="1" applyBorder="1" applyAlignment="1"/>
    <xf numFmtId="3" fontId="51" fillId="7" borderId="117" xfId="0" applyNumberFormat="1" applyFont="1" applyFill="1" applyBorder="1" applyAlignment="1"/>
    <xf numFmtId="3" fontId="51" fillId="28" borderId="77" xfId="0" applyNumberFormat="1" applyFont="1" applyFill="1" applyBorder="1" applyAlignment="1"/>
    <xf numFmtId="3" fontId="51" fillId="29" borderId="22" xfId="0" applyNumberFormat="1" applyFont="1" applyFill="1" applyBorder="1" applyAlignment="1"/>
    <xf numFmtId="3" fontId="49" fillId="3" borderId="22" xfId="0" applyNumberFormat="1" applyFont="1" applyFill="1" applyBorder="1" applyAlignment="1">
      <alignment horizontal="right"/>
    </xf>
    <xf numFmtId="3" fontId="49" fillId="28" borderId="22" xfId="0" applyNumberFormat="1" applyFont="1" applyFill="1" applyBorder="1"/>
    <xf numFmtId="3" fontId="51" fillId="3" borderId="22" xfId="0" applyNumberFormat="1" applyFont="1" applyFill="1" applyBorder="1" applyAlignment="1">
      <alignment horizontal="right"/>
    </xf>
    <xf numFmtId="3" fontId="43" fillId="0" borderId="14" xfId="0" applyNumberFormat="1" applyFont="1" applyFill="1" applyBorder="1"/>
    <xf numFmtId="3" fontId="43" fillId="0" borderId="22" xfId="0" applyNumberFormat="1" applyFont="1" applyFill="1" applyBorder="1"/>
    <xf numFmtId="0" fontId="43" fillId="0" borderId="22" xfId="0" applyFont="1" applyBorder="1"/>
    <xf numFmtId="3" fontId="49" fillId="29" borderId="22" xfId="0" applyNumberFormat="1" applyFont="1" applyFill="1" applyBorder="1"/>
    <xf numFmtId="3" fontId="43" fillId="0" borderId="22" xfId="0" applyNumberFormat="1" applyFont="1" applyFill="1" applyBorder="1" applyAlignment="1"/>
    <xf numFmtId="3" fontId="43" fillId="0" borderId="14" xfId="0" applyNumberFormat="1" applyFont="1" applyFill="1" applyBorder="1" applyAlignment="1"/>
    <xf numFmtId="3" fontId="47" fillId="0" borderId="31" xfId="0" applyNumberFormat="1" applyFont="1" applyFill="1" applyBorder="1" applyAlignment="1"/>
    <xf numFmtId="167" fontId="0" fillId="9" borderId="156" xfId="0" applyNumberFormat="1" applyFont="1" applyFill="1" applyBorder="1" applyAlignment="1">
      <alignment horizontal="center"/>
    </xf>
    <xf numFmtId="3" fontId="51" fillId="10" borderId="157" xfId="0" applyNumberFormat="1" applyFont="1" applyFill="1" applyBorder="1" applyAlignment="1"/>
    <xf numFmtId="3" fontId="31" fillId="4" borderId="0" xfId="569" applyNumberFormat="1" applyFont="1" applyFill="1" applyBorder="1" applyAlignment="1"/>
    <xf numFmtId="0" fontId="42" fillId="4" borderId="0" xfId="569" applyFont="1" applyFill="1" applyBorder="1" applyAlignment="1"/>
    <xf numFmtId="0" fontId="42" fillId="0" borderId="0" xfId="569" applyFont="1" applyFill="1" applyBorder="1" applyAlignment="1"/>
    <xf numFmtId="0" fontId="36" fillId="0" borderId="159" xfId="569" applyFont="1" applyBorder="1"/>
    <xf numFmtId="0" fontId="36" fillId="0" borderId="130" xfId="569" applyFont="1" applyFill="1" applyBorder="1"/>
    <xf numFmtId="3" fontId="43" fillId="0" borderId="37" xfId="0" applyNumberFormat="1" applyFont="1" applyBorder="1"/>
    <xf numFmtId="171" fontId="49" fillId="15" borderId="165" xfId="409" applyNumberFormat="1" applyFont="1" applyFill="1" applyBorder="1" applyAlignment="1">
      <alignment horizontal="right"/>
    </xf>
    <xf numFmtId="3" fontId="43" fillId="0" borderId="0" xfId="0" applyNumberFormat="1" applyFont="1" applyBorder="1"/>
    <xf numFmtId="167" fontId="43" fillId="0" borderId="0" xfId="0" applyNumberFormat="1" applyFont="1" applyBorder="1"/>
    <xf numFmtId="3" fontId="49" fillId="15" borderId="166" xfId="0" applyNumberFormat="1" applyFont="1" applyFill="1" applyBorder="1"/>
    <xf numFmtId="3" fontId="49" fillId="15" borderId="167" xfId="0" applyNumberFormat="1" applyFont="1" applyFill="1" applyBorder="1"/>
    <xf numFmtId="3" fontId="49" fillId="7" borderId="166" xfId="0" applyNumberFormat="1" applyFont="1" applyFill="1" applyBorder="1"/>
    <xf numFmtId="3" fontId="49" fillId="7" borderId="167" xfId="0" applyNumberFormat="1" applyFont="1" applyFill="1" applyBorder="1"/>
    <xf numFmtId="3" fontId="49" fillId="7" borderId="168" xfId="0" applyNumberFormat="1" applyFont="1" applyFill="1" applyBorder="1"/>
    <xf numFmtId="3" fontId="43" fillId="15" borderId="169" xfId="0" applyNumberFormat="1" applyFont="1" applyFill="1" applyBorder="1" applyAlignment="1"/>
    <xf numFmtId="3" fontId="43" fillId="15" borderId="60" xfId="0" applyNumberFormat="1" applyFont="1" applyFill="1" applyBorder="1" applyAlignment="1"/>
    <xf numFmtId="3" fontId="43" fillId="15" borderId="20" xfId="0" applyNumberFormat="1" applyFont="1" applyFill="1" applyBorder="1" applyAlignment="1"/>
    <xf numFmtId="3" fontId="43" fillId="15" borderId="170" xfId="0" applyNumberFormat="1" applyFont="1" applyFill="1" applyBorder="1" applyAlignment="1"/>
    <xf numFmtId="3" fontId="43" fillId="3" borderId="160" xfId="0" applyNumberFormat="1" applyFont="1" applyFill="1" applyBorder="1" applyAlignment="1"/>
    <xf numFmtId="3" fontId="43" fillId="3" borderId="15" xfId="0" applyNumberFormat="1" applyFont="1" applyFill="1" applyBorder="1" applyAlignment="1"/>
    <xf numFmtId="3" fontId="43" fillId="3" borderId="16" xfId="0" applyNumberFormat="1" applyFont="1" applyFill="1" applyBorder="1" applyAlignment="1"/>
    <xf numFmtId="3" fontId="43" fillId="3" borderId="171" xfId="0" applyNumberFormat="1" applyFont="1" applyFill="1" applyBorder="1" applyAlignment="1"/>
    <xf numFmtId="3" fontId="43" fillId="4" borderId="163" xfId="0" applyNumberFormat="1" applyFont="1" applyFill="1" applyBorder="1" applyAlignment="1"/>
    <xf numFmtId="3" fontId="43" fillId="4" borderId="15" xfId="0" applyNumberFormat="1" applyFont="1" applyFill="1" applyBorder="1" applyAlignment="1"/>
    <xf numFmtId="3" fontId="43" fillId="4" borderId="16" xfId="0" applyNumberFormat="1" applyFont="1" applyFill="1" applyBorder="1" applyAlignment="1"/>
    <xf numFmtId="3" fontId="43" fillId="4" borderId="171" xfId="0" applyNumberFormat="1" applyFont="1" applyFill="1" applyBorder="1" applyAlignment="1"/>
    <xf numFmtId="3" fontId="43" fillId="15" borderId="30" xfId="0" applyNumberFormat="1" applyFont="1" applyFill="1" applyBorder="1"/>
    <xf numFmtId="3" fontId="43" fillId="15" borderId="16" xfId="0" applyNumberFormat="1" applyFont="1" applyFill="1" applyBorder="1"/>
    <xf numFmtId="3" fontId="43" fillId="15" borderId="171" xfId="0" applyNumberFormat="1" applyFont="1" applyFill="1" applyBorder="1"/>
    <xf numFmtId="3" fontId="43" fillId="3" borderId="30" xfId="0" applyNumberFormat="1" applyFont="1" applyFill="1" applyBorder="1"/>
    <xf numFmtId="3" fontId="43" fillId="3" borderId="16" xfId="0" applyNumberFormat="1" applyFont="1" applyFill="1" applyBorder="1"/>
    <xf numFmtId="3" fontId="43" fillId="3" borderId="171" xfId="0" applyNumberFormat="1" applyFont="1" applyFill="1" applyBorder="1"/>
    <xf numFmtId="3" fontId="43" fillId="4" borderId="30" xfId="0" applyNumberFormat="1" applyFont="1" applyFill="1" applyBorder="1"/>
    <xf numFmtId="3" fontId="43" fillId="4" borderId="16" xfId="0" applyNumberFormat="1" applyFont="1" applyFill="1" applyBorder="1"/>
    <xf numFmtId="3" fontId="43" fillId="4" borderId="171" xfId="0" applyNumberFormat="1" applyFont="1" applyFill="1" applyBorder="1"/>
    <xf numFmtId="3" fontId="43" fillId="4" borderId="29" xfId="0" applyNumberFormat="1" applyFont="1" applyFill="1" applyBorder="1"/>
    <xf numFmtId="3" fontId="43" fillId="4" borderId="27" xfId="0" applyNumberFormat="1" applyFont="1" applyFill="1" applyBorder="1"/>
    <xf numFmtId="3" fontId="43" fillId="4" borderId="172" xfId="0" applyNumberFormat="1" applyFont="1" applyFill="1" applyBorder="1"/>
    <xf numFmtId="3" fontId="43" fillId="15" borderId="60" xfId="0" applyNumberFormat="1" applyFont="1" applyFill="1" applyBorder="1" applyAlignment="1">
      <alignment horizontal="center"/>
    </xf>
    <xf numFmtId="3" fontId="43" fillId="3" borderId="15" xfId="0" applyNumberFormat="1" applyFont="1" applyFill="1" applyBorder="1" applyAlignment="1">
      <alignment horizontal="center"/>
    </xf>
    <xf numFmtId="3" fontId="43" fillId="4" borderId="15" xfId="0" applyNumberFormat="1" applyFont="1" applyFill="1" applyBorder="1" applyAlignment="1">
      <alignment horizontal="center"/>
    </xf>
    <xf numFmtId="3" fontId="43" fillId="15" borderId="30" xfId="0" applyNumberFormat="1" applyFont="1" applyFill="1" applyBorder="1" applyAlignment="1">
      <alignment horizontal="center"/>
    </xf>
    <xf numFmtId="3" fontId="43" fillId="3" borderId="30" xfId="0" applyNumberFormat="1" applyFont="1" applyFill="1" applyBorder="1" applyAlignment="1">
      <alignment horizontal="center"/>
    </xf>
    <xf numFmtId="3" fontId="43" fillId="4" borderId="30" xfId="0" applyNumberFormat="1" applyFont="1" applyFill="1" applyBorder="1" applyAlignment="1">
      <alignment horizontal="center"/>
    </xf>
    <xf numFmtId="171" fontId="43" fillId="3" borderId="30" xfId="0" applyNumberFormat="1" applyFont="1" applyFill="1" applyBorder="1" applyAlignment="1">
      <alignment horizontal="center"/>
    </xf>
    <xf numFmtId="171" fontId="43" fillId="4" borderId="29" xfId="0" applyNumberFormat="1" applyFont="1" applyFill="1" applyBorder="1" applyAlignment="1">
      <alignment horizontal="center"/>
    </xf>
    <xf numFmtId="0" fontId="0" fillId="26" borderId="0" xfId="0" applyFill="1" applyBorder="1"/>
    <xf numFmtId="49" fontId="29" fillId="15" borderId="79" xfId="0" applyNumberFormat="1" applyFont="1" applyFill="1" applyBorder="1"/>
    <xf numFmtId="3" fontId="0" fillId="15" borderId="75" xfId="0" applyNumberFormat="1" applyFont="1" applyFill="1" applyBorder="1" applyAlignment="1">
      <alignment horizontal="right" vertical="center"/>
    </xf>
    <xf numFmtId="0" fontId="0" fillId="26" borderId="86" xfId="0" applyFill="1" applyBorder="1"/>
    <xf numFmtId="0" fontId="0" fillId="26" borderId="79" xfId="0" applyFill="1" applyBorder="1"/>
    <xf numFmtId="3" fontId="0" fillId="15" borderId="79" xfId="0" applyNumberFormat="1" applyFont="1" applyFill="1" applyBorder="1" applyAlignment="1">
      <alignment horizontal="right"/>
    </xf>
    <xf numFmtId="3" fontId="0" fillId="15" borderId="75" xfId="0" applyNumberFormat="1" applyFont="1" applyFill="1" applyBorder="1" applyAlignment="1">
      <alignment horizontal="right"/>
    </xf>
    <xf numFmtId="49" fontId="29" fillId="15" borderId="79" xfId="0" applyNumberFormat="1" applyFont="1" applyFill="1" applyBorder="1" applyAlignment="1"/>
    <xf numFmtId="49" fontId="29" fillId="15" borderId="86" xfId="0" applyNumberFormat="1" applyFont="1" applyFill="1" applyBorder="1"/>
    <xf numFmtId="3" fontId="0" fillId="15" borderId="173" xfId="0" applyNumberFormat="1" applyFont="1" applyFill="1" applyBorder="1" applyAlignment="1">
      <alignment horizontal="right"/>
    </xf>
    <xf numFmtId="0" fontId="0" fillId="26" borderId="101" xfId="0" applyFill="1" applyBorder="1"/>
    <xf numFmtId="0" fontId="0" fillId="26" borderId="84" xfId="0" applyFill="1" applyBorder="1"/>
    <xf numFmtId="49" fontId="29" fillId="15" borderId="91" xfId="0" applyNumberFormat="1" applyFont="1" applyFill="1" applyBorder="1" applyAlignment="1">
      <alignment horizontal="center"/>
    </xf>
    <xf numFmtId="0" fontId="0" fillId="26" borderId="174" xfId="0" applyFill="1" applyBorder="1"/>
    <xf numFmtId="0" fontId="0" fillId="26" borderId="136" xfId="0" applyFill="1" applyBorder="1"/>
    <xf numFmtId="49" fontId="29" fillId="15" borderId="175" xfId="0" applyNumberFormat="1" applyFont="1" applyFill="1" applyBorder="1" applyAlignment="1">
      <alignment horizontal="center"/>
    </xf>
    <xf numFmtId="16" fontId="29" fillId="26" borderId="91" xfId="0" applyNumberFormat="1" applyFont="1" applyFill="1" applyBorder="1" applyAlignment="1">
      <alignment horizontal="center"/>
    </xf>
    <xf numFmtId="0" fontId="29" fillId="26" borderId="79" xfId="0" applyFont="1" applyFill="1" applyBorder="1" applyAlignment="1">
      <alignment horizontal="left"/>
    </xf>
    <xf numFmtId="0" fontId="29" fillId="0" borderId="79" xfId="0" applyFont="1" applyBorder="1" applyAlignment="1">
      <alignment horizontal="left"/>
    </xf>
    <xf numFmtId="3" fontId="29" fillId="15" borderId="79" xfId="0" applyNumberFormat="1" applyFont="1" applyFill="1" applyBorder="1" applyAlignment="1">
      <alignment horizontal="right"/>
    </xf>
    <xf numFmtId="49" fontId="27" fillId="0" borderId="9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97" fillId="0" borderId="91" xfId="0" applyFont="1" applyBorder="1" applyAlignment="1">
      <alignment horizontal="left"/>
    </xf>
    <xf numFmtId="0" fontId="29" fillId="15" borderId="79" xfId="0" applyFont="1" applyFill="1" applyBorder="1" applyAlignment="1"/>
    <xf numFmtId="0" fontId="97" fillId="0" borderId="19" xfId="0" applyFont="1" applyBorder="1"/>
    <xf numFmtId="0" fontId="97" fillId="0" borderId="15" xfId="0" applyFont="1" applyBorder="1"/>
    <xf numFmtId="0" fontId="97" fillId="0" borderId="0" xfId="0" applyFont="1" applyBorder="1"/>
    <xf numFmtId="49" fontId="97" fillId="0" borderId="90" xfId="0" applyNumberFormat="1" applyFont="1" applyBorder="1" applyAlignment="1">
      <alignment horizontal="center"/>
    </xf>
    <xf numFmtId="49" fontId="97" fillId="0" borderId="89" xfId="0" applyNumberFormat="1" applyFont="1" applyBorder="1" applyAlignment="1">
      <alignment horizontal="center"/>
    </xf>
    <xf numFmtId="49" fontId="97" fillId="0" borderId="92" xfId="0" applyNumberFormat="1" applyFont="1" applyBorder="1" applyAlignment="1">
      <alignment horizontal="center"/>
    </xf>
    <xf numFmtId="17" fontId="97" fillId="0" borderId="90" xfId="0" applyNumberFormat="1" applyFont="1" applyBorder="1" applyAlignment="1">
      <alignment horizontal="center"/>
    </xf>
    <xf numFmtId="0" fontId="97" fillId="0" borderId="95" xfId="0" applyFont="1" applyBorder="1"/>
    <xf numFmtId="0" fontId="97" fillId="0" borderId="79" xfId="0" applyFont="1" applyBorder="1"/>
    <xf numFmtId="0" fontId="25" fillId="0" borderId="92" xfId="0" applyFont="1" applyBorder="1" applyAlignment="1">
      <alignment horizontal="center"/>
    </xf>
    <xf numFmtId="0" fontId="27" fillId="0" borderId="0" xfId="0" applyFont="1" applyBorder="1"/>
    <xf numFmtId="0" fontId="27" fillId="0" borderId="176" xfId="0" applyFont="1" applyBorder="1"/>
    <xf numFmtId="49" fontId="97" fillId="0" borderId="177" xfId="0" applyNumberFormat="1" applyFont="1" applyBorder="1" applyAlignment="1">
      <alignment horizontal="center"/>
    </xf>
    <xf numFmtId="0" fontId="97" fillId="0" borderId="146" xfId="0" applyFont="1" applyBorder="1"/>
    <xf numFmtId="49" fontId="29" fillId="0" borderId="89" xfId="0" applyNumberFormat="1" applyFont="1" applyBorder="1" applyAlignment="1">
      <alignment horizontal="center"/>
    </xf>
    <xf numFmtId="49" fontId="29" fillId="0" borderId="94" xfId="0" applyNumberFormat="1" applyFont="1" applyBorder="1" applyAlignment="1">
      <alignment horizontal="center"/>
    </xf>
    <xf numFmtId="3" fontId="97" fillId="0" borderId="130" xfId="0" applyNumberFormat="1" applyFont="1" applyBorder="1" applyAlignment="1">
      <alignment horizontal="right"/>
    </xf>
    <xf numFmtId="3" fontId="97" fillId="0" borderId="179" xfId="0" applyNumberFormat="1" applyFont="1" applyBorder="1" applyAlignment="1">
      <alignment horizontal="right"/>
    </xf>
    <xf numFmtId="3" fontId="97" fillId="0" borderId="180" xfId="0" applyNumberFormat="1" applyFont="1" applyBorder="1" applyAlignment="1">
      <alignment horizontal="right"/>
    </xf>
    <xf numFmtId="3" fontId="97" fillId="0" borderId="52" xfId="0" applyNumberFormat="1" applyFont="1" applyBorder="1" applyAlignment="1">
      <alignment horizontal="right"/>
    </xf>
    <xf numFmtId="3" fontId="97" fillId="0" borderId="48" xfId="0" applyNumberFormat="1" applyFont="1" applyBorder="1" applyAlignment="1">
      <alignment horizontal="right"/>
    </xf>
    <xf numFmtId="3" fontId="97" fillId="0" borderId="51" xfId="0" applyNumberFormat="1" applyFont="1" applyBorder="1" applyAlignment="1">
      <alignment horizontal="right"/>
    </xf>
    <xf numFmtId="49" fontId="97" fillId="0" borderId="91" xfId="0" applyNumberFormat="1" applyFont="1" applyBorder="1" applyAlignment="1">
      <alignment horizontal="center"/>
    </xf>
    <xf numFmtId="3" fontId="29" fillId="0" borderId="181" xfId="0" applyNumberFormat="1" applyFont="1" applyBorder="1" applyAlignment="1">
      <alignment horizontal="center" vertical="center" wrapText="1"/>
    </xf>
    <xf numFmtId="3" fontId="29" fillId="0" borderId="102" xfId="0" applyNumberFormat="1" applyFont="1" applyBorder="1" applyAlignment="1">
      <alignment horizontal="center" vertical="center" wrapText="1"/>
    </xf>
    <xf numFmtId="3" fontId="29" fillId="0" borderId="107" xfId="0" applyNumberFormat="1" applyFont="1" applyBorder="1" applyAlignment="1">
      <alignment horizontal="center" vertical="center" wrapText="1"/>
    </xf>
    <xf numFmtId="3" fontId="29" fillId="0" borderId="182" xfId="0" applyNumberFormat="1" applyFont="1" applyBorder="1" applyAlignment="1">
      <alignment horizontal="center" vertical="center" wrapText="1"/>
    </xf>
    <xf numFmtId="3" fontId="29" fillId="0" borderId="103" xfId="0" applyNumberFormat="1" applyFont="1" applyBorder="1" applyAlignment="1">
      <alignment horizontal="center" vertical="center" wrapText="1"/>
    </xf>
    <xf numFmtId="3" fontId="29" fillId="0" borderId="183" xfId="0" applyNumberFormat="1" applyFont="1" applyBorder="1" applyAlignment="1">
      <alignment horizontal="center" vertical="center" wrapText="1"/>
    </xf>
    <xf numFmtId="3" fontId="29" fillId="0" borderId="51" xfId="0" applyNumberFormat="1" applyFont="1" applyBorder="1" applyAlignment="1">
      <alignment horizontal="center" vertical="center"/>
    </xf>
    <xf numFmtId="3" fontId="29" fillId="0" borderId="181" xfId="0" applyNumberFormat="1" applyFont="1" applyBorder="1" applyAlignment="1">
      <alignment horizontal="center" vertical="center"/>
    </xf>
    <xf numFmtId="3" fontId="29" fillId="0" borderId="102" xfId="0" applyNumberFormat="1" applyFont="1" applyBorder="1" applyAlignment="1">
      <alignment horizontal="center" vertical="center"/>
    </xf>
    <xf numFmtId="3" fontId="29" fillId="0" borderId="103" xfId="0" applyNumberFormat="1" applyFont="1" applyBorder="1" applyAlignment="1">
      <alignment horizontal="center" vertical="center"/>
    </xf>
    <xf numFmtId="3" fontId="29" fillId="0" borderId="183" xfId="0" applyNumberFormat="1" applyFont="1" applyBorder="1" applyAlignment="1">
      <alignment horizontal="center" vertical="center"/>
    </xf>
    <xf numFmtId="3" fontId="29" fillId="0" borderId="183" xfId="0" applyNumberFormat="1" applyFont="1" applyBorder="1"/>
    <xf numFmtId="3" fontId="29" fillId="0" borderId="183" xfId="0" applyNumberFormat="1" applyFont="1" applyBorder="1" applyAlignment="1">
      <alignment vertical="center"/>
    </xf>
    <xf numFmtId="3" fontId="29" fillId="0" borderId="161" xfId="0" applyNumberFormat="1" applyFont="1" applyBorder="1" applyAlignment="1">
      <alignment horizontal="center" vertical="center"/>
    </xf>
    <xf numFmtId="3" fontId="29" fillId="0" borderId="132" xfId="0" applyNumberFormat="1" applyFont="1" applyBorder="1" applyAlignment="1">
      <alignment horizontal="center" vertical="center"/>
    </xf>
    <xf numFmtId="3" fontId="29" fillId="0" borderId="130" xfId="0" applyNumberFormat="1" applyFont="1" applyBorder="1" applyAlignment="1">
      <alignment horizontal="center" vertical="center"/>
    </xf>
    <xf numFmtId="3" fontId="29" fillId="0" borderId="86" xfId="0" applyNumberFormat="1" applyFont="1" applyBorder="1" applyAlignment="1">
      <alignment horizontal="center" vertical="center"/>
    </xf>
    <xf numFmtId="3" fontId="29" fillId="0" borderId="179" xfId="0" applyNumberFormat="1" applyFont="1" applyBorder="1" applyAlignment="1">
      <alignment horizontal="center" vertical="center"/>
    </xf>
    <xf numFmtId="3" fontId="29" fillId="0" borderId="180" xfId="0" applyNumberFormat="1" applyFont="1" applyBorder="1" applyAlignment="1">
      <alignment horizontal="center" vertical="center"/>
    </xf>
    <xf numFmtId="3" fontId="29" fillId="0" borderId="184" xfId="0" applyNumberFormat="1" applyFont="1" applyBorder="1" applyAlignment="1">
      <alignment horizontal="center" vertical="center"/>
    </xf>
    <xf numFmtId="3" fontId="29" fillId="0" borderId="185" xfId="0" applyNumberFormat="1" applyFont="1" applyBorder="1" applyAlignment="1">
      <alignment horizontal="center" vertical="center"/>
    </xf>
    <xf numFmtId="3" fontId="29" fillId="0" borderId="186" xfId="0" applyNumberFormat="1" applyFont="1" applyBorder="1" applyAlignment="1">
      <alignment horizontal="center" vertical="center"/>
    </xf>
    <xf numFmtId="0" fontId="29" fillId="26" borderId="79" xfId="0" applyFont="1" applyFill="1" applyBorder="1"/>
    <xf numFmtId="0" fontId="29" fillId="26" borderId="174" xfId="0" applyFont="1" applyFill="1" applyBorder="1"/>
    <xf numFmtId="0" fontId="29" fillId="26" borderId="84" xfId="0" applyFont="1" applyFill="1" applyBorder="1"/>
    <xf numFmtId="3" fontId="29" fillId="0" borderId="173" xfId="0" applyNumberFormat="1" applyFont="1" applyBorder="1" applyAlignment="1">
      <alignment horizontal="right"/>
    </xf>
    <xf numFmtId="3" fontId="29" fillId="26" borderId="173" xfId="0" applyNumberFormat="1" applyFont="1" applyFill="1" applyBorder="1" applyAlignment="1">
      <alignment horizontal="right"/>
    </xf>
    <xf numFmtId="3" fontId="29" fillId="0" borderId="79" xfId="0" applyNumberFormat="1" applyFont="1" applyBorder="1"/>
    <xf numFmtId="3" fontId="29" fillId="0" borderId="130" xfId="0" applyNumberFormat="1" applyFont="1" applyBorder="1"/>
    <xf numFmtId="3" fontId="29" fillId="0" borderId="173" xfId="0" applyNumberFormat="1" applyFont="1" applyBorder="1" applyAlignment="1">
      <alignment horizontal="right" vertical="center"/>
    </xf>
    <xf numFmtId="3" fontId="29" fillId="0" borderId="79" xfId="0" applyNumberFormat="1" applyFont="1" applyBorder="1" applyAlignment="1">
      <alignment vertical="center"/>
    </xf>
    <xf numFmtId="3" fontId="29" fillId="0" borderId="130" xfId="0" applyNumberFormat="1" applyFont="1" applyBorder="1" applyAlignment="1">
      <alignment vertical="center"/>
    </xf>
    <xf numFmtId="3" fontId="29" fillId="0" borderId="188" xfId="0" applyNumberFormat="1" applyFont="1" applyBorder="1" applyAlignment="1">
      <alignment horizontal="right" vertical="center" wrapText="1"/>
    </xf>
    <xf numFmtId="3" fontId="29" fillId="0" borderId="131" xfId="0" applyNumberFormat="1" applyFont="1" applyBorder="1" applyAlignment="1">
      <alignment vertical="center" wrapText="1"/>
    </xf>
    <xf numFmtId="3" fontId="29" fillId="0" borderId="130" xfId="0" applyNumberFormat="1" applyFont="1" applyBorder="1" applyAlignment="1">
      <alignment vertical="center" wrapText="1"/>
    </xf>
    <xf numFmtId="3" fontId="29" fillId="0" borderId="183" xfId="0" applyNumberFormat="1" applyFont="1" applyBorder="1" applyAlignment="1">
      <alignment vertical="center" wrapText="1"/>
    </xf>
    <xf numFmtId="3" fontId="97" fillId="0" borderId="130" xfId="0" applyNumberFormat="1" applyFont="1" applyBorder="1"/>
    <xf numFmtId="3" fontId="97" fillId="0" borderId="183" xfId="0" applyNumberFormat="1" applyFont="1" applyBorder="1"/>
    <xf numFmtId="3" fontId="29" fillId="0" borderId="188" xfId="0" applyNumberFormat="1" applyFont="1" applyBorder="1" applyAlignment="1">
      <alignment horizontal="right"/>
    </xf>
    <xf numFmtId="3" fontId="29" fillId="0" borderId="131" xfId="0" applyNumberFormat="1" applyFont="1" applyBorder="1"/>
    <xf numFmtId="3" fontId="29" fillId="0" borderId="189" xfId="0" applyNumberFormat="1" applyFont="1" applyBorder="1" applyAlignment="1">
      <alignment horizontal="right" vertical="center"/>
    </xf>
    <xf numFmtId="3" fontId="29" fillId="0" borderId="93" xfId="0" applyNumberFormat="1" applyFont="1" applyBorder="1" applyAlignment="1">
      <alignment vertical="center"/>
    </xf>
    <xf numFmtId="3" fontId="29" fillId="0" borderId="180" xfId="0" applyNumberFormat="1" applyFont="1" applyBorder="1" applyAlignment="1">
      <alignment vertical="center"/>
    </xf>
    <xf numFmtId="3" fontId="29" fillId="0" borderId="186" xfId="0" applyNumberFormat="1" applyFont="1" applyBorder="1" applyAlignment="1">
      <alignment vertical="center"/>
    </xf>
    <xf numFmtId="0" fontId="97" fillId="0" borderId="86" xfId="0" applyFont="1" applyBorder="1"/>
    <xf numFmtId="0" fontId="97" fillId="0" borderId="103" xfId="0" applyFont="1" applyBorder="1"/>
    <xf numFmtId="3" fontId="97" fillId="0" borderId="86" xfId="0" applyNumberFormat="1" applyFont="1" applyBorder="1"/>
    <xf numFmtId="3" fontId="97" fillId="0" borderId="103" xfId="0" applyNumberFormat="1" applyFont="1" applyBorder="1"/>
    <xf numFmtId="3" fontId="97" fillId="0" borderId="174" xfId="0" applyNumberFormat="1" applyFont="1" applyBorder="1"/>
    <xf numFmtId="3" fontId="97" fillId="0" borderId="180" xfId="0" applyNumberFormat="1" applyFont="1" applyBorder="1"/>
    <xf numFmtId="3" fontId="97" fillId="0" borderId="184" xfId="0" applyNumberFormat="1" applyFont="1" applyBorder="1"/>
    <xf numFmtId="3" fontId="97" fillId="0" borderId="185" xfId="0" applyNumberFormat="1" applyFont="1" applyBorder="1"/>
    <xf numFmtId="3" fontId="97" fillId="0" borderId="186" xfId="0" applyNumberFormat="1" applyFont="1" applyBorder="1"/>
    <xf numFmtId="3" fontId="97" fillId="0" borderId="181" xfId="0" applyNumberFormat="1" applyFont="1" applyBorder="1" applyAlignment="1">
      <alignment horizontal="right"/>
    </xf>
    <xf numFmtId="3" fontId="97" fillId="0" borderId="181" xfId="0" applyNumberFormat="1" applyFont="1" applyBorder="1"/>
    <xf numFmtId="3" fontId="97" fillId="0" borderId="102" xfId="0" applyNumberFormat="1" applyFont="1" applyBorder="1"/>
    <xf numFmtId="3" fontId="97" fillId="0" borderId="107" xfId="0" applyNumberFormat="1" applyFont="1" applyBorder="1"/>
    <xf numFmtId="3" fontId="97" fillId="0" borderId="182" xfId="0" applyNumberFormat="1" applyFont="1" applyBorder="1"/>
    <xf numFmtId="49" fontId="25" fillId="0" borderId="0" xfId="0" applyNumberFormat="1" applyFont="1" applyBorder="1" applyAlignment="1"/>
    <xf numFmtId="0" fontId="97" fillId="0" borderId="132" xfId="0" applyFont="1" applyBorder="1"/>
    <xf numFmtId="3" fontId="43" fillId="0" borderId="130" xfId="0" applyNumberFormat="1" applyFont="1" applyBorder="1"/>
    <xf numFmtId="3" fontId="43" fillId="0" borderId="86" xfId="0" applyNumberFormat="1" applyFont="1" applyBorder="1"/>
    <xf numFmtId="3" fontId="43" fillId="0" borderId="103" xfId="0" applyNumberFormat="1" applyFont="1" applyBorder="1"/>
    <xf numFmtId="3" fontId="43" fillId="0" borderId="183" xfId="0" applyNumberFormat="1" applyFont="1" applyBorder="1"/>
    <xf numFmtId="0" fontId="25" fillId="0" borderId="196" xfId="0" applyFont="1" applyBorder="1" applyAlignment="1">
      <alignment horizontal="center"/>
    </xf>
    <xf numFmtId="0" fontId="27" fillId="0" borderId="112" xfId="0" applyFont="1" applyBorder="1"/>
    <xf numFmtId="0" fontId="27" fillId="0" borderId="113" xfId="0" applyFont="1" applyBorder="1"/>
    <xf numFmtId="3" fontId="36" fillId="0" borderId="130" xfId="569" applyNumberFormat="1" applyFont="1" applyBorder="1"/>
    <xf numFmtId="3" fontId="36" fillId="0" borderId="130" xfId="569" applyNumberFormat="1" applyFont="1" applyFill="1" applyBorder="1"/>
    <xf numFmtId="3" fontId="36" fillId="0" borderId="0" xfId="569" applyNumberFormat="1" applyFont="1" applyBorder="1" applyAlignment="1">
      <alignment horizontal="left"/>
    </xf>
    <xf numFmtId="0" fontId="25" fillId="0" borderId="199" xfId="0" applyFont="1" applyBorder="1" applyAlignment="1">
      <alignment horizontal="center"/>
    </xf>
    <xf numFmtId="0" fontId="36" fillId="0" borderId="130" xfId="569" applyFont="1" applyBorder="1"/>
    <xf numFmtId="4" fontId="85" fillId="0" borderId="0" xfId="569" applyNumberFormat="1" applyFont="1" applyFill="1" applyBorder="1"/>
    <xf numFmtId="3" fontId="36" fillId="0" borderId="130" xfId="569" applyNumberFormat="1" applyFont="1" applyBorder="1" applyAlignment="1">
      <alignment horizontal="right"/>
    </xf>
    <xf numFmtId="3" fontId="49" fillId="27" borderId="78" xfId="0" applyNumberFormat="1" applyFont="1" applyFill="1" applyBorder="1"/>
    <xf numFmtId="49" fontId="97" fillId="0" borderId="0" xfId="0" applyNumberFormat="1" applyFont="1" applyBorder="1" applyAlignment="1">
      <alignment horizontal="center"/>
    </xf>
    <xf numFmtId="3" fontId="97" fillId="0" borderId="0" xfId="0" applyNumberFormat="1" applyFont="1" applyBorder="1" applyAlignment="1">
      <alignment horizontal="right"/>
    </xf>
    <xf numFmtId="3" fontId="97" fillId="0" borderId="0" xfId="0" applyNumberFormat="1" applyFont="1" applyBorder="1"/>
    <xf numFmtId="0" fontId="97" fillId="0" borderId="110" xfId="0" applyFont="1" applyBorder="1"/>
    <xf numFmtId="0" fontId="97" fillId="0" borderId="201" xfId="0" applyFont="1" applyBorder="1"/>
    <xf numFmtId="3" fontId="97" fillId="0" borderId="200" xfId="0" applyNumberFormat="1" applyFont="1" applyBorder="1" applyAlignment="1">
      <alignment horizontal="right"/>
    </xf>
    <xf numFmtId="49" fontId="97" fillId="0" borderId="202" xfId="0" applyNumberFormat="1" applyFont="1" applyBorder="1" applyAlignment="1">
      <alignment horizontal="center"/>
    </xf>
    <xf numFmtId="0" fontId="27" fillId="0" borderId="109" xfId="0" applyFont="1" applyBorder="1"/>
    <xf numFmtId="0" fontId="27" fillId="0" borderId="203" xfId="0" applyFont="1" applyBorder="1"/>
    <xf numFmtId="3" fontId="97" fillId="0" borderId="120" xfId="0" applyNumberFormat="1" applyFont="1" applyBorder="1"/>
    <xf numFmtId="49" fontId="98" fillId="0" borderId="0" xfId="0" applyNumberFormat="1" applyFont="1" applyFill="1" applyBorder="1" applyAlignment="1">
      <alignment horizontal="left"/>
    </xf>
    <xf numFmtId="3" fontId="96" fillId="0" borderId="0" xfId="0" applyNumberFormat="1" applyFont="1" applyFill="1" applyBorder="1" applyAlignment="1">
      <alignment horizontal="right"/>
    </xf>
    <xf numFmtId="3" fontId="96" fillId="0" borderId="0" xfId="0" applyNumberFormat="1" applyFont="1" applyFill="1" applyBorder="1"/>
    <xf numFmtId="3" fontId="49" fillId="10" borderId="81" xfId="0" applyNumberFormat="1" applyFont="1" applyFill="1" applyBorder="1" applyAlignment="1"/>
    <xf numFmtId="3" fontId="49" fillId="10" borderId="46" xfId="0" applyNumberFormat="1" applyFont="1" applyFill="1" applyBorder="1" applyAlignment="1"/>
    <xf numFmtId="3" fontId="49" fillId="29" borderId="81" xfId="0" applyNumberFormat="1" applyFont="1" applyFill="1" applyBorder="1" applyAlignment="1"/>
    <xf numFmtId="3" fontId="49" fillId="29" borderId="127" xfId="0" applyNumberFormat="1" applyFont="1" applyFill="1" applyBorder="1" applyAlignment="1"/>
    <xf numFmtId="3" fontId="49" fillId="7" borderId="204" xfId="0" applyNumberFormat="1" applyFont="1" applyFill="1" applyBorder="1" applyAlignment="1"/>
    <xf numFmtId="3" fontId="49" fillId="7" borderId="45" xfId="0" applyNumberFormat="1" applyFont="1" applyFill="1" applyBorder="1" applyAlignment="1"/>
    <xf numFmtId="3" fontId="6" fillId="0" borderId="130" xfId="569" applyNumberFormat="1" applyFont="1" applyBorder="1"/>
    <xf numFmtId="3" fontId="37" fillId="4" borderId="130" xfId="569" applyNumberFormat="1" applyFont="1" applyFill="1" applyBorder="1"/>
    <xf numFmtId="4" fontId="36" fillId="0" borderId="130" xfId="569" applyNumberFormat="1" applyFont="1" applyBorder="1"/>
    <xf numFmtId="3" fontId="35" fillId="35" borderId="130" xfId="569" applyNumberFormat="1" applyFont="1" applyFill="1" applyBorder="1"/>
    <xf numFmtId="3" fontId="83" fillId="0" borderId="130" xfId="569" applyNumberFormat="1" applyFont="1" applyFill="1" applyBorder="1"/>
    <xf numFmtId="0" fontId="35" fillId="4" borderId="130" xfId="569" applyFont="1" applyFill="1" applyBorder="1"/>
    <xf numFmtId="0" fontId="66" fillId="0" borderId="130" xfId="569" applyFont="1" applyFill="1" applyBorder="1"/>
    <xf numFmtId="0" fontId="37" fillId="4" borderId="130" xfId="569" applyFont="1" applyFill="1" applyBorder="1"/>
    <xf numFmtId="0" fontId="88" fillId="0" borderId="130" xfId="569" applyFont="1" applyBorder="1"/>
    <xf numFmtId="0" fontId="89" fillId="0" borderId="130" xfId="569" applyFont="1" applyBorder="1"/>
    <xf numFmtId="0" fontId="42" fillId="0" borderId="130" xfId="569" applyFont="1" applyFill="1" applyBorder="1" applyAlignment="1">
      <alignment vertical="top"/>
    </xf>
    <xf numFmtId="0" fontId="79" fillId="0" borderId="130" xfId="569" applyFont="1" applyFill="1" applyBorder="1" applyAlignment="1">
      <alignment horizontal="center"/>
    </xf>
    <xf numFmtId="0" fontId="33" fillId="0" borderId="130" xfId="569" applyFont="1" applyBorder="1"/>
    <xf numFmtId="0" fontId="66" fillId="0" borderId="130" xfId="569" applyFont="1" applyBorder="1"/>
    <xf numFmtId="0" fontId="35" fillId="35" borderId="130" xfId="569" applyFont="1" applyFill="1" applyBorder="1"/>
    <xf numFmtId="0" fontId="83" fillId="0" borderId="130" xfId="569" applyFont="1" applyFill="1" applyBorder="1"/>
    <xf numFmtId="0" fontId="36" fillId="0" borderId="130" xfId="569" applyFont="1" applyBorder="1" applyAlignment="1">
      <alignment horizontal="left"/>
    </xf>
    <xf numFmtId="0" fontId="84" fillId="0" borderId="0" xfId="569" applyFont="1" applyBorder="1"/>
    <xf numFmtId="3" fontId="36" fillId="0" borderId="130" xfId="569" applyNumberFormat="1" applyFont="1" applyFill="1" applyBorder="1" applyAlignment="1">
      <alignment horizontal="right"/>
    </xf>
    <xf numFmtId="3" fontId="94" fillId="0" borderId="130" xfId="569" applyNumberFormat="1" applyFont="1" applyFill="1" applyBorder="1" applyAlignment="1">
      <alignment horizontal="left"/>
    </xf>
    <xf numFmtId="3" fontId="83" fillId="0" borderId="130" xfId="569" applyNumberFormat="1" applyFont="1" applyFill="1" applyBorder="1" applyAlignment="1">
      <alignment horizontal="right"/>
    </xf>
    <xf numFmtId="3" fontId="36" fillId="0" borderId="130" xfId="569" applyNumberFormat="1" applyFont="1" applyFill="1" applyBorder="1" applyAlignment="1">
      <alignment horizontal="left"/>
    </xf>
    <xf numFmtId="0" fontId="36" fillId="0" borderId="130" xfId="569" applyFont="1" applyFill="1" applyBorder="1" applyAlignment="1">
      <alignment horizontal="right"/>
    </xf>
    <xf numFmtId="0" fontId="83" fillId="0" borderId="130" xfId="569" applyFont="1" applyBorder="1"/>
    <xf numFmtId="0" fontId="83" fillId="0" borderId="130" xfId="569" applyFont="1" applyFill="1" applyBorder="1" applyAlignment="1">
      <alignment horizontal="left"/>
    </xf>
    <xf numFmtId="3" fontId="103" fillId="0" borderId="130" xfId="569" applyNumberFormat="1" applyFont="1" applyBorder="1"/>
    <xf numFmtId="3" fontId="103" fillId="0" borderId="130" xfId="569" applyNumberFormat="1" applyFont="1" applyFill="1" applyBorder="1"/>
    <xf numFmtId="3" fontId="106" fillId="0" borderId="0" xfId="569" applyNumberFormat="1" applyFont="1" applyBorder="1" applyAlignment="1">
      <alignment horizontal="right"/>
    </xf>
    <xf numFmtId="3" fontId="38" fillId="0" borderId="0" xfId="569" applyNumberFormat="1" applyFont="1" applyFill="1" applyBorder="1"/>
    <xf numFmtId="3" fontId="94" fillId="0" borderId="0" xfId="569" applyNumberFormat="1" applyFont="1" applyFill="1" applyBorder="1" applyAlignment="1">
      <alignment horizontal="left"/>
    </xf>
    <xf numFmtId="3" fontId="94" fillId="0" borderId="0" xfId="569" applyNumberFormat="1" applyFont="1" applyFill="1" applyBorder="1" applyAlignment="1">
      <alignment horizontal="right"/>
    </xf>
    <xf numFmtId="3" fontId="94" fillId="0" borderId="130" xfId="569" applyNumberFormat="1" applyFont="1" applyFill="1" applyBorder="1" applyAlignment="1">
      <alignment horizontal="right"/>
    </xf>
    <xf numFmtId="3" fontId="94" fillId="36" borderId="0" xfId="569" applyNumberFormat="1" applyFont="1" applyFill="1" applyBorder="1" applyAlignment="1">
      <alignment horizontal="left"/>
    </xf>
    <xf numFmtId="3" fontId="85" fillId="9" borderId="0" xfId="571" applyNumberFormat="1" applyFont="1" applyBorder="1"/>
    <xf numFmtId="3" fontId="103" fillId="0" borderId="0" xfId="569" applyNumberFormat="1" applyFont="1" applyBorder="1"/>
    <xf numFmtId="3" fontId="103" fillId="0" borderId="0" xfId="569" applyNumberFormat="1" applyFont="1" applyBorder="1" applyAlignment="1">
      <alignment horizontal="right"/>
    </xf>
    <xf numFmtId="3" fontId="105" fillId="0" borderId="0" xfId="569" applyNumberFormat="1" applyFont="1" applyBorder="1" applyAlignment="1">
      <alignment horizontal="left"/>
    </xf>
    <xf numFmtId="3" fontId="83" fillId="0" borderId="0" xfId="569" applyNumberFormat="1" applyFont="1" applyFill="1" applyBorder="1" applyAlignment="1">
      <alignment horizontal="left"/>
    </xf>
    <xf numFmtId="3" fontId="103" fillId="0" borderId="0" xfId="569" applyNumberFormat="1" applyFont="1" applyFill="1" applyBorder="1" applyAlignment="1">
      <alignment horizontal="right"/>
    </xf>
    <xf numFmtId="0" fontId="35" fillId="8" borderId="0" xfId="569" applyFont="1" applyFill="1" applyBorder="1"/>
    <xf numFmtId="3" fontId="35" fillId="8" borderId="0" xfId="569" applyNumberFormat="1" applyFont="1" applyFill="1" applyBorder="1"/>
    <xf numFmtId="0" fontId="85" fillId="37" borderId="0" xfId="571" applyFont="1" applyFill="1" applyBorder="1"/>
    <xf numFmtId="3" fontId="85" fillId="37" borderId="0" xfId="571" applyNumberFormat="1" applyFont="1" applyFill="1" applyBorder="1"/>
    <xf numFmtId="0" fontId="104" fillId="36" borderId="0" xfId="569" applyFont="1" applyFill="1" applyBorder="1"/>
    <xf numFmtId="3" fontId="104" fillId="36" borderId="0" xfId="569" applyNumberFormat="1" applyFont="1" applyFill="1" applyBorder="1"/>
    <xf numFmtId="3" fontId="103" fillId="36" borderId="0" xfId="569" applyNumberFormat="1" applyFont="1" applyFill="1" applyBorder="1"/>
    <xf numFmtId="0" fontId="36" fillId="36" borderId="0" xfId="569" applyFont="1" applyFill="1" applyBorder="1" applyAlignment="1">
      <alignment horizontal="right"/>
    </xf>
    <xf numFmtId="0" fontId="83" fillId="36" borderId="0" xfId="569" applyFont="1" applyFill="1" applyBorder="1" applyAlignment="1">
      <alignment horizontal="left"/>
    </xf>
    <xf numFmtId="3" fontId="36" fillId="36" borderId="0" xfId="569" applyNumberFormat="1" applyFont="1" applyFill="1" applyBorder="1"/>
    <xf numFmtId="3" fontId="36" fillId="36" borderId="0" xfId="569" applyNumberFormat="1" applyFont="1" applyFill="1" applyBorder="1" applyAlignment="1">
      <alignment horizontal="left"/>
    </xf>
    <xf numFmtId="0" fontId="83" fillId="36" borderId="0" xfId="569" applyFont="1" applyFill="1" applyBorder="1"/>
    <xf numFmtId="3" fontId="68" fillId="36" borderId="0" xfId="569" applyNumberFormat="1" applyFont="1" applyFill="1" applyBorder="1"/>
    <xf numFmtId="0" fontId="103" fillId="36" borderId="0" xfId="569" applyFont="1" applyFill="1" applyBorder="1" applyAlignment="1">
      <alignment horizontal="right"/>
    </xf>
    <xf numFmtId="0" fontId="103" fillId="36" borderId="0" xfId="569" applyFont="1" applyFill="1" applyBorder="1"/>
    <xf numFmtId="0" fontId="70" fillId="36" borderId="0" xfId="569" applyFont="1" applyFill="1" applyBorder="1"/>
    <xf numFmtId="0" fontId="73" fillId="36" borderId="0" xfId="569" applyFont="1" applyFill="1" applyBorder="1"/>
    <xf numFmtId="0" fontId="36" fillId="36" borderId="0" xfId="569" applyFont="1" applyFill="1" applyBorder="1"/>
    <xf numFmtId="165" fontId="36" fillId="36" borderId="0" xfId="410" applyFont="1" applyFill="1" applyBorder="1" applyAlignment="1" applyProtection="1">
      <alignment horizontal="left"/>
    </xf>
    <xf numFmtId="49" fontId="36" fillId="36" borderId="0" xfId="569" applyNumberFormat="1" applyFont="1" applyFill="1" applyBorder="1" applyAlignment="1">
      <alignment horizontal="center"/>
    </xf>
    <xf numFmtId="3" fontId="103" fillId="36" borderId="0" xfId="569" applyNumberFormat="1" applyFont="1" applyFill="1" applyBorder="1" applyAlignment="1">
      <alignment horizontal="right"/>
    </xf>
    <xf numFmtId="0" fontId="73" fillId="36" borderId="0" xfId="569" applyFont="1" applyFill="1" applyBorder="1" applyAlignment="1">
      <alignment horizontal="right"/>
    </xf>
    <xf numFmtId="3" fontId="106" fillId="36" borderId="0" xfId="569" applyNumberFormat="1" applyFont="1" applyFill="1" applyBorder="1" applyAlignment="1">
      <alignment horizontal="right"/>
    </xf>
    <xf numFmtId="3" fontId="105" fillId="36" borderId="0" xfId="569" applyNumberFormat="1" applyFont="1" applyFill="1" applyBorder="1" applyAlignment="1">
      <alignment horizontal="left"/>
    </xf>
    <xf numFmtId="3" fontId="36" fillId="36" borderId="0" xfId="569" applyNumberFormat="1" applyFont="1" applyFill="1" applyBorder="1" applyAlignment="1">
      <alignment horizontal="right"/>
    </xf>
    <xf numFmtId="3" fontId="83" fillId="36" borderId="0" xfId="569" applyNumberFormat="1" applyFont="1" applyFill="1" applyBorder="1" applyAlignment="1">
      <alignment horizontal="right"/>
    </xf>
    <xf numFmtId="3" fontId="83" fillId="36" borderId="0" xfId="569" applyNumberFormat="1" applyFont="1" applyFill="1" applyBorder="1" applyAlignment="1">
      <alignment horizontal="left"/>
    </xf>
    <xf numFmtId="3" fontId="94" fillId="36" borderId="0" xfId="569" applyNumberFormat="1" applyFont="1" applyFill="1" applyBorder="1" applyAlignment="1">
      <alignment horizontal="right"/>
    </xf>
    <xf numFmtId="0" fontId="6" fillId="36" borderId="0" xfId="569" applyFont="1" applyFill="1" applyBorder="1"/>
    <xf numFmtId="4" fontId="6" fillId="36" borderId="0" xfId="569" applyNumberFormat="1" applyFont="1" applyFill="1" applyBorder="1"/>
    <xf numFmtId="2" fontId="6" fillId="0" borderId="0" xfId="569" applyNumberFormat="1" applyFont="1" applyFill="1" applyBorder="1"/>
    <xf numFmtId="2" fontId="6" fillId="0" borderId="0" xfId="569" applyNumberFormat="1" applyFont="1" applyFill="1" applyBorder="1" applyAlignment="1"/>
    <xf numFmtId="4" fontId="37" fillId="0" borderId="0" xfId="569" applyNumberFormat="1" applyFont="1" applyFill="1" applyBorder="1" applyAlignment="1"/>
    <xf numFmtId="3" fontId="43" fillId="0" borderId="56" xfId="0" applyNumberFormat="1" applyFont="1" applyFill="1" applyBorder="1" applyAlignment="1"/>
    <xf numFmtId="3" fontId="54" fillId="7" borderId="39" xfId="0" applyNumberFormat="1" applyFont="1" applyFill="1" applyBorder="1" applyAlignment="1"/>
    <xf numFmtId="3" fontId="51" fillId="7" borderId="60" xfId="0" applyNumberFormat="1" applyFont="1" applyFill="1" applyBorder="1" applyAlignment="1"/>
    <xf numFmtId="3" fontId="60" fillId="8" borderId="82" xfId="0" applyNumberFormat="1" applyFont="1" applyFill="1" applyBorder="1" applyAlignment="1">
      <alignment horizontal="left"/>
    </xf>
    <xf numFmtId="3" fontId="49" fillId="7" borderId="118" xfId="0" applyNumberFormat="1" applyFont="1" applyFill="1" applyBorder="1"/>
    <xf numFmtId="0" fontId="54" fillId="15" borderId="31" xfId="0" applyFont="1" applyFill="1" applyBorder="1"/>
    <xf numFmtId="0" fontId="54" fillId="15" borderId="32" xfId="0" applyFont="1" applyFill="1" applyBorder="1"/>
    <xf numFmtId="3" fontId="49" fillId="15" borderId="210" xfId="409" applyNumberFormat="1" applyFont="1" applyFill="1" applyBorder="1" applyAlignment="1">
      <alignment horizontal="center"/>
    </xf>
    <xf numFmtId="3" fontId="49" fillId="15" borderId="56" xfId="0" applyNumberFormat="1" applyFont="1" applyFill="1" applyBorder="1"/>
    <xf numFmtId="3" fontId="49" fillId="15" borderId="54" xfId="0" applyNumberFormat="1" applyFont="1" applyFill="1" applyBorder="1"/>
    <xf numFmtId="0" fontId="0" fillId="0" borderId="86" xfId="0" applyFont="1" applyBorder="1"/>
    <xf numFmtId="0" fontId="0" fillId="0" borderId="79" xfId="0" applyFont="1" applyBorder="1"/>
    <xf numFmtId="3" fontId="43" fillId="0" borderId="84" xfId="0" applyNumberFormat="1" applyFont="1" applyBorder="1"/>
    <xf numFmtId="3" fontId="43" fillId="0" borderId="76" xfId="0" applyNumberFormat="1" applyFont="1" applyBorder="1"/>
    <xf numFmtId="3" fontId="43" fillId="0" borderId="78" xfId="0" applyNumberFormat="1" applyFont="1" applyBorder="1"/>
    <xf numFmtId="3" fontId="43" fillId="0" borderId="211" xfId="0" applyNumberFormat="1" applyFont="1" applyBorder="1"/>
    <xf numFmtId="3" fontId="54" fillId="7" borderId="80" xfId="0" applyNumberFormat="1" applyFont="1" applyFill="1" applyBorder="1" applyAlignment="1"/>
    <xf numFmtId="3" fontId="54" fillId="7" borderId="45" xfId="0" applyNumberFormat="1" applyFont="1" applyFill="1" applyBorder="1" applyAlignment="1"/>
    <xf numFmtId="3" fontId="54" fillId="7" borderId="13" xfId="0" applyNumberFormat="1" applyFont="1" applyFill="1" applyBorder="1" applyAlignment="1"/>
    <xf numFmtId="3" fontId="51" fillId="7" borderId="39" xfId="0" applyNumberFormat="1" applyFont="1" applyFill="1" applyBorder="1" applyAlignment="1"/>
    <xf numFmtId="3" fontId="54" fillId="7" borderId="60" xfId="0" applyNumberFormat="1" applyFont="1" applyFill="1" applyBorder="1" applyAlignment="1"/>
    <xf numFmtId="3" fontId="68" fillId="0" borderId="130" xfId="569" applyNumberFormat="1" applyFont="1" applyFill="1" applyBorder="1" applyAlignment="1">
      <alignment horizontal="left"/>
    </xf>
    <xf numFmtId="3" fontId="31" fillId="0" borderId="130" xfId="569" applyNumberFormat="1" applyFont="1" applyFill="1" applyBorder="1" applyAlignment="1">
      <alignment horizontal="center" vertical="center"/>
    </xf>
    <xf numFmtId="3" fontId="68" fillId="0" borderId="130" xfId="569" applyNumberFormat="1" applyFont="1" applyFill="1" applyBorder="1" applyAlignment="1">
      <alignment horizontal="right"/>
    </xf>
    <xf numFmtId="3" fontId="87" fillId="0" borderId="130" xfId="569" applyNumberFormat="1" applyFont="1" applyFill="1" applyBorder="1" applyAlignment="1">
      <alignment horizontal="left"/>
    </xf>
    <xf numFmtId="3" fontId="6" fillId="0" borderId="130" xfId="569" applyNumberFormat="1" applyFont="1" applyFill="1" applyBorder="1" applyAlignment="1">
      <alignment horizontal="right"/>
    </xf>
    <xf numFmtId="3" fontId="42" fillId="0" borderId="130" xfId="569" applyNumberFormat="1" applyFont="1" applyFill="1" applyBorder="1" applyAlignment="1">
      <alignment horizontal="center" vertical="center"/>
    </xf>
    <xf numFmtId="3" fontId="88" fillId="0" borderId="130" xfId="569" applyNumberFormat="1" applyFont="1" applyFill="1" applyBorder="1" applyAlignment="1">
      <alignment horizontal="right"/>
    </xf>
    <xf numFmtId="0" fontId="102" fillId="0" borderId="130" xfId="569" applyFont="1" applyBorder="1"/>
    <xf numFmtId="3" fontId="83" fillId="0" borderId="130" xfId="569" applyNumberFormat="1" applyFont="1" applyFill="1" applyBorder="1" applyAlignment="1">
      <alignment horizontal="left"/>
    </xf>
    <xf numFmtId="3" fontId="103" fillId="0" borderId="130" xfId="569" applyNumberFormat="1" applyFont="1" applyFill="1" applyBorder="1" applyAlignment="1">
      <alignment horizontal="left"/>
    </xf>
    <xf numFmtId="0" fontId="37" fillId="0" borderId="130" xfId="569" applyFont="1" applyFill="1" applyBorder="1" applyAlignment="1">
      <alignment vertical="top"/>
    </xf>
    <xf numFmtId="49" fontId="97" fillId="0" borderId="213" xfId="0" applyNumberFormat="1" applyFont="1" applyBorder="1" applyAlignment="1">
      <alignment horizontal="center"/>
    </xf>
    <xf numFmtId="49" fontId="97" fillId="0" borderId="130" xfId="0" applyNumberFormat="1" applyFont="1" applyBorder="1" applyAlignment="1">
      <alignment horizontal="center"/>
    </xf>
    <xf numFmtId="0" fontId="97" fillId="0" borderId="100" xfId="0" applyFont="1" applyBorder="1"/>
    <xf numFmtId="0" fontId="97" fillId="0" borderId="107" xfId="0" applyFont="1" applyBorder="1"/>
    <xf numFmtId="3" fontId="97" fillId="0" borderId="143" xfId="0" applyNumberFormat="1" applyFont="1" applyBorder="1"/>
    <xf numFmtId="3" fontId="49" fillId="10" borderId="84" xfId="0" applyNumberFormat="1" applyFont="1" applyFill="1" applyBorder="1" applyAlignment="1"/>
    <xf numFmtId="3" fontId="49" fillId="29" borderId="149" xfId="0" applyNumberFormat="1" applyFont="1" applyFill="1" applyBorder="1"/>
    <xf numFmtId="3" fontId="60" fillId="8" borderId="15" xfId="0" applyNumberFormat="1" applyFont="1" applyFill="1" applyBorder="1" applyAlignment="1">
      <alignment horizontal="left"/>
    </xf>
    <xf numFmtId="0" fontId="43" fillId="0" borderId="92" xfId="0" applyFont="1" applyFill="1" applyBorder="1" applyAlignment="1">
      <alignment horizontal="center"/>
    </xf>
    <xf numFmtId="0" fontId="43" fillId="0" borderId="158" xfId="0" applyFont="1" applyBorder="1" applyAlignment="1">
      <alignment horizontal="center"/>
    </xf>
    <xf numFmtId="0" fontId="55" fillId="0" borderId="131" xfId="0" applyFont="1" applyBorder="1"/>
    <xf numFmtId="0" fontId="43" fillId="0" borderId="130" xfId="0" applyFont="1" applyBorder="1" applyAlignment="1">
      <alignment horizontal="center"/>
    </xf>
    <xf numFmtId="0" fontId="43" fillId="0" borderId="86" xfId="0" applyFont="1" applyBorder="1"/>
    <xf numFmtId="0" fontId="43" fillId="0" borderId="103" xfId="0" applyFont="1" applyBorder="1"/>
    <xf numFmtId="0" fontId="43" fillId="0" borderId="131" xfId="0" applyFont="1" applyBorder="1"/>
    <xf numFmtId="3" fontId="43" fillId="0" borderId="194" xfId="0" applyNumberFormat="1" applyFont="1" applyBorder="1"/>
    <xf numFmtId="3" fontId="43" fillId="0" borderId="79" xfId="0" applyNumberFormat="1" applyFont="1" applyBorder="1"/>
    <xf numFmtId="0" fontId="55" fillId="0" borderId="0" xfId="0" applyFont="1" applyBorder="1"/>
    <xf numFmtId="0" fontId="43" fillId="10" borderId="176" xfId="0" applyFont="1" applyFill="1" applyBorder="1" applyAlignment="1"/>
    <xf numFmtId="0" fontId="111" fillId="34" borderId="130" xfId="0" applyFont="1" applyFill="1" applyBorder="1"/>
    <xf numFmtId="0" fontId="52" fillId="10" borderId="131" xfId="0" applyFont="1" applyFill="1" applyBorder="1" applyAlignment="1"/>
    <xf numFmtId="0" fontId="55" fillId="32" borderId="130" xfId="0" applyFont="1" applyFill="1" applyBorder="1"/>
    <xf numFmtId="0" fontId="43" fillId="9" borderId="215" xfId="0" applyFont="1" applyFill="1" applyBorder="1" applyAlignment="1">
      <alignment horizontal="center"/>
    </xf>
    <xf numFmtId="0" fontId="26" fillId="9" borderId="216" xfId="0" applyFont="1" applyFill="1" applyBorder="1" applyAlignment="1">
      <alignment horizontal="left"/>
    </xf>
    <xf numFmtId="49" fontId="45" fillId="9" borderId="217" xfId="0" applyNumberFormat="1" applyFont="1" applyFill="1" applyBorder="1" applyAlignment="1">
      <alignment horizontal="center"/>
    </xf>
    <xf numFmtId="0" fontId="0" fillId="9" borderId="217" xfId="0" applyFont="1" applyFill="1" applyBorder="1"/>
    <xf numFmtId="0" fontId="0" fillId="9" borderId="218" xfId="0" applyFont="1" applyFill="1" applyBorder="1"/>
    <xf numFmtId="0" fontId="43" fillId="9" borderId="219" xfId="0" applyFont="1" applyFill="1" applyBorder="1" applyAlignment="1">
      <alignment horizontal="center"/>
    </xf>
    <xf numFmtId="167" fontId="0" fillId="9" borderId="214" xfId="0" applyNumberFormat="1" applyFont="1" applyFill="1" applyBorder="1" applyAlignment="1">
      <alignment horizontal="center"/>
    </xf>
    <xf numFmtId="1" fontId="0" fillId="9" borderId="138" xfId="0" applyNumberFormat="1" applyFont="1" applyFill="1" applyBorder="1" applyAlignment="1">
      <alignment horizontal="center" vertical="center"/>
    </xf>
    <xf numFmtId="3" fontId="51" fillId="27" borderId="221" xfId="0" applyNumberFormat="1" applyFont="1" applyFill="1" applyBorder="1"/>
    <xf numFmtId="3" fontId="51" fillId="29" borderId="222" xfId="0" applyNumberFormat="1" applyFont="1" applyFill="1" applyBorder="1"/>
    <xf numFmtId="0" fontId="55" fillId="0" borderId="180" xfId="0" applyFont="1" applyBorder="1"/>
    <xf numFmtId="0" fontId="43" fillId="0" borderId="213" xfId="0" applyFont="1" applyFill="1" applyBorder="1" applyAlignment="1">
      <alignment horizontal="center"/>
    </xf>
    <xf numFmtId="0" fontId="43" fillId="0" borderId="92" xfId="0" applyFont="1" applyBorder="1" applyAlignment="1">
      <alignment horizontal="center"/>
    </xf>
    <xf numFmtId="0" fontId="48" fillId="7" borderId="87" xfId="0" applyFont="1" applyFill="1" applyBorder="1" applyAlignment="1">
      <alignment horizontal="left" vertical="center"/>
    </xf>
    <xf numFmtId="0" fontId="48" fillId="7" borderId="88" xfId="0" applyFont="1" applyFill="1" applyBorder="1" applyAlignment="1">
      <alignment vertical="center"/>
    </xf>
    <xf numFmtId="0" fontId="56" fillId="7" borderId="88" xfId="0" applyFont="1" applyFill="1" applyBorder="1" applyAlignment="1"/>
    <xf numFmtId="0" fontId="48" fillId="7" borderId="88" xfId="0" applyFont="1" applyFill="1" applyBorder="1" applyAlignment="1"/>
    <xf numFmtId="0" fontId="56" fillId="7" borderId="212" xfId="0" applyFont="1" applyFill="1" applyBorder="1" applyAlignment="1"/>
    <xf numFmtId="167" fontId="48" fillId="7" borderId="223" xfId="0" applyNumberFormat="1" applyFont="1" applyFill="1" applyBorder="1" applyAlignment="1"/>
    <xf numFmtId="3" fontId="49" fillId="7" borderId="212" xfId="0" applyNumberFormat="1" applyFont="1" applyFill="1" applyBorder="1" applyAlignment="1"/>
    <xf numFmtId="3" fontId="49" fillId="7" borderId="224" xfId="0" applyNumberFormat="1" applyFont="1" applyFill="1" applyBorder="1" applyAlignment="1"/>
    <xf numFmtId="3" fontId="51" fillId="7" borderId="224" xfId="0" applyNumberFormat="1" applyFont="1" applyFill="1" applyBorder="1" applyAlignment="1"/>
    <xf numFmtId="0" fontId="49" fillId="7" borderId="226" xfId="0" applyFont="1" applyFill="1" applyBorder="1"/>
    <xf numFmtId="0" fontId="50" fillId="0" borderId="226" xfId="0" applyFont="1" applyFill="1" applyBorder="1" applyAlignment="1">
      <alignment horizontal="center"/>
    </xf>
    <xf numFmtId="0" fontId="43" fillId="0" borderId="226" xfId="0" applyFont="1" applyBorder="1" applyAlignment="1">
      <alignment horizontal="center"/>
    </xf>
    <xf numFmtId="0" fontId="43" fillId="0" borderId="226" xfId="0" applyFont="1" applyFill="1" applyBorder="1" applyAlignment="1">
      <alignment horizontal="center"/>
    </xf>
    <xf numFmtId="0" fontId="50" fillId="8" borderId="226" xfId="0" applyFont="1" applyFill="1" applyBorder="1" applyAlignment="1">
      <alignment horizontal="center"/>
    </xf>
    <xf numFmtId="0" fontId="0" fillId="0" borderId="206" xfId="0" applyBorder="1" applyAlignment="1">
      <alignment horizontal="center"/>
    </xf>
    <xf numFmtId="0" fontId="50" fillId="10" borderId="143" xfId="0" applyFont="1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158" xfId="0" applyBorder="1" applyAlignment="1">
      <alignment horizontal="center"/>
    </xf>
    <xf numFmtId="0" fontId="49" fillId="7" borderId="86" xfId="0" applyFont="1" applyFill="1" applyBorder="1"/>
    <xf numFmtId="0" fontId="0" fillId="7" borderId="79" xfId="0" applyFont="1" applyFill="1" applyBorder="1"/>
    <xf numFmtId="0" fontId="0" fillId="7" borderId="103" xfId="0" applyFont="1" applyFill="1" applyBorder="1"/>
    <xf numFmtId="3" fontId="51" fillId="34" borderId="130" xfId="0" applyNumberFormat="1" applyFont="1" applyFill="1" applyBorder="1"/>
    <xf numFmtId="3" fontId="51" fillId="34" borderId="183" xfId="0" applyNumberFormat="1" applyFont="1" applyFill="1" applyBorder="1"/>
    <xf numFmtId="3" fontId="43" fillId="32" borderId="130" xfId="0" applyNumberFormat="1" applyFont="1" applyFill="1" applyBorder="1"/>
    <xf numFmtId="3" fontId="43" fillId="32" borderId="183" xfId="0" applyNumberFormat="1" applyFont="1" applyFill="1" applyBorder="1"/>
    <xf numFmtId="3" fontId="43" fillId="0" borderId="180" xfId="0" applyNumberFormat="1" applyFont="1" applyBorder="1"/>
    <xf numFmtId="3" fontId="43" fillId="0" borderId="186" xfId="0" applyNumberFormat="1" applyFont="1" applyBorder="1"/>
    <xf numFmtId="3" fontId="43" fillId="0" borderId="184" xfId="0" applyNumberFormat="1" applyFont="1" applyBorder="1"/>
    <xf numFmtId="3" fontId="43" fillId="0" borderId="185" xfId="0" applyNumberFormat="1" applyFont="1" applyBorder="1"/>
    <xf numFmtId="49" fontId="43" fillId="0" borderId="124" xfId="0" applyNumberFormat="1" applyFont="1" applyFill="1" applyBorder="1" applyAlignment="1">
      <alignment horizontal="center"/>
    </xf>
    <xf numFmtId="0" fontId="49" fillId="0" borderId="116" xfId="0" applyFont="1" applyFill="1" applyBorder="1"/>
    <xf numFmtId="167" fontId="49" fillId="0" borderId="117" xfId="0" applyNumberFormat="1" applyFont="1" applyFill="1" applyBorder="1" applyAlignment="1"/>
    <xf numFmtId="3" fontId="43" fillId="0" borderId="111" xfId="0" applyNumberFormat="1" applyFont="1" applyFill="1" applyBorder="1" applyAlignment="1"/>
    <xf numFmtId="3" fontId="43" fillId="0" borderId="116" xfId="0" applyNumberFormat="1" applyFont="1" applyFill="1" applyBorder="1" applyAlignment="1"/>
    <xf numFmtId="3" fontId="43" fillId="0" borderId="118" xfId="0" applyNumberFormat="1" applyFont="1" applyFill="1" applyBorder="1" applyAlignment="1"/>
    <xf numFmtId="3" fontId="43" fillId="0" borderId="117" xfId="0" applyNumberFormat="1" applyFont="1" applyFill="1" applyBorder="1" applyAlignment="1"/>
    <xf numFmtId="3" fontId="43" fillId="0" borderId="130" xfId="409" applyNumberFormat="1" applyFont="1" applyFill="1" applyBorder="1" applyAlignment="1">
      <alignment horizontal="right"/>
    </xf>
    <xf numFmtId="3" fontId="43" fillId="0" borderId="130" xfId="409" applyNumberFormat="1" applyFont="1" applyFill="1" applyBorder="1"/>
    <xf numFmtId="3" fontId="43" fillId="0" borderId="130" xfId="409" applyNumberFormat="1" applyFont="1" applyFill="1" applyBorder="1" applyAlignment="1">
      <alignment horizontal="right" vertical="center"/>
    </xf>
    <xf numFmtId="3" fontId="43" fillId="0" borderId="130" xfId="409" applyNumberFormat="1" applyFont="1" applyBorder="1"/>
    <xf numFmtId="0" fontId="113" fillId="0" borderId="130" xfId="569" applyFont="1" applyBorder="1"/>
    <xf numFmtId="171" fontId="43" fillId="0" borderId="0" xfId="409" applyNumberFormat="1" applyFont="1" applyFill="1" applyBorder="1" applyAlignment="1">
      <alignment horizontal="right"/>
    </xf>
    <xf numFmtId="0" fontId="85" fillId="0" borderId="130" xfId="569" applyFont="1" applyBorder="1" applyAlignment="1">
      <alignment horizontal="left"/>
    </xf>
    <xf numFmtId="0" fontId="83" fillId="0" borderId="130" xfId="569" applyFont="1" applyFill="1" applyBorder="1" applyAlignment="1">
      <alignment vertical="top"/>
    </xf>
    <xf numFmtId="3" fontId="43" fillId="0" borderId="130" xfId="409" applyNumberFormat="1" applyFont="1" applyFill="1" applyBorder="1" applyAlignment="1">
      <alignment horizontal="right" vertical="top"/>
    </xf>
    <xf numFmtId="0" fontId="83" fillId="0" borderId="130" xfId="569" applyFont="1" applyFill="1" applyBorder="1" applyAlignment="1">
      <alignment horizontal="left" vertical="top"/>
    </xf>
    <xf numFmtId="3" fontId="70" fillId="0" borderId="130" xfId="569" applyNumberFormat="1" applyFont="1" applyFill="1" applyBorder="1"/>
    <xf numFmtId="3" fontId="73" fillId="0" borderId="130" xfId="569" applyNumberFormat="1" applyFont="1" applyFill="1" applyBorder="1"/>
    <xf numFmtId="3" fontId="37" fillId="0" borderId="130" xfId="569" applyNumberFormat="1" applyFont="1" applyFill="1" applyBorder="1"/>
    <xf numFmtId="3" fontId="73" fillId="0" borderId="130" xfId="569" applyNumberFormat="1" applyFont="1" applyFill="1" applyBorder="1" applyAlignment="1">
      <alignment horizontal="right"/>
    </xf>
    <xf numFmtId="0" fontId="37" fillId="0" borderId="130" xfId="569" applyFont="1" applyBorder="1"/>
    <xf numFmtId="0" fontId="37" fillId="0" borderId="130" xfId="569" applyFont="1" applyFill="1" applyBorder="1"/>
    <xf numFmtId="0" fontId="88" fillId="0" borderId="130" xfId="569" applyFont="1" applyFill="1" applyBorder="1"/>
    <xf numFmtId="0" fontId="38" fillId="0" borderId="130" xfId="569" applyFont="1" applyFill="1" applyBorder="1"/>
    <xf numFmtId="3" fontId="105" fillId="0" borderId="130" xfId="569" applyNumberFormat="1" applyFont="1" applyFill="1" applyBorder="1" applyAlignment="1">
      <alignment horizontal="left"/>
    </xf>
    <xf numFmtId="3" fontId="94" fillId="36" borderId="130" xfId="569" applyNumberFormat="1" applyFont="1" applyFill="1" applyBorder="1" applyAlignment="1">
      <alignment horizontal="left"/>
    </xf>
    <xf numFmtId="3" fontId="66" fillId="0" borderId="130" xfId="569" applyNumberFormat="1" applyFont="1" applyFill="1" applyBorder="1" applyAlignment="1">
      <alignment horizontal="left"/>
    </xf>
    <xf numFmtId="3" fontId="37" fillId="15" borderId="130" xfId="569" applyNumberFormat="1" applyFont="1" applyFill="1" applyBorder="1" applyAlignment="1">
      <alignment horizontal="right"/>
    </xf>
    <xf numFmtId="0" fontId="36" fillId="0" borderId="130" xfId="569" applyFont="1" applyFill="1" applyBorder="1" applyAlignment="1">
      <alignment horizontal="left"/>
    </xf>
    <xf numFmtId="0" fontId="103" fillId="0" borderId="130" xfId="569" applyFont="1" applyFill="1" applyBorder="1" applyAlignment="1">
      <alignment horizontal="right"/>
    </xf>
    <xf numFmtId="3" fontId="83" fillId="0" borderId="130" xfId="569" applyNumberFormat="1" applyFont="1" applyFill="1" applyBorder="1" applyAlignment="1">
      <alignment horizontal="center" vertical="center"/>
    </xf>
    <xf numFmtId="3" fontId="102" fillId="0" borderId="130" xfId="569" applyNumberFormat="1" applyFont="1" applyFill="1" applyBorder="1"/>
    <xf numFmtId="3" fontId="102" fillId="0" borderId="130" xfId="569" applyNumberFormat="1" applyFont="1" applyFill="1" applyBorder="1" applyAlignment="1">
      <alignment horizontal="left"/>
    </xf>
    <xf numFmtId="3" fontId="109" fillId="0" borderId="130" xfId="571" applyNumberFormat="1" applyFont="1" applyFill="1" applyBorder="1" applyAlignment="1">
      <alignment horizontal="right"/>
    </xf>
    <xf numFmtId="3" fontId="108" fillId="0" borderId="130" xfId="569" applyNumberFormat="1" applyFont="1" applyFill="1" applyBorder="1" applyAlignment="1">
      <alignment horizontal="left"/>
    </xf>
    <xf numFmtId="4" fontId="36" fillId="0" borderId="130" xfId="569" applyNumberFormat="1" applyFont="1" applyFill="1" applyBorder="1"/>
    <xf numFmtId="3" fontId="83" fillId="0" borderId="130" xfId="569" applyNumberFormat="1" applyFont="1" applyFill="1" applyBorder="1" applyAlignment="1">
      <alignment horizontal="right" vertical="center"/>
    </xf>
    <xf numFmtId="3" fontId="84" fillId="0" borderId="0" xfId="569" applyNumberFormat="1" applyFont="1" applyBorder="1"/>
    <xf numFmtId="171" fontId="43" fillId="39" borderId="0" xfId="409" applyNumberFormat="1" applyFont="1" applyFill="1" applyBorder="1"/>
    <xf numFmtId="171" fontId="43" fillId="39" borderId="0" xfId="409" applyNumberFormat="1" applyFont="1" applyFill="1" applyBorder="1" applyAlignment="1">
      <alignment horizontal="right"/>
    </xf>
    <xf numFmtId="171" fontId="43" fillId="39" borderId="0" xfId="409" applyNumberFormat="1" applyFont="1" applyFill="1" applyBorder="1" applyAlignment="1">
      <alignment horizontal="left"/>
    </xf>
    <xf numFmtId="171" fontId="43" fillId="40" borderId="0" xfId="409" applyNumberFormat="1" applyFont="1" applyFill="1" applyBorder="1" applyAlignment="1"/>
    <xf numFmtId="171" fontId="43" fillId="41" borderId="0" xfId="409" applyNumberFormat="1" applyFont="1" applyFill="1" applyBorder="1" applyAlignment="1">
      <alignment horizontal="left"/>
    </xf>
    <xf numFmtId="171" fontId="43" fillId="41" borderId="0" xfId="409" applyNumberFormat="1" applyFont="1" applyFill="1" applyBorder="1" applyAlignment="1">
      <alignment horizontal="right"/>
    </xf>
    <xf numFmtId="171" fontId="43" fillId="39" borderId="130" xfId="409" applyNumberFormat="1" applyFont="1" applyFill="1" applyBorder="1"/>
    <xf numFmtId="171" fontId="43" fillId="47" borderId="0" xfId="409" applyNumberFormat="1" applyFont="1" applyFill="1" applyBorder="1"/>
    <xf numFmtId="171" fontId="43" fillId="48" borderId="0" xfId="409" applyNumberFormat="1" applyFont="1" applyFill="1" applyBorder="1"/>
    <xf numFmtId="171" fontId="43" fillId="49" borderId="0" xfId="409" applyNumberFormat="1" applyFont="1" applyFill="1" applyBorder="1"/>
    <xf numFmtId="171" fontId="43" fillId="49" borderId="0" xfId="409" applyNumberFormat="1" applyFont="1" applyFill="1" applyBorder="1" applyAlignment="1">
      <alignment horizontal="left"/>
    </xf>
    <xf numFmtId="171" fontId="43" fillId="49" borderId="0" xfId="409" applyNumberFormat="1" applyFont="1" applyFill="1" applyBorder="1" applyAlignment="1">
      <alignment horizontal="right"/>
    </xf>
    <xf numFmtId="171" fontId="49" fillId="48" borderId="0" xfId="409" applyNumberFormat="1" applyFont="1" applyFill="1" applyBorder="1"/>
    <xf numFmtId="171" fontId="43" fillId="44" borderId="130" xfId="409" applyNumberFormat="1" applyFont="1" applyFill="1" applyBorder="1"/>
    <xf numFmtId="171" fontId="43" fillId="42" borderId="130" xfId="409" applyNumberFormat="1" applyFont="1" applyFill="1" applyBorder="1"/>
    <xf numFmtId="171" fontId="43" fillId="39" borderId="130" xfId="409" applyNumberFormat="1" applyFont="1" applyFill="1" applyBorder="1" applyAlignment="1">
      <alignment horizontal="center" vertical="center"/>
    </xf>
    <xf numFmtId="171" fontId="49" fillId="44" borderId="130" xfId="409" applyNumberFormat="1" applyFont="1" applyFill="1" applyBorder="1"/>
    <xf numFmtId="171" fontId="49" fillId="42" borderId="130" xfId="409" applyNumberFormat="1" applyFont="1" applyFill="1" applyBorder="1"/>
    <xf numFmtId="171" fontId="43" fillId="39" borderId="130" xfId="409" applyNumberFormat="1" applyFont="1" applyFill="1" applyBorder="1" applyAlignment="1">
      <alignment horizontal="right"/>
    </xf>
    <xf numFmtId="0" fontId="0" fillId="0" borderId="130" xfId="0" applyBorder="1"/>
    <xf numFmtId="0" fontId="43" fillId="0" borderId="130" xfId="0" applyFont="1" applyBorder="1"/>
    <xf numFmtId="171" fontId="43" fillId="39" borderId="0" xfId="409" applyNumberFormat="1" applyFont="1" applyFill="1" applyBorder="1" applyAlignment="1">
      <alignment horizontal="center"/>
    </xf>
    <xf numFmtId="171" fontId="43" fillId="0" borderId="0" xfId="409" applyNumberFormat="1" applyFont="1" applyFill="1" applyBorder="1" applyAlignment="1">
      <alignment horizontal="center"/>
    </xf>
    <xf numFmtId="171" fontId="43" fillId="0" borderId="0" xfId="409" applyNumberFormat="1" applyFont="1" applyFill="1" applyAlignment="1">
      <alignment horizontal="center"/>
    </xf>
    <xf numFmtId="171" fontId="43" fillId="0" borderId="0" xfId="409" applyNumberFormat="1" applyFont="1" applyFill="1" applyBorder="1" applyAlignment="1">
      <alignment horizontal="left"/>
    </xf>
    <xf numFmtId="171" fontId="43" fillId="0" borderId="181" xfId="409" applyNumberFormat="1" applyFont="1" applyFill="1" applyBorder="1" applyAlignment="1">
      <alignment horizontal="right"/>
    </xf>
    <xf numFmtId="171" fontId="43" fillId="0" borderId="0" xfId="409" applyNumberFormat="1" applyFont="1" applyFill="1" applyBorder="1" applyAlignment="1"/>
    <xf numFmtId="171" fontId="43" fillId="0" borderId="0" xfId="409" applyNumberFormat="1" applyFont="1" applyFill="1" applyBorder="1"/>
    <xf numFmtId="171" fontId="43" fillId="39" borderId="130" xfId="409" applyNumberFormat="1" applyFont="1" applyFill="1" applyBorder="1" applyAlignment="1">
      <alignment horizontal="left"/>
    </xf>
    <xf numFmtId="171" fontId="43" fillId="0" borderId="130" xfId="409" applyNumberFormat="1" applyFont="1" applyFill="1" applyBorder="1"/>
    <xf numFmtId="171" fontId="43" fillId="39" borderId="130" xfId="409" applyNumberFormat="1" applyFont="1" applyFill="1" applyBorder="1" applyAlignment="1">
      <alignment horizontal="center" wrapText="1"/>
    </xf>
    <xf numFmtId="171" fontId="43" fillId="39" borderId="130" xfId="409" applyNumberFormat="1" applyFont="1" applyFill="1" applyBorder="1" applyAlignment="1">
      <alignment horizontal="right" wrapText="1"/>
    </xf>
    <xf numFmtId="0" fontId="125" fillId="0" borderId="130" xfId="569" applyFont="1" applyFill="1" applyBorder="1" applyAlignment="1">
      <alignment horizontal="left"/>
    </xf>
    <xf numFmtId="3" fontId="43" fillId="47" borderId="130" xfId="409" applyNumberFormat="1" applyFont="1" applyFill="1" applyBorder="1"/>
    <xf numFmtId="0" fontId="126" fillId="0" borderId="130" xfId="569" applyFont="1" applyBorder="1"/>
    <xf numFmtId="3" fontId="126" fillId="0" borderId="130" xfId="569" applyNumberFormat="1" applyFont="1" applyBorder="1"/>
    <xf numFmtId="3" fontId="126" fillId="0" borderId="0" xfId="569" applyNumberFormat="1" applyFont="1" applyFill="1" applyBorder="1" applyAlignment="1">
      <alignment horizontal="left"/>
    </xf>
    <xf numFmtId="0" fontId="127" fillId="0" borderId="0" xfId="569" applyFont="1" applyFill="1" applyBorder="1"/>
    <xf numFmtId="0" fontId="126" fillId="0" borderId="0" xfId="569" applyFont="1" applyFill="1" applyBorder="1" applyAlignment="1">
      <alignment horizontal="left"/>
    </xf>
    <xf numFmtId="0" fontId="127" fillId="0" borderId="0" xfId="569" applyFont="1" applyBorder="1"/>
    <xf numFmtId="0" fontId="128" fillId="0" borderId="0" xfId="569" applyFont="1" applyBorder="1"/>
    <xf numFmtId="1" fontId="36" fillId="51" borderId="130" xfId="569" applyNumberFormat="1" applyFont="1" applyFill="1" applyBorder="1" applyAlignment="1">
      <alignment horizontal="center" vertical="center" wrapText="1"/>
    </xf>
    <xf numFmtId="0" fontId="36" fillId="51" borderId="130" xfId="569" applyFont="1" applyFill="1" applyBorder="1"/>
    <xf numFmtId="0" fontId="36" fillId="51" borderId="130" xfId="569" applyFont="1" applyFill="1" applyBorder="1" applyAlignment="1">
      <alignment vertical="top"/>
    </xf>
    <xf numFmtId="1" fontId="36" fillId="51" borderId="130" xfId="569" applyNumberFormat="1" applyFont="1" applyFill="1" applyBorder="1" applyAlignment="1">
      <alignment horizontal="center" vertical="center"/>
    </xf>
    <xf numFmtId="1" fontId="43" fillId="51" borderId="130" xfId="409" applyNumberFormat="1" applyFont="1" applyFill="1" applyBorder="1" applyAlignment="1">
      <alignment horizontal="center" vertical="center" wrapText="1"/>
    </xf>
    <xf numFmtId="0" fontId="36" fillId="47" borderId="0" xfId="569" applyFont="1" applyFill="1" applyBorder="1" applyAlignment="1">
      <alignment horizontal="center" vertical="center"/>
    </xf>
    <xf numFmtId="2" fontId="36" fillId="47" borderId="0" xfId="569" applyNumberFormat="1" applyFont="1" applyFill="1" applyBorder="1" applyAlignment="1">
      <alignment horizontal="justify" vertical="center"/>
    </xf>
    <xf numFmtId="1" fontId="36" fillId="47" borderId="0" xfId="569" applyNumberFormat="1" applyFont="1" applyFill="1" applyBorder="1" applyAlignment="1">
      <alignment horizontal="justify" vertical="top"/>
    </xf>
    <xf numFmtId="1" fontId="36" fillId="47" borderId="0" xfId="569" applyNumberFormat="1" applyFont="1" applyFill="1" applyBorder="1" applyAlignment="1">
      <alignment horizontal="center" vertical="center"/>
    </xf>
    <xf numFmtId="0" fontId="36" fillId="47" borderId="0" xfId="569" applyFont="1" applyFill="1" applyBorder="1"/>
    <xf numFmtId="0" fontId="36" fillId="51" borderId="130" xfId="569" applyFont="1" applyFill="1" applyBorder="1" applyAlignment="1">
      <alignment horizontal="left"/>
    </xf>
    <xf numFmtId="0" fontId="0" fillId="0" borderId="0" xfId="0"/>
    <xf numFmtId="3" fontId="103" fillId="0" borderId="130" xfId="569" applyNumberFormat="1" applyFont="1" applyFill="1" applyBorder="1" applyAlignment="1">
      <alignment horizontal="center"/>
    </xf>
    <xf numFmtId="49" fontId="29" fillId="0" borderId="90" xfId="0" applyNumberFormat="1" applyFont="1" applyBorder="1" applyAlignment="1">
      <alignment horizontal="center"/>
    </xf>
    <xf numFmtId="0" fontId="97" fillId="0" borderId="164" xfId="0" applyFont="1" applyBorder="1"/>
    <xf numFmtId="0" fontId="97" fillId="0" borderId="209" xfId="0" applyFont="1" applyBorder="1"/>
    <xf numFmtId="0" fontId="0" fillId="0" borderId="0" xfId="0"/>
    <xf numFmtId="0" fontId="43" fillId="0" borderId="0" xfId="0" applyFont="1"/>
    <xf numFmtId="3" fontId="29" fillId="0" borderId="130" xfId="0" applyNumberFormat="1" applyFont="1" applyBorder="1" applyAlignment="1">
      <alignment horizontal="right" vertical="center"/>
    </xf>
    <xf numFmtId="3" fontId="43" fillId="0" borderId="14" xfId="0" applyNumberFormat="1" applyFont="1" applyBorder="1"/>
    <xf numFmtId="3" fontId="43" fillId="46" borderId="130" xfId="0" applyNumberFormat="1" applyFont="1" applyFill="1" applyBorder="1" applyAlignment="1">
      <alignment horizontal="right"/>
    </xf>
    <xf numFmtId="3" fontId="43" fillId="0" borderId="130" xfId="0" applyNumberFormat="1" applyFont="1" applyFill="1" applyBorder="1" applyAlignment="1">
      <alignment horizontal="right"/>
    </xf>
    <xf numFmtId="3" fontId="43" fillId="39" borderId="130" xfId="0" applyNumberFormat="1" applyFont="1" applyFill="1" applyBorder="1" applyAlignment="1">
      <alignment horizontal="right"/>
    </xf>
    <xf numFmtId="49" fontId="38" fillId="0" borderId="188" xfId="0" applyNumberFormat="1" applyFont="1" applyFill="1" applyBorder="1" applyAlignment="1">
      <alignment horizontal="right"/>
    </xf>
    <xf numFmtId="0" fontId="36" fillId="0" borderId="188" xfId="0" applyFont="1" applyFill="1" applyBorder="1" applyAlignment="1">
      <alignment horizontal="center"/>
    </xf>
    <xf numFmtId="0" fontId="36" fillId="0" borderId="233" xfId="0" applyFont="1" applyFill="1" applyBorder="1"/>
    <xf numFmtId="3" fontId="36" fillId="0" borderId="194" xfId="0" applyNumberFormat="1" applyFont="1" applyFill="1" applyBorder="1" applyAlignment="1">
      <alignment horizontal="right"/>
    </xf>
    <xf numFmtId="3" fontId="36" fillId="0" borderId="249" xfId="0" applyNumberFormat="1" applyFont="1" applyFill="1" applyBorder="1" applyAlignment="1">
      <alignment horizontal="right"/>
    </xf>
    <xf numFmtId="3" fontId="36" fillId="0" borderId="248" xfId="0" applyNumberFormat="1" applyFont="1" applyFill="1" applyBorder="1" applyAlignment="1">
      <alignment horizontal="right"/>
    </xf>
    <xf numFmtId="3" fontId="36" fillId="0" borderId="131" xfId="0" applyNumberFormat="1" applyFont="1" applyFill="1" applyBorder="1" applyAlignment="1">
      <alignment horizontal="right"/>
    </xf>
    <xf numFmtId="3" fontId="36" fillId="0" borderId="246" xfId="0" applyNumberFormat="1" applyFont="1" applyFill="1" applyBorder="1" applyAlignment="1">
      <alignment horizontal="right"/>
    </xf>
    <xf numFmtId="0" fontId="43" fillId="39" borderId="130" xfId="0" applyFont="1" applyFill="1" applyBorder="1"/>
    <xf numFmtId="0" fontId="49" fillId="15" borderId="52" xfId="0" applyFont="1" applyFill="1" applyBorder="1"/>
    <xf numFmtId="0" fontId="43" fillId="15" borderId="19" xfId="0" applyFont="1" applyFill="1" applyBorder="1"/>
    <xf numFmtId="0" fontId="43" fillId="15" borderId="43" xfId="0" applyFont="1" applyFill="1" applyBorder="1"/>
    <xf numFmtId="0" fontId="0" fillId="0" borderId="102" xfId="0" applyBorder="1"/>
    <xf numFmtId="49" fontId="53" fillId="15" borderId="231" xfId="0" applyNumberFormat="1" applyFont="1" applyFill="1" applyBorder="1" applyAlignment="1">
      <alignment horizontal="right"/>
    </xf>
    <xf numFmtId="0" fontId="43" fillId="0" borderId="98" xfId="0" applyFont="1" applyBorder="1" applyAlignment="1">
      <alignment horizontal="center"/>
    </xf>
    <xf numFmtId="0" fontId="43" fillId="0" borderId="81" xfId="0" applyFont="1" applyBorder="1" applyAlignment="1">
      <alignment horizontal="center"/>
    </xf>
    <xf numFmtId="0" fontId="43" fillId="0" borderId="194" xfId="0" applyFont="1" applyBorder="1" applyAlignment="1">
      <alignment horizontal="center"/>
    </xf>
    <xf numFmtId="0" fontId="43" fillId="0" borderId="85" xfId="0" applyFont="1" applyBorder="1" applyAlignment="1">
      <alignment horizontal="center"/>
    </xf>
    <xf numFmtId="167" fontId="48" fillId="7" borderId="26" xfId="0" applyNumberFormat="1" applyFont="1" applyFill="1" applyBorder="1" applyAlignment="1"/>
    <xf numFmtId="167" fontId="51" fillId="7" borderId="110" xfId="0" applyNumberFormat="1" applyFont="1" applyFill="1" applyBorder="1"/>
    <xf numFmtId="167" fontId="93" fillId="27" borderId="79" xfId="0" applyNumberFormat="1" applyFont="1" applyFill="1" applyBorder="1"/>
    <xf numFmtId="167" fontId="51" fillId="29" borderId="126" xfId="0" applyNumberFormat="1" applyFont="1" applyFill="1" applyBorder="1"/>
    <xf numFmtId="167" fontId="49" fillId="15" borderId="15" xfId="0" applyNumberFormat="1" applyFont="1" applyFill="1" applyBorder="1" applyAlignment="1">
      <alignment horizontal="right"/>
    </xf>
    <xf numFmtId="167" fontId="43" fillId="0" borderId="79" xfId="0" applyNumberFormat="1" applyFont="1" applyFill="1" applyBorder="1" applyAlignment="1">
      <alignment horizontal="right"/>
    </xf>
    <xf numFmtId="167" fontId="43" fillId="10" borderId="0" xfId="0" applyNumberFormat="1" applyFont="1" applyFill="1" applyBorder="1" applyAlignment="1">
      <alignment horizontal="right"/>
    </xf>
    <xf numFmtId="167" fontId="36" fillId="0" borderId="131" xfId="0" applyNumberFormat="1" applyFont="1" applyFill="1" applyBorder="1" applyAlignment="1">
      <alignment horizontal="right"/>
    </xf>
    <xf numFmtId="0" fontId="54" fillId="7" borderId="87" xfId="0" applyFont="1" applyFill="1" applyBorder="1" applyAlignment="1">
      <alignment horizontal="left" vertical="center"/>
    </xf>
    <xf numFmtId="0" fontId="48" fillId="7" borderId="250" xfId="0" applyFont="1" applyFill="1" applyBorder="1" applyAlignment="1">
      <alignment vertical="center"/>
    </xf>
    <xf numFmtId="0" fontId="56" fillId="7" borderId="251" xfId="0" applyFont="1" applyFill="1" applyBorder="1" applyAlignment="1"/>
    <xf numFmtId="0" fontId="49" fillId="7" borderId="137" xfId="0" applyFont="1" applyFill="1" applyBorder="1"/>
    <xf numFmtId="0" fontId="91" fillId="27" borderId="174" xfId="0" applyFont="1" applyFill="1" applyBorder="1"/>
    <xf numFmtId="0" fontId="49" fillId="7" borderId="252" xfId="0" applyFont="1" applyFill="1" applyBorder="1"/>
    <xf numFmtId="0" fontId="49" fillId="29" borderId="253" xfId="0" applyFont="1" applyFill="1" applyBorder="1"/>
    <xf numFmtId="0" fontId="50" fillId="10" borderId="92" xfId="0" applyFont="1" applyFill="1" applyBorder="1" applyAlignment="1">
      <alignment horizontal="center"/>
    </xf>
    <xf numFmtId="0" fontId="43" fillId="10" borderId="136" xfId="0" applyFont="1" applyFill="1" applyBorder="1" applyAlignment="1"/>
    <xf numFmtId="0" fontId="50" fillId="0" borderId="92" xfId="0" applyFont="1" applyFill="1" applyBorder="1" applyAlignment="1">
      <alignment horizontal="center"/>
    </xf>
    <xf numFmtId="0" fontId="0" fillId="7" borderId="136" xfId="0" applyFont="1" applyFill="1" applyBorder="1"/>
    <xf numFmtId="0" fontId="51" fillId="15" borderId="135" xfId="0" applyFont="1" applyFill="1" applyBorder="1"/>
    <xf numFmtId="0" fontId="43" fillId="8" borderId="136" xfId="0" applyFont="1" applyFill="1" applyBorder="1"/>
    <xf numFmtId="0" fontId="43" fillId="8" borderId="135" xfId="0" applyFont="1" applyFill="1" applyBorder="1"/>
    <xf numFmtId="0" fontId="49" fillId="29" borderId="136" xfId="0" applyFont="1" applyFill="1" applyBorder="1"/>
    <xf numFmtId="0" fontId="51" fillId="15" borderId="138" xfId="0" applyFont="1" applyFill="1" applyBorder="1"/>
    <xf numFmtId="0" fontId="43" fillId="8" borderId="174" xfId="0" applyFont="1" applyFill="1" applyBorder="1"/>
    <xf numFmtId="0" fontId="52" fillId="10" borderId="92" xfId="0" applyFont="1" applyFill="1" applyBorder="1" applyAlignment="1">
      <alignment horizontal="center"/>
    </xf>
    <xf numFmtId="0" fontId="52" fillId="10" borderId="136" xfId="0" applyFont="1" applyFill="1" applyBorder="1"/>
    <xf numFmtId="0" fontId="0" fillId="0" borderId="92" xfId="0" applyFont="1" applyBorder="1" applyAlignment="1">
      <alignment horizontal="center"/>
    </xf>
    <xf numFmtId="0" fontId="0" fillId="27" borderId="136" xfId="0" applyFont="1" applyFill="1" applyBorder="1"/>
    <xf numFmtId="0" fontId="43" fillId="15" borderId="135" xfId="0" applyFont="1" applyFill="1" applyBorder="1"/>
    <xf numFmtId="0" fontId="43" fillId="0" borderId="138" xfId="0" applyFont="1" applyFill="1" applyBorder="1"/>
    <xf numFmtId="0" fontId="43" fillId="0" borderId="174" xfId="0" applyFont="1" applyFill="1" applyBorder="1"/>
    <xf numFmtId="0" fontId="36" fillId="0" borderId="207" xfId="0" applyFont="1" applyFill="1" applyBorder="1" applyAlignment="1">
      <alignment horizontal="center"/>
    </xf>
    <xf numFmtId="0" fontId="36" fillId="0" borderId="208" xfId="0" applyFont="1" applyFill="1" applyBorder="1"/>
    <xf numFmtId="0" fontId="43" fillId="15" borderId="138" xfId="0" applyFont="1" applyFill="1" applyBorder="1"/>
    <xf numFmtId="0" fontId="55" fillId="0" borderId="228" xfId="0" applyFont="1" applyBorder="1"/>
    <xf numFmtId="0" fontId="43" fillId="0" borderId="180" xfId="0" applyFont="1" applyBorder="1"/>
    <xf numFmtId="0" fontId="43" fillId="0" borderId="184" xfId="0" applyFont="1" applyBorder="1"/>
    <xf numFmtId="0" fontId="43" fillId="0" borderId="232" xfId="0" applyFont="1" applyBorder="1"/>
    <xf numFmtId="167" fontId="43" fillId="46" borderId="79" xfId="0" applyNumberFormat="1" applyFont="1" applyFill="1" applyBorder="1" applyAlignment="1">
      <alignment horizontal="right"/>
    </xf>
    <xf numFmtId="167" fontId="0" fillId="9" borderId="92" xfId="0" applyNumberFormat="1" applyFont="1" applyFill="1" applyBorder="1" applyAlignment="1">
      <alignment horizontal="center"/>
    </xf>
    <xf numFmtId="1" fontId="0" fillId="9" borderId="90" xfId="0" applyNumberFormat="1" applyFont="1" applyFill="1" applyBorder="1" applyAlignment="1">
      <alignment horizontal="center" vertical="center"/>
    </xf>
    <xf numFmtId="3" fontId="43" fillId="26" borderId="101" xfId="0" applyNumberFormat="1" applyFont="1" applyFill="1" applyBorder="1" applyAlignment="1">
      <alignment horizontal="right"/>
    </xf>
    <xf numFmtId="3" fontId="43" fillId="46" borderId="120" xfId="0" applyNumberFormat="1" applyFont="1" applyFill="1" applyBorder="1" applyAlignment="1">
      <alignment horizontal="right"/>
    </xf>
    <xf numFmtId="3" fontId="43" fillId="46" borderId="183" xfId="0" applyNumberFormat="1" applyFont="1" applyFill="1" applyBorder="1" applyAlignment="1">
      <alignment horizontal="right"/>
    </xf>
    <xf numFmtId="3" fontId="43" fillId="39" borderId="120" xfId="0" applyNumberFormat="1" applyFont="1" applyFill="1" applyBorder="1" applyAlignment="1">
      <alignment horizontal="right"/>
    </xf>
    <xf numFmtId="3" fontId="43" fillId="39" borderId="183" xfId="0" applyNumberFormat="1" applyFont="1" applyFill="1" applyBorder="1" applyAlignment="1">
      <alignment horizontal="right"/>
    </xf>
    <xf numFmtId="3" fontId="43" fillId="0" borderId="183" xfId="0" applyNumberFormat="1" applyFont="1" applyFill="1" applyBorder="1" applyAlignment="1">
      <alignment horizontal="right"/>
    </xf>
    <xf numFmtId="0" fontId="43" fillId="39" borderId="183" xfId="0" applyFont="1" applyFill="1" applyBorder="1"/>
    <xf numFmtId="0" fontId="43" fillId="46" borderId="130" xfId="0" applyFont="1" applyFill="1" applyBorder="1"/>
    <xf numFmtId="0" fontId="43" fillId="46" borderId="183" xfId="0" applyFont="1" applyFill="1" applyBorder="1"/>
    <xf numFmtId="3" fontId="43" fillId="0" borderId="205" xfId="0" applyNumberFormat="1" applyFont="1" applyBorder="1"/>
    <xf numFmtId="3" fontId="43" fillId="46" borderId="130" xfId="0" applyNumberFormat="1" applyFont="1" applyFill="1" applyBorder="1"/>
    <xf numFmtId="3" fontId="43" fillId="39" borderId="130" xfId="0" applyNumberFormat="1" applyFont="1" applyFill="1" applyBorder="1"/>
    <xf numFmtId="3" fontId="43" fillId="0" borderId="154" xfId="0" applyNumberFormat="1" applyFont="1" applyBorder="1"/>
    <xf numFmtId="3" fontId="43" fillId="52" borderId="81" xfId="0" applyNumberFormat="1" applyFont="1" applyFill="1" applyBorder="1" applyAlignment="1">
      <alignment horizontal="right"/>
    </xf>
    <xf numFmtId="3" fontId="43" fillId="39" borderId="84" xfId="0" applyNumberFormat="1" applyFont="1" applyFill="1" applyBorder="1" applyAlignment="1">
      <alignment horizontal="right"/>
    </xf>
    <xf numFmtId="3" fontId="51" fillId="10" borderId="68" xfId="0" applyNumberFormat="1" applyFont="1" applyFill="1" applyBorder="1" applyAlignment="1"/>
    <xf numFmtId="3" fontId="43" fillId="15" borderId="15" xfId="0" applyNumberFormat="1" applyFont="1" applyFill="1" applyBorder="1" applyAlignment="1">
      <alignment horizontal="right"/>
    </xf>
    <xf numFmtId="3" fontId="43" fillId="52" borderId="0" xfId="0" applyNumberFormat="1" applyFont="1" applyFill="1" applyBorder="1" applyAlignment="1">
      <alignment horizontal="right"/>
    </xf>
    <xf numFmtId="3" fontId="43" fillId="39" borderId="79" xfId="0" applyNumberFormat="1" applyFont="1" applyFill="1" applyBorder="1" applyAlignment="1">
      <alignment horizontal="right"/>
    </xf>
    <xf numFmtId="1" fontId="51" fillId="10" borderId="0" xfId="0" applyNumberFormat="1" applyFont="1" applyFill="1" applyBorder="1"/>
    <xf numFmtId="1" fontId="49" fillId="7" borderId="0" xfId="0" applyNumberFormat="1" applyFont="1" applyFill="1" applyBorder="1"/>
    <xf numFmtId="1" fontId="49" fillId="15" borderId="15" xfId="0" applyNumberFormat="1" applyFont="1" applyFill="1" applyBorder="1"/>
    <xf numFmtId="1" fontId="43" fillId="0" borderId="15" xfId="0" applyNumberFormat="1" applyFont="1" applyBorder="1"/>
    <xf numFmtId="1" fontId="43" fillId="0" borderId="34" xfId="0" applyNumberFormat="1" applyFont="1" applyBorder="1"/>
    <xf numFmtId="3" fontId="43" fillId="15" borderId="82" xfId="0" applyNumberFormat="1" applyFont="1" applyFill="1" applyBorder="1" applyAlignment="1">
      <alignment horizontal="right"/>
    </xf>
    <xf numFmtId="1" fontId="51" fillId="10" borderId="81" xfId="0" applyNumberFormat="1" applyFont="1" applyFill="1" applyBorder="1"/>
    <xf numFmtId="1" fontId="49" fillId="7" borderId="81" xfId="0" applyNumberFormat="1" applyFont="1" applyFill="1" applyBorder="1"/>
    <xf numFmtId="1" fontId="43" fillId="15" borderId="82" xfId="0" applyNumberFormat="1" applyFont="1" applyFill="1" applyBorder="1"/>
    <xf numFmtId="1" fontId="43" fillId="0" borderId="82" xfId="0" applyNumberFormat="1" applyFont="1" applyBorder="1"/>
    <xf numFmtId="1" fontId="43" fillId="0" borderId="154" xfId="0" applyNumberFormat="1" applyFont="1" applyBorder="1"/>
    <xf numFmtId="0" fontId="51" fillId="10" borderId="0" xfId="0" applyFont="1" applyFill="1" applyBorder="1"/>
    <xf numFmtId="3" fontId="43" fillId="0" borderId="15" xfId="0" applyNumberFormat="1" applyFont="1" applyBorder="1"/>
    <xf numFmtId="0" fontId="51" fillId="10" borderId="81" xfId="0" applyFont="1" applyFill="1" applyBorder="1"/>
    <xf numFmtId="0" fontId="49" fillId="7" borderId="81" xfId="0" applyFont="1" applyFill="1" applyBorder="1"/>
    <xf numFmtId="0" fontId="43" fillId="15" borderId="82" xfId="0" applyFont="1" applyFill="1" applyBorder="1"/>
    <xf numFmtId="3" fontId="49" fillId="10" borderId="0" xfId="0" applyNumberFormat="1" applyFont="1" applyFill="1" applyBorder="1" applyAlignment="1"/>
    <xf numFmtId="0" fontId="43" fillId="0" borderId="86" xfId="0" applyFont="1" applyFill="1" applyBorder="1" applyAlignment="1">
      <alignment horizontal="center"/>
    </xf>
    <xf numFmtId="0" fontId="43" fillId="0" borderId="79" xfId="0" applyFont="1" applyFill="1" applyBorder="1"/>
    <xf numFmtId="0" fontId="43" fillId="0" borderId="103" xfId="0" applyFont="1" applyFill="1" applyBorder="1"/>
    <xf numFmtId="49" fontId="55" fillId="0" borderId="132" xfId="0" applyNumberFormat="1" applyFont="1" applyFill="1" applyBorder="1" applyAlignment="1">
      <alignment horizontal="right"/>
    </xf>
    <xf numFmtId="49" fontId="53" fillId="15" borderId="132" xfId="0" applyNumberFormat="1" applyFont="1" applyFill="1" applyBorder="1" applyAlignment="1">
      <alignment horizontal="right"/>
    </xf>
    <xf numFmtId="167" fontId="43" fillId="0" borderId="131" xfId="0" applyNumberFormat="1" applyFont="1" applyFill="1" applyBorder="1" applyAlignment="1">
      <alignment horizontal="right"/>
    </xf>
    <xf numFmtId="3" fontId="43" fillId="0" borderId="194" xfId="0" applyNumberFormat="1" applyFont="1" applyFill="1" applyBorder="1" applyAlignment="1">
      <alignment horizontal="right"/>
    </xf>
    <xf numFmtId="3" fontId="43" fillId="0" borderId="131" xfId="0" applyNumberFormat="1" applyFont="1" applyFill="1" applyBorder="1" applyAlignment="1">
      <alignment horizontal="right"/>
    </xf>
    <xf numFmtId="3" fontId="43" fillId="0" borderId="34" xfId="0" applyNumberFormat="1" applyFont="1" applyBorder="1"/>
    <xf numFmtId="0" fontId="0" fillId="0" borderId="0" xfId="0"/>
    <xf numFmtId="0" fontId="0" fillId="0" borderId="0" xfId="0"/>
    <xf numFmtId="49" fontId="43" fillId="0" borderId="0" xfId="0" applyNumberFormat="1" applyFont="1" applyFill="1" applyBorder="1" applyAlignment="1">
      <alignment horizontal="center"/>
    </xf>
    <xf numFmtId="167" fontId="43" fillId="0" borderId="246" xfId="0" applyNumberFormat="1" applyFont="1" applyFill="1" applyBorder="1" applyAlignment="1">
      <alignment horizontal="right"/>
    </xf>
    <xf numFmtId="0" fontId="43" fillId="8" borderId="76" xfId="0" applyFont="1" applyFill="1" applyBorder="1"/>
    <xf numFmtId="167" fontId="43" fillId="0" borderId="77" xfId="0" applyNumberFormat="1" applyFont="1" applyFill="1" applyBorder="1" applyAlignment="1">
      <alignment horizontal="right"/>
    </xf>
    <xf numFmtId="49" fontId="43" fillId="0" borderId="86" xfId="0" applyNumberFormat="1" applyFont="1" applyFill="1" applyBorder="1" applyAlignment="1">
      <alignment horizontal="left"/>
    </xf>
    <xf numFmtId="49" fontId="43" fillId="0" borderId="164" xfId="0" applyNumberFormat="1" applyFont="1" applyFill="1" applyBorder="1" applyAlignment="1"/>
    <xf numFmtId="3" fontId="49" fillId="7" borderId="116" xfId="0" applyNumberFormat="1" applyFont="1" applyFill="1" applyBorder="1"/>
    <xf numFmtId="3" fontId="49" fillId="7" borderId="80" xfId="0" applyNumberFormat="1" applyFont="1" applyFill="1" applyBorder="1" applyAlignment="1"/>
    <xf numFmtId="3" fontId="49" fillId="7" borderId="111" xfId="0" applyNumberFormat="1" applyFont="1" applyFill="1" applyBorder="1"/>
    <xf numFmtId="3" fontId="49" fillId="10" borderId="111" xfId="0" applyNumberFormat="1" applyFont="1" applyFill="1" applyBorder="1" applyAlignment="1"/>
    <xf numFmtId="3" fontId="55" fillId="0" borderId="180" xfId="0" applyNumberFormat="1" applyFont="1" applyBorder="1"/>
    <xf numFmtId="49" fontId="43" fillId="0" borderId="254" xfId="0" applyNumberFormat="1" applyFont="1" applyFill="1" applyBorder="1" applyAlignment="1">
      <alignment horizontal="center"/>
    </xf>
    <xf numFmtId="3" fontId="43" fillId="0" borderId="110" xfId="0" applyNumberFormat="1" applyFont="1" applyFill="1" applyBorder="1" applyAlignment="1">
      <alignment horizontal="right"/>
    </xf>
    <xf numFmtId="3" fontId="43" fillId="0" borderId="137" xfId="0" applyNumberFormat="1" applyFont="1" applyFill="1" applyBorder="1" applyAlignment="1">
      <alignment horizontal="right"/>
    </xf>
    <xf numFmtId="3" fontId="49" fillId="10" borderId="79" xfId="0" applyNumberFormat="1" applyFont="1" applyFill="1" applyBorder="1" applyAlignment="1"/>
    <xf numFmtId="49" fontId="43" fillId="0" borderId="100" xfId="0" applyNumberFormat="1" applyFont="1" applyFill="1" applyBorder="1" applyAlignment="1">
      <alignment horizontal="center"/>
    </xf>
    <xf numFmtId="167" fontId="49" fillId="0" borderId="0" xfId="0" applyNumberFormat="1" applyFont="1" applyFill="1" applyBorder="1"/>
    <xf numFmtId="3" fontId="43" fillId="0" borderId="136" xfId="0" applyNumberFormat="1" applyFont="1" applyFill="1" applyBorder="1"/>
    <xf numFmtId="3" fontId="43" fillId="0" borderId="111" xfId="0" applyNumberFormat="1" applyFont="1" applyFill="1" applyBorder="1"/>
    <xf numFmtId="3" fontId="43" fillId="0" borderId="110" xfId="0" applyNumberFormat="1" applyFont="1" applyFill="1" applyBorder="1"/>
    <xf numFmtId="3" fontId="43" fillId="0" borderId="174" xfId="0" applyNumberFormat="1" applyFont="1" applyBorder="1"/>
    <xf numFmtId="3" fontId="121" fillId="8" borderId="82" xfId="0" applyNumberFormat="1" applyFont="1" applyFill="1" applyBorder="1" applyAlignment="1">
      <alignment horizontal="left"/>
    </xf>
    <xf numFmtId="3" fontId="121" fillId="8" borderId="15" xfId="0" applyNumberFormat="1" applyFont="1" applyFill="1" applyBorder="1" applyAlignment="1">
      <alignment horizontal="left"/>
    </xf>
    <xf numFmtId="3" fontId="43" fillId="0" borderId="22" xfId="0" applyNumberFormat="1" applyFont="1" applyBorder="1"/>
    <xf numFmtId="0" fontId="0" fillId="0" borderId="255" xfId="0" applyFont="1" applyBorder="1"/>
    <xf numFmtId="0" fontId="0" fillId="0" borderId="200" xfId="0" applyFont="1" applyBorder="1"/>
    <xf numFmtId="3" fontId="43" fillId="0" borderId="111" xfId="0" applyNumberFormat="1" applyFont="1" applyBorder="1"/>
    <xf numFmtId="3" fontId="43" fillId="0" borderId="116" xfId="0" applyNumberFormat="1" applyFont="1" applyBorder="1"/>
    <xf numFmtId="3" fontId="43" fillId="0" borderId="118" xfId="0" applyNumberFormat="1" applyFont="1" applyBorder="1"/>
    <xf numFmtId="171" fontId="49" fillId="7" borderId="31" xfId="409" applyNumberFormat="1" applyFont="1" applyFill="1" applyBorder="1" applyAlignment="1">
      <alignment horizontal="center"/>
    </xf>
    <xf numFmtId="0" fontId="43" fillId="0" borderId="150" xfId="0" applyFont="1" applyBorder="1"/>
    <xf numFmtId="3" fontId="43" fillId="0" borderId="150" xfId="0" applyNumberFormat="1" applyFont="1" applyBorder="1"/>
    <xf numFmtId="3" fontId="0" fillId="0" borderId="22" xfId="0" applyNumberFormat="1" applyFont="1" applyFill="1" applyBorder="1"/>
    <xf numFmtId="3" fontId="0" fillId="0" borderId="14" xfId="0" applyNumberFormat="1" applyFont="1" applyBorder="1"/>
    <xf numFmtId="3" fontId="43" fillId="0" borderId="117" xfId="0" applyNumberFormat="1" applyFont="1" applyBorder="1"/>
    <xf numFmtId="3" fontId="49" fillId="15" borderId="245" xfId="0" applyNumberFormat="1" applyFont="1" applyFill="1" applyBorder="1"/>
    <xf numFmtId="3" fontId="49" fillId="15" borderId="37" xfId="0" applyNumberFormat="1" applyFont="1" applyFill="1" applyBorder="1"/>
    <xf numFmtId="3" fontId="0" fillId="0" borderId="98" xfId="0" applyNumberFormat="1" applyFont="1" applyFill="1" applyBorder="1"/>
    <xf numFmtId="3" fontId="0" fillId="0" borderId="82" xfId="0" applyNumberFormat="1" applyFont="1" applyBorder="1"/>
    <xf numFmtId="3" fontId="49" fillId="15" borderId="150" xfId="0" applyNumberFormat="1" applyFont="1" applyFill="1" applyBorder="1"/>
    <xf numFmtId="3" fontId="43" fillId="0" borderId="85" xfId="0" applyNumberFormat="1" applyFont="1" applyBorder="1"/>
    <xf numFmtId="0" fontId="0" fillId="10" borderId="23" xfId="0" applyFont="1" applyFill="1" applyBorder="1" applyAlignment="1">
      <alignment horizontal="center"/>
    </xf>
    <xf numFmtId="0" fontId="0" fillId="10" borderId="166" xfId="0" applyFont="1" applyFill="1" applyBorder="1" applyAlignment="1">
      <alignment horizontal="center"/>
    </xf>
    <xf numFmtId="0" fontId="0" fillId="10" borderId="168" xfId="0" applyFont="1" applyFill="1" applyBorder="1" applyAlignment="1">
      <alignment horizontal="center"/>
    </xf>
    <xf numFmtId="3" fontId="85" fillId="0" borderId="130" xfId="569" applyNumberFormat="1" applyFont="1" applyFill="1" applyBorder="1"/>
    <xf numFmtId="171" fontId="43" fillId="0" borderId="130" xfId="409" applyNumberFormat="1" applyFont="1" applyFill="1" applyBorder="1" applyAlignment="1">
      <alignment horizontal="center"/>
    </xf>
    <xf numFmtId="3" fontId="43" fillId="0" borderId="130" xfId="409" applyNumberFormat="1" applyFont="1" applyBorder="1" applyAlignment="1">
      <alignment horizontal="right"/>
    </xf>
    <xf numFmtId="3" fontId="85" fillId="39" borderId="130" xfId="569" applyNumberFormat="1" applyFont="1" applyFill="1" applyBorder="1"/>
    <xf numFmtId="171" fontId="122" fillId="0" borderId="130" xfId="409" applyNumberFormat="1" applyFont="1" applyFill="1" applyBorder="1"/>
    <xf numFmtId="171" fontId="121" fillId="0" borderId="130" xfId="409" applyNumberFormat="1" applyFont="1" applyFill="1" applyBorder="1"/>
    <xf numFmtId="171" fontId="43" fillId="0" borderId="130" xfId="409" applyNumberFormat="1" applyFont="1" applyFill="1" applyBorder="1" applyAlignment="1">
      <alignment horizontal="right"/>
    </xf>
    <xf numFmtId="3" fontId="85" fillId="30" borderId="130" xfId="571" applyNumberFormat="1" applyFont="1" applyFill="1" applyBorder="1"/>
    <xf numFmtId="171" fontId="121" fillId="0" borderId="130" xfId="409" applyNumberFormat="1" applyFont="1" applyFill="1" applyBorder="1" applyAlignment="1">
      <alignment horizontal="left"/>
    </xf>
    <xf numFmtId="171" fontId="124" fillId="0" borderId="130" xfId="409" applyNumberFormat="1" applyFont="1" applyFill="1" applyBorder="1" applyAlignment="1">
      <alignment horizontal="left"/>
    </xf>
    <xf numFmtId="171" fontId="43" fillId="0" borderId="130" xfId="409" applyNumberFormat="1" applyFont="1" applyFill="1" applyBorder="1" applyAlignment="1">
      <alignment horizontal="left"/>
    </xf>
    <xf numFmtId="171" fontId="43" fillId="0" borderId="130" xfId="409" applyNumberFormat="1" applyFont="1" applyFill="1" applyBorder="1" applyAlignment="1">
      <alignment horizontal="center" wrapText="1"/>
    </xf>
    <xf numFmtId="171" fontId="43" fillId="0" borderId="130" xfId="409" applyNumberFormat="1" applyFont="1" applyFill="1" applyBorder="1" applyAlignment="1">
      <alignment horizontal="right" wrapText="1"/>
    </xf>
    <xf numFmtId="171" fontId="122" fillId="0" borderId="130" xfId="409" applyNumberFormat="1" applyFont="1" applyFill="1" applyBorder="1" applyAlignment="1">
      <alignment horizontal="center"/>
    </xf>
    <xf numFmtId="171" fontId="121" fillId="0" borderId="130" xfId="409" applyNumberFormat="1" applyFont="1" applyFill="1" applyBorder="1" applyAlignment="1">
      <alignment horizontal="right" wrapText="1"/>
    </xf>
    <xf numFmtId="164" fontId="43" fillId="0" borderId="130" xfId="409" applyFont="1" applyFill="1" applyBorder="1"/>
    <xf numFmtId="3" fontId="85" fillId="30" borderId="130" xfId="571" applyNumberFormat="1" applyFont="1" applyFill="1" applyBorder="1" applyAlignment="1">
      <alignment horizontal="right"/>
    </xf>
    <xf numFmtId="3" fontId="35" fillId="15" borderId="130" xfId="569" applyNumberFormat="1" applyFont="1" applyFill="1" applyBorder="1"/>
    <xf numFmtId="164" fontId="43" fillId="0" borderId="130" xfId="409" applyFont="1" applyFill="1" applyBorder="1" applyAlignment="1">
      <alignment horizontal="left"/>
    </xf>
    <xf numFmtId="171" fontId="43" fillId="47" borderId="130" xfId="409" applyNumberFormat="1" applyFont="1" applyFill="1" applyBorder="1"/>
    <xf numFmtId="171" fontId="43" fillId="0" borderId="130" xfId="409" applyNumberFormat="1" applyFont="1" applyFill="1" applyBorder="1" applyAlignment="1">
      <alignment horizontal="center" vertical="center"/>
    </xf>
    <xf numFmtId="171" fontId="129" fillId="0" borderId="130" xfId="409" applyNumberFormat="1" applyFont="1" applyFill="1" applyBorder="1"/>
    <xf numFmtId="164" fontId="131" fillId="0" borderId="130" xfId="409" applyFont="1" applyFill="1" applyBorder="1" applyAlignment="1">
      <alignment horizontal="left"/>
    </xf>
    <xf numFmtId="164" fontId="43" fillId="0" borderId="130" xfId="409" applyFont="1" applyFill="1" applyBorder="1" applyAlignment="1">
      <alignment horizontal="right"/>
    </xf>
    <xf numFmtId="171" fontId="43" fillId="0" borderId="161" xfId="409" applyNumberFormat="1" applyFont="1" applyFill="1" applyBorder="1"/>
    <xf numFmtId="0" fontId="42" fillId="7" borderId="130" xfId="569" applyFont="1" applyFill="1" applyBorder="1"/>
    <xf numFmtId="0" fontId="42" fillId="7" borderId="130" xfId="569" applyFont="1" applyFill="1" applyBorder="1" applyAlignment="1">
      <alignment vertical="top"/>
    </xf>
    <xf numFmtId="0" fontId="42" fillId="7" borderId="130" xfId="569" applyFont="1" applyFill="1" applyBorder="1" applyAlignment="1">
      <alignment horizontal="center"/>
    </xf>
    <xf numFmtId="0" fontId="42" fillId="7" borderId="130" xfId="569" applyFont="1" applyFill="1" applyBorder="1" applyAlignment="1">
      <alignment horizontal="center" vertical="center"/>
    </xf>
    <xf numFmtId="1" fontId="42" fillId="7" borderId="130" xfId="569" applyNumberFormat="1" applyFont="1" applyFill="1" applyBorder="1" applyAlignment="1">
      <alignment horizontal="center" vertical="center"/>
    </xf>
    <xf numFmtId="1" fontId="54" fillId="43" borderId="130" xfId="409" applyNumberFormat="1" applyFont="1" applyFill="1" applyBorder="1" applyAlignment="1">
      <alignment horizontal="center" vertical="center" wrapText="1"/>
    </xf>
    <xf numFmtId="0" fontId="35" fillId="15" borderId="130" xfId="569" applyFont="1" applyFill="1" applyBorder="1"/>
    <xf numFmtId="49" fontId="31" fillId="4" borderId="130" xfId="569" applyNumberFormat="1" applyFont="1" applyFill="1" applyBorder="1" applyAlignment="1">
      <alignment horizontal="right"/>
    </xf>
    <xf numFmtId="0" fontId="36" fillId="4" borderId="130" xfId="569" applyFont="1" applyFill="1" applyBorder="1"/>
    <xf numFmtId="0" fontId="31" fillId="4" borderId="130" xfId="569" applyFont="1" applyFill="1" applyBorder="1"/>
    <xf numFmtId="3" fontId="35" fillId="4" borderId="130" xfId="569" applyNumberFormat="1" applyFont="1" applyFill="1" applyBorder="1"/>
    <xf numFmtId="3" fontId="37" fillId="4" borderId="130" xfId="569" applyNumberFormat="1" applyFont="1" applyFill="1" applyBorder="1" applyAlignment="1">
      <alignment horizontal="right"/>
    </xf>
    <xf numFmtId="0" fontId="34" fillId="15" borderId="130" xfId="569" applyFont="1" applyFill="1" applyBorder="1" applyAlignment="1">
      <alignment vertical="top"/>
    </xf>
    <xf numFmtId="0" fontId="34" fillId="15" borderId="130" xfId="569" applyFont="1" applyFill="1" applyBorder="1" applyAlignment="1">
      <alignment horizontal="left"/>
    </xf>
    <xf numFmtId="3" fontId="35" fillId="15" borderId="130" xfId="569" applyNumberFormat="1" applyFont="1" applyFill="1" applyBorder="1" applyAlignment="1">
      <alignment horizontal="right"/>
    </xf>
    <xf numFmtId="0" fontId="36" fillId="0" borderId="130" xfId="569" applyFont="1" applyFill="1" applyBorder="1" applyAlignment="1">
      <alignment vertical="top"/>
    </xf>
    <xf numFmtId="0" fontId="86" fillId="0" borderId="130" xfId="569" applyFont="1" applyBorder="1"/>
    <xf numFmtId="0" fontId="86" fillId="0" borderId="130" xfId="569" applyFont="1" applyFill="1" applyBorder="1" applyAlignment="1">
      <alignment vertical="top"/>
    </xf>
    <xf numFmtId="0" fontId="86" fillId="0" borderId="130" xfId="569" applyFont="1" applyFill="1" applyBorder="1" applyAlignment="1">
      <alignment horizontal="left"/>
    </xf>
    <xf numFmtId="0" fontId="68" fillId="0" borderId="130" xfId="569" applyFont="1" applyBorder="1"/>
    <xf numFmtId="0" fontId="68" fillId="0" borderId="130" xfId="569" applyFont="1" applyFill="1" applyBorder="1" applyAlignment="1">
      <alignment horizontal="left"/>
    </xf>
    <xf numFmtId="0" fontId="69" fillId="0" borderId="130" xfId="569" applyFont="1" applyBorder="1"/>
    <xf numFmtId="0" fontId="69" fillId="0" borderId="130" xfId="569" applyFont="1" applyFill="1" applyBorder="1" applyAlignment="1">
      <alignment vertical="top"/>
    </xf>
    <xf numFmtId="0" fontId="37" fillId="8" borderId="130" xfId="569" applyFont="1" applyFill="1" applyBorder="1" applyAlignment="1">
      <alignment horizontal="right"/>
    </xf>
    <xf numFmtId="0" fontId="37" fillId="8" borderId="130" xfId="569" applyFont="1" applyFill="1" applyBorder="1"/>
    <xf numFmtId="3" fontId="37" fillId="8" borderId="130" xfId="569" applyNumberFormat="1" applyFont="1" applyFill="1" applyBorder="1"/>
    <xf numFmtId="0" fontId="70" fillId="0" borderId="130" xfId="569" applyFont="1" applyFill="1" applyBorder="1"/>
    <xf numFmtId="0" fontId="68" fillId="0" borderId="130" xfId="569" applyFont="1" applyFill="1" applyBorder="1"/>
    <xf numFmtId="0" fontId="71" fillId="0" borderId="130" xfId="569" applyFont="1" applyFill="1" applyBorder="1"/>
    <xf numFmtId="0" fontId="73" fillId="0" borderId="130" xfId="569" applyFont="1" applyFill="1" applyBorder="1"/>
    <xf numFmtId="165" fontId="36" fillId="0" borderId="130" xfId="410" applyFont="1" applyFill="1" applyBorder="1" applyAlignment="1" applyProtection="1">
      <alignment horizontal="left"/>
    </xf>
    <xf numFmtId="0" fontId="36" fillId="0" borderId="130" xfId="569" applyFont="1" applyBorder="1" applyAlignment="1">
      <alignment horizontal="right"/>
    </xf>
    <xf numFmtId="0" fontId="42" fillId="0" borderId="130" xfId="569" applyFont="1" applyFill="1" applyBorder="1"/>
    <xf numFmtId="0" fontId="42" fillId="0" borderId="130" xfId="569" applyFont="1" applyFill="1" applyBorder="1" applyAlignment="1">
      <alignment horizontal="center"/>
    </xf>
    <xf numFmtId="3" fontId="68" fillId="0" borderId="130" xfId="569" applyNumberFormat="1" applyFont="1" applyBorder="1" applyAlignment="1">
      <alignment horizontal="right"/>
    </xf>
    <xf numFmtId="3" fontId="0" fillId="0" borderId="130" xfId="0" applyNumberFormat="1" applyBorder="1"/>
    <xf numFmtId="0" fontId="73" fillId="0" borderId="130" xfId="569" applyFont="1" applyFill="1" applyBorder="1" applyAlignment="1">
      <alignment horizontal="right"/>
    </xf>
    <xf numFmtId="0" fontId="83" fillId="0" borderId="130" xfId="569" applyFont="1" applyFill="1" applyBorder="1" applyAlignment="1">
      <alignment horizontal="right"/>
    </xf>
    <xf numFmtId="0" fontId="101" fillId="26" borderId="130" xfId="569" applyFont="1" applyFill="1" applyBorder="1"/>
    <xf numFmtId="3" fontId="101" fillId="26" borderId="130" xfId="569" applyNumberFormat="1" applyFont="1" applyFill="1" applyBorder="1"/>
    <xf numFmtId="14" fontId="37" fillId="15" borderId="130" xfId="569" applyNumberFormat="1" applyFont="1" applyFill="1" applyBorder="1" applyAlignment="1">
      <alignment horizontal="left"/>
    </xf>
    <xf numFmtId="0" fontId="31" fillId="15" borderId="130" xfId="569" applyFont="1" applyFill="1" applyBorder="1"/>
    <xf numFmtId="3" fontId="37" fillId="15" borderId="130" xfId="569" applyNumberFormat="1" applyFont="1" applyFill="1" applyBorder="1"/>
    <xf numFmtId="0" fontId="34" fillId="15" borderId="130" xfId="569" applyFont="1" applyFill="1" applyBorder="1"/>
    <xf numFmtId="3" fontId="68" fillId="0" borderId="130" xfId="569" applyNumberFormat="1" applyFont="1" applyBorder="1" applyAlignment="1">
      <alignment horizontal="left"/>
    </xf>
    <xf numFmtId="3" fontId="36" fillId="0" borderId="130" xfId="569" applyNumberFormat="1" applyFont="1" applyBorder="1" applyAlignment="1">
      <alignment horizontal="left"/>
    </xf>
    <xf numFmtId="3" fontId="115" fillId="0" borderId="130" xfId="569" applyNumberFormat="1" applyFont="1" applyBorder="1" applyAlignment="1">
      <alignment horizontal="left"/>
    </xf>
    <xf numFmtId="3" fontId="85" fillId="4" borderId="130" xfId="569" applyNumberFormat="1" applyFont="1" applyFill="1" applyBorder="1"/>
    <xf numFmtId="0" fontId="37" fillId="15" borderId="130" xfId="569" applyFont="1" applyFill="1" applyBorder="1"/>
    <xf numFmtId="3" fontId="37" fillId="15" borderId="130" xfId="569" applyNumberFormat="1" applyFont="1" applyFill="1" applyBorder="1" applyAlignment="1">
      <alignment horizontal="center"/>
    </xf>
    <xf numFmtId="3" fontId="86" fillId="0" borderId="130" xfId="569" applyNumberFormat="1" applyFont="1" applyBorder="1"/>
    <xf numFmtId="0" fontId="86" fillId="0" borderId="130" xfId="569" applyFont="1" applyFill="1" applyBorder="1"/>
    <xf numFmtId="3" fontId="86" fillId="0" borderId="130" xfId="569" applyNumberFormat="1" applyFont="1" applyBorder="1" applyAlignment="1">
      <alignment horizontal="left"/>
    </xf>
    <xf numFmtId="3" fontId="37" fillId="0" borderId="130" xfId="569" applyNumberFormat="1" applyFont="1" applyFill="1" applyBorder="1" applyAlignment="1">
      <alignment horizontal="right"/>
    </xf>
    <xf numFmtId="3" fontId="37" fillId="0" borderId="130" xfId="569" applyNumberFormat="1" applyFont="1" applyBorder="1" applyAlignment="1">
      <alignment horizontal="right"/>
    </xf>
    <xf numFmtId="0" fontId="87" fillId="0" borderId="130" xfId="569" applyFont="1" applyFill="1" applyBorder="1"/>
    <xf numFmtId="0" fontId="6" fillId="0" borderId="130" xfId="569" applyFont="1" applyFill="1" applyBorder="1"/>
    <xf numFmtId="3" fontId="36" fillId="0" borderId="130" xfId="569" applyNumberFormat="1" applyFont="1" applyBorder="1" applyAlignment="1">
      <alignment horizontal="center"/>
    </xf>
    <xf numFmtId="3" fontId="36" fillId="0" borderId="130" xfId="569" applyNumberFormat="1" applyFont="1" applyBorder="1" applyAlignment="1">
      <alignment horizontal="right" wrapText="1"/>
    </xf>
    <xf numFmtId="3" fontId="83" fillId="38" borderId="130" xfId="569" applyNumberFormat="1" applyFont="1" applyFill="1" applyBorder="1" applyAlignment="1">
      <alignment horizontal="right"/>
    </xf>
    <xf numFmtId="0" fontId="108" fillId="0" borderId="130" xfId="569" applyFont="1" applyFill="1" applyBorder="1"/>
    <xf numFmtId="0" fontId="0" fillId="0" borderId="130" xfId="0" applyFill="1" applyBorder="1"/>
    <xf numFmtId="3" fontId="36" fillId="36" borderId="130" xfId="569" applyNumberFormat="1" applyFont="1" applyFill="1" applyBorder="1" applyAlignment="1">
      <alignment horizontal="left"/>
    </xf>
    <xf numFmtId="3" fontId="37" fillId="0" borderId="130" xfId="569" applyNumberFormat="1" applyFont="1" applyBorder="1"/>
    <xf numFmtId="3" fontId="37" fillId="0" borderId="130" xfId="569" applyNumberFormat="1" applyFont="1" applyBorder="1" applyAlignment="1">
      <alignment horizontal="center"/>
    </xf>
    <xf numFmtId="171" fontId="43" fillId="0" borderId="130" xfId="409" applyNumberFormat="1" applyFont="1" applyBorder="1" applyAlignment="1">
      <alignment horizontal="right" wrapText="1"/>
    </xf>
    <xf numFmtId="3" fontId="88" fillId="0" borderId="130" xfId="569" applyNumberFormat="1" applyFont="1" applyBorder="1" applyAlignment="1">
      <alignment horizontal="right" wrapText="1"/>
    </xf>
    <xf numFmtId="0" fontId="38" fillId="0" borderId="130" xfId="569" applyFont="1" applyFill="1" applyBorder="1" applyAlignment="1">
      <alignment vertical="top"/>
    </xf>
    <xf numFmtId="0" fontId="38" fillId="0" borderId="130" xfId="569" applyFont="1" applyFill="1" applyBorder="1" applyAlignment="1">
      <alignment horizontal="left"/>
    </xf>
    <xf numFmtId="171" fontId="43" fillId="0" borderId="130" xfId="409" applyNumberFormat="1" applyFont="1" applyFill="1" applyBorder="1" applyAlignment="1">
      <alignment horizontal="right" vertical="center" wrapText="1"/>
    </xf>
    <xf numFmtId="3" fontId="42" fillId="0" borderId="130" xfId="569" applyNumberFormat="1" applyFont="1" applyFill="1" applyBorder="1" applyAlignment="1">
      <alignment horizontal="right" vertical="center" wrapText="1"/>
    </xf>
    <xf numFmtId="3" fontId="83" fillId="0" borderId="130" xfId="569" applyNumberFormat="1" applyFont="1" applyBorder="1" applyAlignment="1">
      <alignment horizontal="right" wrapText="1"/>
    </xf>
    <xf numFmtId="3" fontId="68" fillId="0" borderId="130" xfId="569" applyNumberFormat="1" applyFont="1" applyBorder="1" applyAlignment="1">
      <alignment horizontal="right" wrapText="1"/>
    </xf>
    <xf numFmtId="3" fontId="102" fillId="0" borderId="130" xfId="569" applyNumberFormat="1" applyFont="1" applyBorder="1" applyAlignment="1">
      <alignment horizontal="right" wrapText="1"/>
    </xf>
    <xf numFmtId="0" fontId="37" fillId="0" borderId="130" xfId="569" applyFont="1" applyFill="1" applyBorder="1" applyAlignment="1">
      <alignment horizontal="right"/>
    </xf>
    <xf numFmtId="3" fontId="102" fillId="0" borderId="130" xfId="569" applyNumberFormat="1" applyFont="1" applyBorder="1" applyAlignment="1">
      <alignment horizontal="left"/>
    </xf>
    <xf numFmtId="3" fontId="36" fillId="36" borderId="130" xfId="569" applyNumberFormat="1" applyFont="1" applyFill="1" applyBorder="1"/>
    <xf numFmtId="0" fontId="85" fillId="0" borderId="130" xfId="569" applyFont="1" applyFill="1" applyBorder="1" applyAlignment="1">
      <alignment horizontal="left"/>
    </xf>
    <xf numFmtId="0" fontId="103" fillId="0" borderId="130" xfId="569" applyFont="1" applyFill="1" applyBorder="1" applyAlignment="1">
      <alignment horizontal="left"/>
    </xf>
    <xf numFmtId="3" fontId="103" fillId="0" borderId="130" xfId="569" applyNumberFormat="1" applyFont="1" applyBorder="1" applyAlignment="1">
      <alignment horizontal="center"/>
    </xf>
    <xf numFmtId="0" fontId="103" fillId="0" borderId="130" xfId="569" applyFont="1" applyBorder="1"/>
    <xf numFmtId="3" fontId="118" fillId="0" borderId="130" xfId="569" applyNumberFormat="1" applyFont="1" applyBorder="1" applyAlignment="1">
      <alignment horizontal="center"/>
    </xf>
    <xf numFmtId="0" fontId="103" fillId="0" borderId="130" xfId="569" applyFont="1" applyFill="1" applyBorder="1"/>
    <xf numFmtId="3" fontId="105" fillId="0" borderId="130" xfId="569" applyNumberFormat="1" applyFont="1" applyFill="1" applyBorder="1" applyAlignment="1">
      <alignment horizontal="right" wrapText="1"/>
    </xf>
    <xf numFmtId="3" fontId="105" fillId="0" borderId="130" xfId="569" applyNumberFormat="1" applyFont="1" applyBorder="1" applyAlignment="1">
      <alignment horizontal="right" wrapText="1"/>
    </xf>
    <xf numFmtId="3" fontId="109" fillId="0" borderId="130" xfId="571" applyNumberFormat="1" applyFont="1" applyFill="1" applyBorder="1" applyAlignment="1">
      <alignment horizontal="center"/>
    </xf>
    <xf numFmtId="3" fontId="110" fillId="0" borderId="130" xfId="569" applyNumberFormat="1" applyFont="1" applyBorder="1" applyAlignment="1">
      <alignment horizontal="center"/>
    </xf>
    <xf numFmtId="3" fontId="109" fillId="0" borderId="130" xfId="569" applyNumberFormat="1" applyFont="1" applyBorder="1" applyAlignment="1">
      <alignment horizontal="center"/>
    </xf>
    <xf numFmtId="3" fontId="109" fillId="0" borderId="130" xfId="569" applyNumberFormat="1" applyFont="1" applyBorder="1" applyAlignment="1">
      <alignment horizontal="right" wrapText="1"/>
    </xf>
    <xf numFmtId="0" fontId="37" fillId="0" borderId="130" xfId="569" applyFont="1" applyFill="1" applyBorder="1" applyAlignment="1">
      <alignment horizontal="left"/>
    </xf>
    <xf numFmtId="3" fontId="37" fillId="26" borderId="130" xfId="569" applyNumberFormat="1" applyFont="1" applyFill="1" applyBorder="1" applyAlignment="1">
      <alignment horizontal="right"/>
    </xf>
    <xf numFmtId="3" fontId="37" fillId="0" borderId="130" xfId="569" applyNumberFormat="1" applyFont="1" applyFill="1" applyBorder="1" applyAlignment="1">
      <alignment horizontal="center"/>
    </xf>
    <xf numFmtId="0" fontId="85" fillId="30" borderId="130" xfId="571" applyFont="1" applyFill="1" applyBorder="1"/>
    <xf numFmtId="0" fontId="104" fillId="0" borderId="130" xfId="569" applyFont="1" applyFill="1" applyBorder="1"/>
    <xf numFmtId="3" fontId="120" fillId="0" borderId="130" xfId="569" applyNumberFormat="1" applyFont="1" applyBorder="1" applyAlignment="1">
      <alignment horizontal="left"/>
    </xf>
    <xf numFmtId="49" fontId="36" fillId="0" borderId="130" xfId="569" applyNumberFormat="1" applyFont="1" applyFill="1" applyBorder="1" applyAlignment="1">
      <alignment horizontal="center"/>
    </xf>
    <xf numFmtId="3" fontId="83" fillId="0" borderId="130" xfId="569" applyNumberFormat="1" applyFont="1" applyBorder="1" applyAlignment="1">
      <alignment horizontal="right"/>
    </xf>
    <xf numFmtId="3" fontId="103" fillId="0" borderId="130" xfId="569" applyNumberFormat="1" applyFont="1" applyBorder="1" applyAlignment="1">
      <alignment horizontal="right"/>
    </xf>
    <xf numFmtId="3" fontId="105" fillId="0" borderId="130" xfId="569" applyNumberFormat="1" applyFont="1" applyBorder="1" applyAlignment="1">
      <alignment horizontal="left"/>
    </xf>
    <xf numFmtId="3" fontId="85" fillId="30" borderId="130" xfId="571" applyNumberFormat="1" applyFont="1" applyFill="1" applyBorder="1" applyAlignment="1">
      <alignment horizontal="center"/>
    </xf>
    <xf numFmtId="3" fontId="83" fillId="0" borderId="130" xfId="569" applyNumberFormat="1" applyFont="1" applyFill="1" applyBorder="1" applyAlignment="1">
      <alignment horizontal="right" wrapText="1"/>
    </xf>
    <xf numFmtId="3" fontId="94" fillId="0" borderId="130" xfId="569" applyNumberFormat="1" applyFont="1" applyFill="1" applyBorder="1" applyAlignment="1">
      <alignment horizontal="right" wrapText="1"/>
    </xf>
    <xf numFmtId="1" fontId="94" fillId="0" borderId="130" xfId="569" applyNumberFormat="1" applyFont="1" applyFill="1" applyBorder="1" applyAlignment="1">
      <alignment horizontal="right"/>
    </xf>
    <xf numFmtId="3" fontId="66" fillId="36" borderId="130" xfId="569" applyNumberFormat="1" applyFont="1" applyFill="1" applyBorder="1" applyAlignment="1">
      <alignment horizontal="left"/>
    </xf>
    <xf numFmtId="1" fontId="66" fillId="0" borderId="130" xfId="569" applyNumberFormat="1" applyFont="1" applyFill="1" applyBorder="1" applyAlignment="1">
      <alignment horizontal="left"/>
    </xf>
    <xf numFmtId="0" fontId="6" fillId="0" borderId="130" xfId="569" applyFont="1" applyBorder="1"/>
    <xf numFmtId="1" fontId="6" fillId="0" borderId="130" xfId="569" applyNumberFormat="1" applyFont="1" applyBorder="1"/>
    <xf numFmtId="171" fontId="43" fillId="0" borderId="130" xfId="409" applyNumberFormat="1" applyFont="1" applyFill="1" applyBorder="1" applyAlignment="1">
      <alignment horizontal="left" wrapText="1"/>
    </xf>
    <xf numFmtId="3" fontId="36" fillId="0" borderId="130" xfId="569" applyNumberFormat="1" applyFont="1" applyBorder="1" applyAlignment="1">
      <alignment horizontal="left" wrapText="1"/>
    </xf>
    <xf numFmtId="3" fontId="85" fillId="26" borderId="130" xfId="569" applyNumberFormat="1" applyFont="1" applyFill="1" applyBorder="1" applyAlignment="1">
      <alignment horizontal="right"/>
    </xf>
    <xf numFmtId="0" fontId="35" fillId="0" borderId="130" xfId="569" applyFont="1" applyFill="1" applyBorder="1"/>
    <xf numFmtId="3" fontId="83" fillId="0" borderId="130" xfId="569" applyNumberFormat="1" applyFont="1" applyBorder="1"/>
    <xf numFmtId="49" fontId="36" fillId="0" borderId="130" xfId="569" applyNumberFormat="1" applyFont="1" applyFill="1" applyBorder="1" applyAlignment="1">
      <alignment horizontal="left"/>
    </xf>
    <xf numFmtId="14" fontId="83" fillId="26" borderId="130" xfId="569" applyNumberFormat="1" applyFont="1" applyFill="1" applyBorder="1"/>
    <xf numFmtId="0" fontId="84" fillId="26" borderId="130" xfId="569" applyFont="1" applyFill="1" applyBorder="1" applyAlignment="1">
      <alignment vertical="top"/>
    </xf>
    <xf numFmtId="0" fontId="83" fillId="26" borderId="130" xfId="569" applyFont="1" applyFill="1" applyBorder="1" applyAlignment="1">
      <alignment horizontal="left"/>
    </xf>
    <xf numFmtId="0" fontId="36" fillId="0" borderId="130" xfId="569" applyFont="1" applyFill="1" applyBorder="1" applyAlignment="1">
      <alignment horizontal="center"/>
    </xf>
    <xf numFmtId="0" fontId="36" fillId="26" borderId="130" xfId="569" applyFont="1" applyFill="1" applyBorder="1"/>
    <xf numFmtId="0" fontId="36" fillId="26" borderId="130" xfId="569" applyFont="1" applyFill="1" applyBorder="1" applyAlignment="1">
      <alignment vertical="top"/>
    </xf>
    <xf numFmtId="0" fontId="36" fillId="26" borderId="130" xfId="569" applyFont="1" applyFill="1" applyBorder="1" applyAlignment="1">
      <alignment horizontal="left"/>
    </xf>
    <xf numFmtId="0" fontId="43" fillId="0" borderId="130" xfId="0" applyFont="1" applyFill="1" applyBorder="1"/>
    <xf numFmtId="0" fontId="83" fillId="26" borderId="130" xfId="569" applyFont="1" applyFill="1" applyBorder="1"/>
    <xf numFmtId="0" fontId="83" fillId="26" borderId="130" xfId="569" applyFont="1" applyFill="1" applyBorder="1" applyAlignment="1">
      <alignment vertical="top"/>
    </xf>
    <xf numFmtId="0" fontId="36" fillId="8" borderId="130" xfId="569" applyFont="1" applyFill="1" applyBorder="1"/>
    <xf numFmtId="0" fontId="31" fillId="3" borderId="130" xfId="569" applyFont="1" applyFill="1" applyBorder="1"/>
    <xf numFmtId="0" fontId="6" fillId="3" borderId="130" xfId="569" applyFont="1" applyFill="1" applyBorder="1"/>
    <xf numFmtId="3" fontId="37" fillId="3" borderId="130" xfId="569" applyNumberFormat="1" applyFont="1" applyFill="1" applyBorder="1" applyAlignment="1">
      <alignment horizontal="right"/>
    </xf>
    <xf numFmtId="3" fontId="85" fillId="3" borderId="130" xfId="569" applyNumberFormat="1" applyFont="1" applyFill="1" applyBorder="1"/>
    <xf numFmtId="171" fontId="49" fillId="45" borderId="130" xfId="409" applyNumberFormat="1" applyFont="1" applyFill="1" applyBorder="1" applyAlignment="1">
      <alignment horizontal="right"/>
    </xf>
    <xf numFmtId="0" fontId="79" fillId="7" borderId="130" xfId="569" applyFont="1" applyFill="1" applyBorder="1" applyAlignment="1">
      <alignment horizontal="center"/>
    </xf>
    <xf numFmtId="14" fontId="35" fillId="4" borderId="130" xfId="569" applyNumberFormat="1" applyFont="1" applyFill="1" applyBorder="1"/>
    <xf numFmtId="3" fontId="66" fillId="0" borderId="130" xfId="569" applyNumberFormat="1" applyFont="1" applyBorder="1" applyAlignment="1">
      <alignment horizontal="left"/>
    </xf>
    <xf numFmtId="3" fontId="102" fillId="0" borderId="130" xfId="569" applyNumberFormat="1" applyFont="1" applyBorder="1"/>
    <xf numFmtId="49" fontId="35" fillId="4" borderId="130" xfId="569" applyNumberFormat="1" applyFont="1" applyFill="1" applyBorder="1"/>
    <xf numFmtId="3" fontId="37" fillId="0" borderId="130" xfId="569" applyNumberFormat="1" applyFont="1" applyFill="1" applyBorder="1" applyAlignment="1">
      <alignment horizontal="right" vertical="center"/>
    </xf>
    <xf numFmtId="3" fontId="83" fillId="36" borderId="130" xfId="569" applyNumberFormat="1" applyFont="1" applyFill="1" applyBorder="1" applyAlignment="1">
      <alignment horizontal="right" vertical="center"/>
    </xf>
    <xf numFmtId="1" fontId="36" fillId="0" borderId="130" xfId="569" applyNumberFormat="1" applyFont="1" applyBorder="1"/>
    <xf numFmtId="3" fontId="117" fillId="0" borderId="130" xfId="569" applyNumberFormat="1" applyFont="1" applyBorder="1" applyAlignment="1">
      <alignment horizontal="left"/>
    </xf>
    <xf numFmtId="3" fontId="37" fillId="3" borderId="130" xfId="569" applyNumberFormat="1" applyFont="1" applyFill="1" applyBorder="1"/>
    <xf numFmtId="171" fontId="49" fillId="46" borderId="130" xfId="409" applyNumberFormat="1" applyFont="1" applyFill="1" applyBorder="1"/>
    <xf numFmtId="0" fontId="42" fillId="4" borderId="130" xfId="569" applyFont="1" applyFill="1" applyBorder="1"/>
    <xf numFmtId="0" fontId="67" fillId="4" borderId="130" xfId="569" applyFont="1" applyFill="1" applyBorder="1"/>
    <xf numFmtId="1" fontId="42" fillId="4" borderId="130" xfId="569" applyNumberFormat="1" applyFont="1" applyFill="1" applyBorder="1" applyAlignment="1">
      <alignment horizontal="center" vertical="center"/>
    </xf>
    <xf numFmtId="1" fontId="54" fillId="42" borderId="130" xfId="409" applyNumberFormat="1" applyFont="1" applyFill="1" applyBorder="1" applyAlignment="1">
      <alignment horizontal="center" vertical="center"/>
    </xf>
    <xf numFmtId="0" fontId="67" fillId="0" borderId="130" xfId="569" applyFont="1" applyBorder="1"/>
    <xf numFmtId="0" fontId="6" fillId="4" borderId="130" xfId="569" applyFont="1" applyFill="1" applyBorder="1"/>
    <xf numFmtId="3" fontId="36" fillId="4" borderId="130" xfId="569" applyNumberFormat="1" applyFont="1" applyFill="1" applyBorder="1"/>
    <xf numFmtId="3" fontId="85" fillId="4" borderId="130" xfId="569" applyNumberFormat="1" applyFont="1" applyFill="1" applyBorder="1" applyAlignment="1">
      <alignment horizontal="right"/>
    </xf>
    <xf numFmtId="3" fontId="36" fillId="4" borderId="130" xfId="569" applyNumberFormat="1" applyFont="1" applyFill="1" applyBorder="1" applyAlignment="1">
      <alignment horizontal="right"/>
    </xf>
    <xf numFmtId="3" fontId="97" fillId="0" borderId="84" xfId="0" applyNumberFormat="1" applyFont="1" applyFill="1" applyBorder="1"/>
    <xf numFmtId="3" fontId="83" fillId="0" borderId="130" xfId="569" applyNumberFormat="1" applyFont="1" applyBorder="1" applyAlignment="1">
      <alignment horizontal="center"/>
    </xf>
    <xf numFmtId="49" fontId="32" fillId="0" borderId="0" xfId="569" applyNumberFormat="1" applyFont="1" applyFill="1" applyBorder="1" applyAlignment="1"/>
    <xf numFmtId="49" fontId="31" fillId="0" borderId="0" xfId="569" applyNumberFormat="1" applyFont="1" applyFill="1" applyBorder="1" applyAlignment="1"/>
    <xf numFmtId="49" fontId="31" fillId="0" borderId="0" xfId="569" applyNumberFormat="1" applyFont="1" applyFill="1" applyBorder="1"/>
    <xf numFmtId="0" fontId="36" fillId="39" borderId="130" xfId="569" applyFont="1" applyFill="1" applyBorder="1"/>
    <xf numFmtId="3" fontId="83" fillId="0" borderId="130" xfId="569" applyNumberFormat="1" applyFont="1" applyBorder="1" applyAlignment="1">
      <alignment horizontal="left"/>
    </xf>
    <xf numFmtId="0" fontId="0" fillId="0" borderId="0" xfId="0"/>
    <xf numFmtId="3" fontId="51" fillId="7" borderId="45" xfId="0" applyNumberFormat="1" applyFont="1" applyFill="1" applyBorder="1" applyAlignment="1"/>
    <xf numFmtId="0" fontId="60" fillId="8" borderId="15" xfId="0" applyFont="1" applyFill="1" applyBorder="1" applyAlignment="1">
      <alignment horizontal="right"/>
    </xf>
    <xf numFmtId="0" fontId="121" fillId="8" borderId="19" xfId="0" applyFont="1" applyFill="1" applyBorder="1" applyAlignment="1">
      <alignment horizontal="right"/>
    </xf>
    <xf numFmtId="0" fontId="60" fillId="8" borderId="86" xfId="0" applyFont="1" applyFill="1" applyBorder="1" applyAlignment="1">
      <alignment horizontal="right"/>
    </xf>
    <xf numFmtId="0" fontId="60" fillId="8" borderId="102" xfId="0" applyFont="1" applyFill="1" applyBorder="1" applyAlignment="1">
      <alignment horizontal="right"/>
    </xf>
    <xf numFmtId="0" fontId="121" fillId="8" borderId="75" xfId="0" applyFont="1" applyFill="1" applyBorder="1" applyAlignment="1">
      <alignment horizontal="right"/>
    </xf>
    <xf numFmtId="3" fontId="43" fillId="46" borderId="120" xfId="0" applyNumberFormat="1" applyFont="1" applyFill="1" applyBorder="1"/>
    <xf numFmtId="3" fontId="43" fillId="39" borderId="120" xfId="0" applyNumberFormat="1" applyFont="1" applyFill="1" applyBorder="1"/>
    <xf numFmtId="0" fontId="43" fillId="0" borderId="130" xfId="0" applyFont="1" applyBorder="1"/>
    <xf numFmtId="171" fontId="49" fillId="0" borderId="130" xfId="409" applyNumberFormat="1" applyFont="1" applyFill="1" applyBorder="1" applyAlignment="1">
      <alignment horizontal="center"/>
    </xf>
    <xf numFmtId="3" fontId="49" fillId="0" borderId="130" xfId="0" applyNumberFormat="1" applyFont="1" applyBorder="1"/>
    <xf numFmtId="3" fontId="49" fillId="0" borderId="130" xfId="409" applyNumberFormat="1" applyFont="1" applyFill="1" applyBorder="1" applyAlignment="1">
      <alignment horizontal="right"/>
    </xf>
    <xf numFmtId="3" fontId="43" fillId="0" borderId="130" xfId="409" applyNumberFormat="1" applyFont="1" applyFill="1" applyBorder="1" applyAlignment="1">
      <alignment horizontal="left"/>
    </xf>
    <xf numFmtId="3" fontId="43" fillId="39" borderId="130" xfId="409" applyNumberFormat="1" applyFont="1" applyFill="1" applyBorder="1" applyAlignment="1">
      <alignment horizontal="left"/>
    </xf>
    <xf numFmtId="3" fontId="43" fillId="0" borderId="130" xfId="409" applyNumberFormat="1" applyFont="1" applyBorder="1" applyAlignment="1">
      <alignment horizontal="left"/>
    </xf>
    <xf numFmtId="0" fontId="31" fillId="7" borderId="130" xfId="569" applyFont="1" applyFill="1" applyBorder="1"/>
    <xf numFmtId="0" fontId="32" fillId="7" borderId="130" xfId="569" applyFont="1" applyFill="1" applyBorder="1" applyAlignment="1">
      <alignment vertical="top"/>
    </xf>
    <xf numFmtId="0" fontId="31" fillId="7" borderId="130" xfId="569" applyFont="1" applyFill="1" applyBorder="1" applyAlignment="1">
      <alignment horizontal="center"/>
    </xf>
    <xf numFmtId="0" fontId="31" fillId="7" borderId="130" xfId="569" applyFont="1" applyFill="1" applyBorder="1" applyAlignment="1">
      <alignment horizontal="justify" vertical="center"/>
    </xf>
    <xf numFmtId="0" fontId="31" fillId="7" borderId="130" xfId="569" applyFont="1" applyFill="1" applyBorder="1" applyAlignment="1">
      <alignment horizontal="center" vertical="center"/>
    </xf>
    <xf numFmtId="0" fontId="42" fillId="7" borderId="130" xfId="569" applyNumberFormat="1" applyFont="1" applyFill="1" applyBorder="1" applyAlignment="1">
      <alignment horizontal="center" vertical="center"/>
    </xf>
    <xf numFmtId="0" fontId="42" fillId="7" borderId="130" xfId="569" applyFont="1" applyFill="1" applyBorder="1" applyAlignment="1">
      <alignment horizontal="center" vertical="center" wrapText="1"/>
    </xf>
    <xf numFmtId="1" fontId="54" fillId="43" borderId="130" xfId="409" applyNumberFormat="1" applyFont="1" applyFill="1" applyBorder="1" applyAlignment="1">
      <alignment horizontal="center" vertical="center"/>
    </xf>
    <xf numFmtId="1" fontId="31" fillId="7" borderId="130" xfId="569" applyNumberFormat="1" applyFont="1" applyFill="1" applyBorder="1" applyAlignment="1">
      <alignment horizontal="center" vertical="center"/>
    </xf>
    <xf numFmtId="0" fontId="95" fillId="15" borderId="130" xfId="569" applyFont="1" applyFill="1" applyBorder="1"/>
    <xf numFmtId="0" fontId="79" fillId="15" borderId="130" xfId="569" applyFont="1" applyFill="1" applyBorder="1" applyAlignment="1">
      <alignment vertical="top"/>
    </xf>
    <xf numFmtId="0" fontId="79" fillId="15" borderId="130" xfId="569" applyFont="1" applyFill="1" applyBorder="1" applyAlignment="1">
      <alignment horizontal="center"/>
    </xf>
    <xf numFmtId="3" fontId="79" fillId="15" borderId="130" xfId="569" applyNumberFormat="1" applyFont="1" applyFill="1" applyBorder="1" applyAlignment="1">
      <alignment horizontal="right" vertical="top"/>
    </xf>
    <xf numFmtId="4" fontId="79" fillId="15" borderId="130" xfId="569" applyNumberFormat="1" applyFont="1" applyFill="1" applyBorder="1" applyAlignment="1">
      <alignment horizontal="right" vertical="top"/>
    </xf>
    <xf numFmtId="3" fontId="79" fillId="15" borderId="130" xfId="569" applyNumberFormat="1" applyFont="1" applyFill="1" applyBorder="1" applyAlignment="1">
      <alignment horizontal="center" vertical="top"/>
    </xf>
    <xf numFmtId="3" fontId="79" fillId="15" borderId="130" xfId="569" applyNumberFormat="1" applyFont="1" applyFill="1" applyBorder="1" applyAlignment="1">
      <alignment horizontal="right"/>
    </xf>
    <xf numFmtId="4" fontId="79" fillId="15" borderId="130" xfId="569" applyNumberFormat="1" applyFont="1" applyFill="1" applyBorder="1" applyAlignment="1">
      <alignment horizontal="right"/>
    </xf>
    <xf numFmtId="3" fontId="79" fillId="15" borderId="130" xfId="569" applyNumberFormat="1" applyFont="1" applyFill="1" applyBorder="1" applyAlignment="1">
      <alignment horizontal="center"/>
    </xf>
    <xf numFmtId="171" fontId="43" fillId="39" borderId="130" xfId="409" applyNumberFormat="1" applyFont="1" applyFill="1" applyBorder="1" applyAlignment="1">
      <alignment horizontal="center"/>
    </xf>
    <xf numFmtId="3" fontId="43" fillId="0" borderId="130" xfId="409" applyNumberFormat="1" applyFont="1" applyBorder="1" applyAlignment="1"/>
    <xf numFmtId="3" fontId="35" fillId="4" borderId="130" xfId="569" applyNumberFormat="1" applyFont="1" applyFill="1" applyBorder="1" applyAlignment="1">
      <alignment horizontal="right"/>
    </xf>
    <xf numFmtId="4" fontId="35" fillId="4" borderId="130" xfId="569" applyNumberFormat="1" applyFont="1" applyFill="1" applyBorder="1" applyAlignment="1">
      <alignment horizontal="right"/>
    </xf>
    <xf numFmtId="3" fontId="35" fillId="4" borderId="130" xfId="569" applyNumberFormat="1" applyFont="1" applyFill="1" applyBorder="1" applyAlignment="1">
      <alignment horizontal="center"/>
    </xf>
    <xf numFmtId="171" fontId="49" fillId="44" borderId="130" xfId="409" applyNumberFormat="1" applyFont="1" applyFill="1" applyBorder="1" applyAlignment="1">
      <alignment horizontal="center"/>
    </xf>
    <xf numFmtId="0" fontId="32" fillId="7" borderId="130" xfId="569" applyFont="1" applyFill="1" applyBorder="1" applyAlignment="1">
      <alignment horizontal="center"/>
    </xf>
    <xf numFmtId="0" fontId="123" fillId="15" borderId="130" xfId="569" applyFont="1" applyFill="1" applyBorder="1"/>
    <xf numFmtId="3" fontId="101" fillId="15" borderId="130" xfId="569" applyNumberFormat="1" applyFont="1" applyFill="1" applyBorder="1" applyAlignment="1">
      <alignment horizontal="right"/>
    </xf>
    <xf numFmtId="4" fontId="101" fillId="15" borderId="130" xfId="569" applyNumberFormat="1" applyFont="1" applyFill="1" applyBorder="1" applyAlignment="1">
      <alignment horizontal="right"/>
    </xf>
    <xf numFmtId="4" fontId="35" fillId="15" borderId="130" xfId="569" applyNumberFormat="1" applyFont="1" applyFill="1" applyBorder="1" applyAlignment="1">
      <alignment horizontal="right"/>
    </xf>
    <xf numFmtId="3" fontId="43" fillId="36" borderId="130" xfId="409" applyNumberFormat="1" applyFont="1" applyFill="1" applyBorder="1" applyAlignment="1">
      <alignment horizontal="right"/>
    </xf>
    <xf numFmtId="3" fontId="40" fillId="0" borderId="130" xfId="569" applyNumberFormat="1" applyFont="1" applyBorder="1" applyAlignment="1">
      <alignment horizontal="right"/>
    </xf>
    <xf numFmtId="0" fontId="36" fillId="0" borderId="130" xfId="569" applyFont="1" applyBorder="1" applyAlignment="1"/>
    <xf numFmtId="3" fontId="31" fillId="7" borderId="130" xfId="569" applyNumberFormat="1" applyFont="1" applyFill="1" applyBorder="1" applyAlignment="1">
      <alignment horizontal="center" vertical="center"/>
    </xf>
    <xf numFmtId="3" fontId="35" fillId="26" borderId="130" xfId="569" applyNumberFormat="1" applyFont="1" applyFill="1" applyBorder="1" applyAlignment="1">
      <alignment horizontal="right"/>
    </xf>
    <xf numFmtId="3" fontId="36" fillId="0" borderId="130" xfId="569" applyNumberFormat="1" applyFont="1" applyFill="1" applyBorder="1" applyAlignment="1">
      <alignment horizontal="center"/>
    </xf>
    <xf numFmtId="3" fontId="31" fillId="15" borderId="130" xfId="569" applyNumberFormat="1" applyFont="1" applyFill="1" applyBorder="1"/>
    <xf numFmtId="3" fontId="31" fillId="15" borderId="130" xfId="569" applyNumberFormat="1" applyFont="1" applyFill="1" applyBorder="1" applyAlignment="1">
      <alignment horizontal="right"/>
    </xf>
    <xf numFmtId="3" fontId="36" fillId="15" borderId="130" xfId="569" applyNumberFormat="1" applyFont="1" applyFill="1" applyBorder="1" applyAlignment="1">
      <alignment horizontal="right"/>
    </xf>
    <xf numFmtId="4" fontId="36" fillId="0" borderId="130" xfId="569" applyNumberFormat="1" applyFont="1" applyBorder="1" applyAlignment="1">
      <alignment horizontal="right"/>
    </xf>
    <xf numFmtId="171" fontId="49" fillId="45" borderId="130" xfId="409" applyNumberFormat="1" applyFont="1" applyFill="1" applyBorder="1" applyAlignment="1">
      <alignment horizontal="center"/>
    </xf>
    <xf numFmtId="0" fontId="31" fillId="7" borderId="130" xfId="569" applyFont="1" applyFill="1" applyBorder="1" applyAlignment="1">
      <alignment vertical="top"/>
    </xf>
    <xf numFmtId="4" fontId="31" fillId="7" borderId="130" xfId="569" applyNumberFormat="1" applyFont="1" applyFill="1" applyBorder="1" applyAlignment="1">
      <alignment horizontal="justify" vertical="top"/>
    </xf>
    <xf numFmtId="2" fontId="31" fillId="7" borderId="130" xfId="569" applyNumberFormat="1" applyFont="1" applyFill="1" applyBorder="1" applyAlignment="1">
      <alignment horizontal="justify" vertical="center"/>
    </xf>
    <xf numFmtId="4" fontId="35" fillId="4" borderId="130" xfId="569" applyNumberFormat="1" applyFont="1" applyFill="1" applyBorder="1"/>
    <xf numFmtId="0" fontId="0" fillId="50" borderId="130" xfId="0" applyFill="1" applyBorder="1"/>
    <xf numFmtId="0" fontId="54" fillId="50" borderId="130" xfId="0" applyFont="1" applyFill="1" applyBorder="1"/>
    <xf numFmtId="0" fontId="51" fillId="50" borderId="130" xfId="0" applyFont="1" applyFill="1" applyBorder="1" applyAlignment="1">
      <alignment horizontal="center" vertical="center"/>
    </xf>
    <xf numFmtId="0" fontId="51" fillId="50" borderId="130" xfId="0" applyFont="1" applyFill="1" applyBorder="1" applyAlignment="1">
      <alignment horizontal="center"/>
    </xf>
    <xf numFmtId="0" fontId="0" fillId="42" borderId="130" xfId="0" applyFill="1" applyBorder="1"/>
    <xf numFmtId="0" fontId="49" fillId="42" borderId="130" xfId="0" applyFont="1" applyFill="1" applyBorder="1"/>
    <xf numFmtId="171" fontId="49" fillId="42" borderId="130" xfId="409" applyNumberFormat="1" applyFont="1" applyFill="1" applyBorder="1" applyAlignment="1">
      <alignment horizontal="center"/>
    </xf>
    <xf numFmtId="171" fontId="130" fillId="0" borderId="130" xfId="409" applyNumberFormat="1" applyFont="1" applyFill="1" applyBorder="1" applyAlignment="1">
      <alignment horizontal="center"/>
    </xf>
    <xf numFmtId="4" fontId="37" fillId="3" borderId="130" xfId="569" applyNumberFormat="1" applyFont="1" applyFill="1" applyBorder="1"/>
    <xf numFmtId="4" fontId="83" fillId="0" borderId="130" xfId="569" applyNumberFormat="1" applyFont="1" applyFill="1" applyBorder="1" applyAlignment="1">
      <alignment horizontal="justify" vertical="top"/>
    </xf>
    <xf numFmtId="2" fontId="83" fillId="0" borderId="130" xfId="569" applyNumberFormat="1" applyFont="1" applyFill="1" applyBorder="1" applyAlignment="1">
      <alignment horizontal="justify" vertical="center"/>
    </xf>
    <xf numFmtId="0" fontId="34" fillId="4" borderId="130" xfId="569" applyFont="1" applyFill="1" applyBorder="1"/>
    <xf numFmtId="4" fontId="85" fillId="39" borderId="130" xfId="569" applyNumberFormat="1" applyFont="1" applyFill="1" applyBorder="1"/>
    <xf numFmtId="171" fontId="49" fillId="41" borderId="130" xfId="409" applyNumberFormat="1" applyFont="1" applyFill="1" applyBorder="1" applyAlignment="1">
      <alignment horizontal="center"/>
    </xf>
    <xf numFmtId="0" fontId="83" fillId="0" borderId="130" xfId="569" applyFont="1" applyBorder="1" applyAlignment="1">
      <alignment horizontal="left"/>
    </xf>
    <xf numFmtId="4" fontId="85" fillId="0" borderId="130" xfId="569" applyNumberFormat="1" applyFont="1" applyBorder="1"/>
    <xf numFmtId="3" fontId="85" fillId="0" borderId="130" xfId="569" applyNumberFormat="1" applyFont="1" applyBorder="1"/>
    <xf numFmtId="0" fontId="84" fillId="4" borderId="130" xfId="569" applyFont="1" applyFill="1" applyBorder="1"/>
    <xf numFmtId="4" fontId="85" fillId="4" borderId="130" xfId="569" applyNumberFormat="1" applyFont="1" applyFill="1" applyBorder="1"/>
    <xf numFmtId="171" fontId="49" fillId="0" borderId="130" xfId="409" applyNumberFormat="1" applyFont="1" applyFill="1" applyBorder="1"/>
    <xf numFmtId="171" fontId="132" fillId="0" borderId="130" xfId="409" applyNumberFormat="1" applyFont="1" applyFill="1" applyBorder="1" applyAlignment="1">
      <alignment horizontal="right"/>
    </xf>
    <xf numFmtId="3" fontId="133" fillId="0" borderId="130" xfId="569" applyNumberFormat="1" applyFont="1" applyFill="1" applyBorder="1"/>
    <xf numFmtId="3" fontId="133" fillId="0" borderId="130" xfId="569" applyNumberFormat="1" applyFont="1" applyFill="1" applyBorder="1" applyAlignment="1">
      <alignment horizontal="right"/>
    </xf>
    <xf numFmtId="171" fontId="132" fillId="0" borderId="130" xfId="409" applyNumberFormat="1" applyFont="1" applyFill="1" applyBorder="1"/>
    <xf numFmtId="3" fontId="133" fillId="0" borderId="130" xfId="569" applyNumberFormat="1" applyFont="1" applyBorder="1"/>
    <xf numFmtId="0" fontId="0" fillId="0" borderId="0" xfId="0"/>
    <xf numFmtId="0" fontId="43" fillId="0" borderId="17" xfId="0" applyFont="1" applyBorder="1" applyAlignment="1">
      <alignment horizontal="center"/>
    </xf>
    <xf numFmtId="0" fontId="43" fillId="8" borderId="79" xfId="0" applyFont="1" applyFill="1" applyBorder="1"/>
    <xf numFmtId="3" fontId="43" fillId="8" borderId="82" xfId="0" applyNumberFormat="1" applyFont="1" applyFill="1" applyBorder="1" applyAlignment="1">
      <alignment horizontal="left"/>
    </xf>
    <xf numFmtId="3" fontId="60" fillId="0" borderId="82" xfId="0" applyNumberFormat="1" applyFont="1" applyFill="1" applyBorder="1" applyAlignment="1">
      <alignment horizontal="left"/>
    </xf>
    <xf numFmtId="3" fontId="49" fillId="7" borderId="225" xfId="0" applyNumberFormat="1" applyFont="1" applyFill="1" applyBorder="1" applyAlignment="1"/>
    <xf numFmtId="3" fontId="49" fillId="7" borderId="220" xfId="0" applyNumberFormat="1" applyFont="1" applyFill="1" applyBorder="1"/>
    <xf numFmtId="0" fontId="36" fillId="0" borderId="130" xfId="569" applyFont="1" applyFill="1" applyBorder="1" applyAlignment="1">
      <alignment wrapText="1"/>
    </xf>
    <xf numFmtId="0" fontId="38" fillId="0" borderId="130" xfId="569" applyFont="1" applyFill="1" applyBorder="1" applyAlignment="1">
      <alignment horizontal="center" vertical="top"/>
    </xf>
    <xf numFmtId="0" fontId="134" fillId="0" borderId="130" xfId="569" applyFont="1" applyFill="1" applyBorder="1" applyAlignment="1">
      <alignment horizontal="left"/>
    </xf>
    <xf numFmtId="0" fontId="31" fillId="0" borderId="0" xfId="569" applyFont="1" applyFill="1" applyBorder="1" applyAlignment="1">
      <alignment horizontal="left"/>
    </xf>
    <xf numFmtId="3" fontId="31" fillId="0" borderId="0" xfId="569" applyNumberFormat="1" applyFont="1" applyFill="1" applyBorder="1" applyAlignment="1">
      <alignment horizontal="left"/>
    </xf>
    <xf numFmtId="0" fontId="135" fillId="0" borderId="130" xfId="569" applyFont="1" applyFill="1" applyBorder="1" applyAlignment="1">
      <alignment horizontal="left"/>
    </xf>
    <xf numFmtId="0" fontId="135" fillId="0" borderId="130" xfId="569" applyFont="1" applyFill="1" applyBorder="1"/>
    <xf numFmtId="0" fontId="0" fillId="0" borderId="0" xfId="0"/>
    <xf numFmtId="0" fontId="43" fillId="0" borderId="130" xfId="0" applyFont="1" applyBorder="1"/>
    <xf numFmtId="4" fontId="43" fillId="0" borderId="130" xfId="409" applyNumberFormat="1" applyFont="1" applyFill="1" applyBorder="1"/>
    <xf numFmtId="4" fontId="43" fillId="0" borderId="130" xfId="409" applyNumberFormat="1" applyFont="1" applyFill="1" applyBorder="1" applyAlignment="1">
      <alignment horizontal="left"/>
    </xf>
    <xf numFmtId="4" fontId="43" fillId="47" borderId="130" xfId="409" applyNumberFormat="1" applyFont="1" applyFill="1" applyBorder="1" applyAlignment="1">
      <alignment horizontal="left"/>
    </xf>
    <xf numFmtId="4" fontId="6" fillId="0" borderId="130" xfId="569" applyNumberFormat="1" applyFont="1" applyFill="1" applyBorder="1"/>
    <xf numFmtId="4" fontId="43" fillId="0" borderId="130" xfId="409" applyNumberFormat="1" applyFont="1" applyFill="1" applyBorder="1" applyAlignment="1">
      <alignment horizontal="right"/>
    </xf>
    <xf numFmtId="4" fontId="36" fillId="0" borderId="130" xfId="569" applyNumberFormat="1" applyFont="1" applyFill="1" applyBorder="1" applyAlignment="1">
      <alignment horizontal="right"/>
    </xf>
    <xf numFmtId="4" fontId="37" fillId="4" borderId="130" xfId="569" applyNumberFormat="1" applyFont="1" applyFill="1" applyBorder="1" applyAlignment="1">
      <alignment horizontal="right"/>
    </xf>
    <xf numFmtId="4" fontId="35" fillId="15" borderId="130" xfId="569" applyNumberFormat="1" applyFont="1" applyFill="1" applyBorder="1"/>
    <xf numFmtId="4" fontId="36" fillId="0" borderId="130" xfId="569" applyNumberFormat="1" applyFont="1" applyFill="1" applyBorder="1" applyAlignment="1">
      <alignment horizontal="left"/>
    </xf>
    <xf numFmtId="4" fontId="37" fillId="15" borderId="130" xfId="569" applyNumberFormat="1" applyFont="1" applyFill="1" applyBorder="1" applyAlignment="1">
      <alignment horizontal="center"/>
    </xf>
    <xf numFmtId="4" fontId="37" fillId="0" borderId="130" xfId="569" applyNumberFormat="1" applyFont="1" applyBorder="1" applyAlignment="1">
      <alignment horizontal="right"/>
    </xf>
    <xf numFmtId="4" fontId="43" fillId="0" borderId="130" xfId="409" applyNumberFormat="1" applyFont="1" applyFill="1" applyBorder="1" applyAlignment="1">
      <alignment horizontal="center"/>
    </xf>
    <xf numFmtId="4" fontId="43" fillId="0" borderId="130" xfId="409" applyNumberFormat="1" applyFont="1" applyFill="1" applyBorder="1" applyAlignment="1">
      <alignment horizontal="right" wrapText="1"/>
    </xf>
    <xf numFmtId="4" fontId="0" fillId="0" borderId="130" xfId="0" applyNumberFormat="1" applyBorder="1"/>
    <xf numFmtId="4" fontId="37" fillId="15" borderId="130" xfId="569" applyNumberFormat="1" applyFont="1" applyFill="1" applyBorder="1"/>
    <xf numFmtId="4" fontId="6" fillId="0" borderId="130" xfId="569" applyNumberFormat="1" applyFont="1" applyBorder="1"/>
    <xf numFmtId="4" fontId="43" fillId="0" borderId="130" xfId="409" applyNumberFormat="1" applyFont="1" applyBorder="1" applyAlignment="1">
      <alignment horizontal="right" wrapText="1"/>
    </xf>
    <xf numFmtId="4" fontId="36" fillId="26" borderId="130" xfId="569" applyNumberFormat="1" applyFont="1" applyFill="1" applyBorder="1"/>
    <xf numFmtId="4" fontId="85" fillId="30" borderId="130" xfId="571" applyNumberFormat="1" applyFont="1" applyFill="1" applyBorder="1"/>
    <xf numFmtId="4" fontId="122" fillId="0" borderId="130" xfId="409" applyNumberFormat="1" applyFont="1" applyFill="1" applyBorder="1"/>
    <xf numFmtId="4" fontId="118" fillId="0" borderId="130" xfId="569" applyNumberFormat="1" applyFont="1" applyFill="1" applyBorder="1"/>
    <xf numFmtId="4" fontId="103" fillId="0" borderId="130" xfId="569" applyNumberFormat="1" applyFont="1" applyFill="1" applyBorder="1"/>
    <xf numFmtId="4" fontId="103" fillId="0" borderId="130" xfId="569" applyNumberFormat="1" applyFont="1" applyFill="1" applyBorder="1" applyAlignment="1">
      <alignment horizontal="left"/>
    </xf>
    <xf numFmtId="4" fontId="85" fillId="30" borderId="130" xfId="571" applyNumberFormat="1" applyFont="1" applyFill="1" applyBorder="1" applyAlignment="1">
      <alignment horizontal="right"/>
    </xf>
    <xf numFmtId="4" fontId="110" fillId="0" borderId="130" xfId="569" applyNumberFormat="1" applyFont="1" applyFill="1" applyBorder="1"/>
    <xf numFmtId="4" fontId="109" fillId="0" borderId="130" xfId="569" applyNumberFormat="1" applyFont="1" applyFill="1" applyBorder="1" applyAlignment="1">
      <alignment horizontal="left"/>
    </xf>
    <xf numFmtId="4" fontId="37" fillId="26" borderId="130" xfId="569" applyNumberFormat="1" applyFont="1" applyFill="1" applyBorder="1" applyAlignment="1">
      <alignment horizontal="right"/>
    </xf>
    <xf numFmtId="4" fontId="107" fillId="0" borderId="130" xfId="566" applyNumberFormat="1" applyFont="1" applyFill="1" applyBorder="1"/>
    <xf numFmtId="4" fontId="83" fillId="0" borderId="130" xfId="569" applyNumberFormat="1" applyFont="1" applyFill="1" applyBorder="1" applyAlignment="1">
      <alignment horizontal="left"/>
    </xf>
    <xf numFmtId="4" fontId="103" fillId="0" borderId="130" xfId="569" applyNumberFormat="1" applyFont="1" applyFill="1" applyBorder="1" applyAlignment="1">
      <alignment horizontal="center"/>
    </xf>
    <xf numFmtId="4" fontId="103" fillId="0" borderId="130" xfId="569" applyNumberFormat="1" applyFont="1" applyFill="1" applyBorder="1" applyAlignment="1">
      <alignment horizontal="right"/>
    </xf>
    <xf numFmtId="4" fontId="94" fillId="0" borderId="130" xfId="569" applyNumberFormat="1" applyFont="1" applyFill="1" applyBorder="1" applyAlignment="1">
      <alignment horizontal="left"/>
    </xf>
    <xf numFmtId="4" fontId="121" fillId="0" borderId="130" xfId="409" applyNumberFormat="1" applyFont="1" applyFill="1" applyBorder="1" applyAlignment="1">
      <alignment horizontal="right" wrapText="1"/>
    </xf>
    <xf numFmtId="4" fontId="94" fillId="30" borderId="130" xfId="569" applyNumberFormat="1" applyFont="1" applyFill="1" applyBorder="1" applyAlignment="1">
      <alignment horizontal="right"/>
    </xf>
    <xf numFmtId="4" fontId="66" fillId="30" borderId="130" xfId="569" applyNumberFormat="1" applyFont="1" applyFill="1" applyBorder="1" applyAlignment="1">
      <alignment horizontal="left"/>
    </xf>
    <xf numFmtId="4" fontId="6" fillId="26" borderId="130" xfId="569" applyNumberFormat="1" applyFont="1" applyFill="1" applyBorder="1"/>
    <xf numFmtId="4" fontId="43" fillId="0" borderId="130" xfId="409" applyNumberFormat="1" applyFont="1" applyFill="1" applyBorder="1" applyAlignment="1">
      <alignment horizontal="left" wrapText="1"/>
    </xf>
    <xf numFmtId="4" fontId="85" fillId="30" borderId="130" xfId="569" applyNumberFormat="1" applyFont="1" applyFill="1" applyBorder="1" applyAlignment="1">
      <alignment horizontal="right"/>
    </xf>
    <xf numFmtId="4" fontId="37" fillId="30" borderId="130" xfId="569" applyNumberFormat="1" applyFont="1" applyFill="1" applyBorder="1" applyAlignment="1">
      <alignment horizontal="right"/>
    </xf>
    <xf numFmtId="4" fontId="83" fillId="0" borderId="130" xfId="569" applyNumberFormat="1" applyFont="1" applyFill="1" applyBorder="1"/>
    <xf numFmtId="4" fontId="37" fillId="3" borderId="130" xfId="569" applyNumberFormat="1" applyFont="1" applyFill="1" applyBorder="1" applyAlignment="1">
      <alignment horizontal="right"/>
    </xf>
    <xf numFmtId="4" fontId="37" fillId="4" borderId="130" xfId="569" applyNumberFormat="1" applyFont="1" applyFill="1" applyBorder="1"/>
    <xf numFmtId="4" fontId="121" fillId="0" borderId="130" xfId="409" applyNumberFormat="1" applyFont="1" applyFill="1" applyBorder="1" applyAlignment="1">
      <alignment horizontal="left"/>
    </xf>
    <xf numFmtId="4" fontId="101" fillId="4" borderId="130" xfId="569" applyNumberFormat="1" applyFont="1" applyFill="1" applyBorder="1"/>
    <xf numFmtId="4" fontId="100" fillId="0" borderId="130" xfId="569" applyNumberFormat="1" applyFont="1" applyFill="1" applyBorder="1"/>
    <xf numFmtId="4" fontId="113" fillId="0" borderId="130" xfId="569" applyNumberFormat="1" applyFont="1" applyFill="1" applyBorder="1" applyAlignment="1">
      <alignment horizontal="right"/>
    </xf>
    <xf numFmtId="4" fontId="88" fillId="0" borderId="130" xfId="569" applyNumberFormat="1" applyFont="1" applyFill="1" applyBorder="1"/>
    <xf numFmtId="4" fontId="42" fillId="0" borderId="130" xfId="569" applyNumberFormat="1" applyFont="1" applyFill="1" applyBorder="1" applyAlignment="1">
      <alignment horizontal="center" vertical="center"/>
    </xf>
    <xf numFmtId="4" fontId="83" fillId="0" borderId="130" xfId="569" applyNumberFormat="1" applyFont="1" applyFill="1" applyBorder="1" applyAlignment="1">
      <alignment horizontal="center" vertical="center"/>
    </xf>
    <xf numFmtId="4" fontId="83" fillId="0" borderId="130" xfId="569" applyNumberFormat="1" applyFont="1" applyFill="1" applyBorder="1" applyAlignment="1">
      <alignment horizontal="right" vertical="center"/>
    </xf>
    <xf numFmtId="4" fontId="135" fillId="0" borderId="130" xfId="569" applyNumberFormat="1" applyFont="1" applyFill="1" applyBorder="1" applyAlignment="1">
      <alignment horizontal="right" vertical="center"/>
    </xf>
    <xf numFmtId="4" fontId="117" fillId="0" borderId="130" xfId="569" applyNumberFormat="1" applyFont="1" applyFill="1" applyBorder="1" applyAlignment="1">
      <alignment horizontal="left"/>
    </xf>
    <xf numFmtId="4" fontId="36" fillId="30" borderId="130" xfId="569" applyNumberFormat="1" applyFont="1" applyFill="1" applyBorder="1"/>
    <xf numFmtId="4" fontId="35" fillId="35" borderId="130" xfId="569" applyNumberFormat="1" applyFont="1" applyFill="1" applyBorder="1"/>
    <xf numFmtId="4" fontId="36" fillId="51" borderId="130" xfId="569" applyNumberFormat="1" applyFont="1" applyFill="1" applyBorder="1" applyAlignment="1">
      <alignment horizontal="center" vertical="center" wrapText="1"/>
    </xf>
    <xf numFmtId="4" fontId="37" fillId="4" borderId="130" xfId="569" applyNumberFormat="1" applyFont="1" applyFill="1" applyBorder="1" applyAlignment="1">
      <alignment horizontal="center" vertical="center" wrapText="1"/>
    </xf>
    <xf numFmtId="4" fontId="85" fillId="4" borderId="130" xfId="569" applyNumberFormat="1" applyFont="1" applyFill="1" applyBorder="1" applyAlignment="1">
      <alignment horizontal="right"/>
    </xf>
    <xf numFmtId="4" fontId="35" fillId="8" borderId="0" xfId="569" applyNumberFormat="1" applyFont="1" applyFill="1" applyBorder="1"/>
    <xf numFmtId="4" fontId="85" fillId="37" borderId="0" xfId="571" applyNumberFormat="1" applyFont="1" applyFill="1" applyBorder="1"/>
    <xf numFmtId="4" fontId="107" fillId="8" borderId="0" xfId="566" applyNumberFormat="1" applyFont="1" applyFill="1" applyBorder="1"/>
    <xf numFmtId="4" fontId="36" fillId="37" borderId="0" xfId="569" applyNumberFormat="1" applyFont="1" applyFill="1" applyBorder="1" applyAlignment="1">
      <alignment horizontal="left"/>
    </xf>
    <xf numFmtId="4" fontId="103" fillId="37" borderId="0" xfId="569" applyNumberFormat="1" applyFont="1" applyFill="1" applyBorder="1"/>
    <xf numFmtId="4" fontId="103" fillId="37" borderId="0" xfId="569" applyNumberFormat="1" applyFont="1" applyFill="1" applyBorder="1" applyAlignment="1">
      <alignment horizontal="right"/>
    </xf>
    <xf numFmtId="4" fontId="106" fillId="37" borderId="0" xfId="569" applyNumberFormat="1" applyFont="1" applyFill="1" applyBorder="1" applyAlignment="1">
      <alignment horizontal="right"/>
    </xf>
    <xf numFmtId="4" fontId="105" fillId="37" borderId="0" xfId="569" applyNumberFormat="1" applyFont="1" applyFill="1" applyBorder="1" applyAlignment="1">
      <alignment horizontal="left"/>
    </xf>
    <xf numFmtId="4" fontId="83" fillId="37" borderId="0" xfId="569" applyNumberFormat="1" applyFont="1" applyFill="1" applyBorder="1" applyAlignment="1">
      <alignment horizontal="left"/>
    </xf>
    <xf numFmtId="4" fontId="94" fillId="37" borderId="0" xfId="569" applyNumberFormat="1" applyFont="1" applyFill="1" applyBorder="1" applyAlignment="1">
      <alignment horizontal="left"/>
    </xf>
    <xf numFmtId="4" fontId="94" fillId="37" borderId="0" xfId="569" applyNumberFormat="1" applyFont="1" applyFill="1" applyBorder="1" applyAlignment="1">
      <alignment horizontal="right"/>
    </xf>
    <xf numFmtId="4" fontId="49" fillId="0" borderId="130" xfId="0" applyNumberFormat="1" applyFont="1" applyBorder="1"/>
    <xf numFmtId="4" fontId="49" fillId="0" borderId="130" xfId="409" applyNumberFormat="1" applyFont="1" applyFill="1" applyBorder="1" applyAlignment="1">
      <alignment horizontal="right"/>
    </xf>
    <xf numFmtId="4" fontId="37" fillId="15" borderId="130" xfId="569" applyNumberFormat="1" applyFont="1" applyFill="1" applyBorder="1" applyAlignment="1">
      <alignment horizontal="right"/>
    </xf>
    <xf numFmtId="4" fontId="0" fillId="0" borderId="0" xfId="0" applyNumberFormat="1"/>
    <xf numFmtId="4" fontId="49" fillId="42" borderId="130" xfId="0" applyNumberFormat="1" applyFont="1" applyFill="1" applyBorder="1"/>
    <xf numFmtId="4" fontId="43" fillId="0" borderId="130" xfId="409" applyNumberFormat="1" applyFont="1" applyFill="1" applyBorder="1" applyAlignment="1">
      <alignment horizontal="right" vertical="center"/>
    </xf>
    <xf numFmtId="4" fontId="6" fillId="3" borderId="0" xfId="569" applyNumberFormat="1" applyFont="1" applyFill="1" applyBorder="1"/>
    <xf numFmtId="4" fontId="85" fillId="41" borderId="130" xfId="569" applyNumberFormat="1" applyFont="1" applyFill="1" applyBorder="1"/>
    <xf numFmtId="4" fontId="85" fillId="0" borderId="130" xfId="569" applyNumberFormat="1" applyFont="1" applyFill="1" applyBorder="1"/>
    <xf numFmtId="4" fontId="43" fillId="47" borderId="130" xfId="409" applyNumberFormat="1" applyFont="1" applyFill="1" applyBorder="1"/>
    <xf numFmtId="4" fontId="131" fillId="47" borderId="130" xfId="409" applyNumberFormat="1" applyFont="1" applyFill="1" applyBorder="1" applyAlignment="1">
      <alignment horizontal="right"/>
    </xf>
    <xf numFmtId="4" fontId="37" fillId="47" borderId="130" xfId="569" applyNumberFormat="1" applyFont="1" applyFill="1" applyBorder="1"/>
    <xf numFmtId="4" fontId="70" fillId="47" borderId="130" xfId="569" applyNumberFormat="1" applyFont="1" applyFill="1" applyBorder="1"/>
    <xf numFmtId="4" fontId="68" fillId="47" borderId="130" xfId="569" applyNumberFormat="1" applyFont="1" applyFill="1" applyBorder="1" applyAlignment="1">
      <alignment horizontal="left"/>
    </xf>
    <xf numFmtId="4" fontId="73" fillId="47" borderId="130" xfId="569" applyNumberFormat="1" applyFont="1" applyFill="1" applyBorder="1" applyAlignment="1">
      <alignment horizontal="right"/>
    </xf>
    <xf numFmtId="4" fontId="43" fillId="47" borderId="130" xfId="409" applyNumberFormat="1" applyFont="1" applyFill="1" applyBorder="1" applyAlignment="1">
      <alignment horizontal="right"/>
    </xf>
    <xf numFmtId="4" fontId="73" fillId="47" borderId="130" xfId="569" applyNumberFormat="1" applyFont="1" applyFill="1" applyBorder="1"/>
    <xf numFmtId="4" fontId="36" fillId="47" borderId="130" xfId="569" applyNumberFormat="1" applyFont="1" applyFill="1" applyBorder="1"/>
    <xf numFmtId="4" fontId="6" fillId="47" borderId="130" xfId="569" applyNumberFormat="1" applyFont="1" applyFill="1" applyBorder="1"/>
    <xf numFmtId="4" fontId="43" fillId="47" borderId="130" xfId="409" applyNumberFormat="1" applyFont="1" applyFill="1" applyBorder="1" applyAlignment="1">
      <alignment horizontal="center" vertical="center"/>
    </xf>
    <xf numFmtId="4" fontId="131" fillId="47" borderId="130" xfId="409" applyNumberFormat="1" applyFont="1" applyFill="1" applyBorder="1"/>
    <xf numFmtId="4" fontId="83" fillId="47" borderId="130" xfId="569" applyNumberFormat="1" applyFont="1" applyFill="1" applyBorder="1" applyAlignment="1">
      <alignment horizontal="right"/>
    </xf>
    <xf numFmtId="4" fontId="134" fillId="47" borderId="130" xfId="569" applyNumberFormat="1" applyFont="1" applyFill="1" applyBorder="1"/>
    <xf numFmtId="4" fontId="36" fillId="47" borderId="130" xfId="569" applyNumberFormat="1" applyFont="1" applyFill="1" applyBorder="1" applyAlignment="1">
      <alignment horizontal="right"/>
    </xf>
    <xf numFmtId="4" fontId="31" fillId="47" borderId="130" xfId="569" applyNumberFormat="1" applyFont="1" applyFill="1" applyBorder="1" applyAlignment="1">
      <alignment horizontal="center" vertical="center"/>
    </xf>
    <xf numFmtId="4" fontId="131" fillId="47" borderId="130" xfId="409" applyNumberFormat="1" applyFont="1" applyFill="1" applyBorder="1" applyAlignment="1">
      <alignment horizontal="left"/>
    </xf>
    <xf numFmtId="4" fontId="36" fillId="47" borderId="130" xfId="569" applyNumberFormat="1" applyFont="1" applyFill="1" applyBorder="1" applyAlignment="1">
      <alignment horizontal="left"/>
    </xf>
    <xf numFmtId="4" fontId="43" fillId="47" borderId="130" xfId="409" applyNumberFormat="1" applyFont="1" applyFill="1" applyBorder="1" applyAlignment="1">
      <alignment horizontal="center"/>
    </xf>
    <xf numFmtId="4" fontId="43" fillId="47" borderId="130" xfId="409" applyNumberFormat="1" applyFont="1" applyFill="1" applyBorder="1" applyAlignment="1">
      <alignment horizontal="right" wrapText="1"/>
    </xf>
    <xf numFmtId="4" fontId="108" fillId="47" borderId="130" xfId="569" applyNumberFormat="1" applyFont="1" applyFill="1" applyBorder="1" applyAlignment="1">
      <alignment horizontal="left"/>
    </xf>
    <xf numFmtId="4" fontId="0" fillId="47" borderId="130" xfId="0" applyNumberFormat="1" applyFill="1" applyBorder="1"/>
    <xf numFmtId="4" fontId="43" fillId="47" borderId="130" xfId="409" applyNumberFormat="1" applyFont="1" applyFill="1" applyBorder="1" applyAlignment="1">
      <alignment horizontal="right" vertical="center" wrapText="1"/>
    </xf>
    <xf numFmtId="4" fontId="102" fillId="47" borderId="130" xfId="569" applyNumberFormat="1" applyFont="1" applyFill="1" applyBorder="1" applyAlignment="1">
      <alignment horizontal="left"/>
    </xf>
    <xf numFmtId="4" fontId="43" fillId="47" borderId="130" xfId="409" applyNumberFormat="1" applyFont="1" applyFill="1" applyBorder="1" applyAlignment="1">
      <alignment horizontal="left" wrapText="1"/>
    </xf>
    <xf numFmtId="4" fontId="131" fillId="47" borderId="130" xfId="409" applyNumberFormat="1" applyFont="1" applyFill="1" applyBorder="1" applyAlignment="1">
      <alignment horizontal="left" wrapText="1"/>
    </xf>
    <xf numFmtId="4" fontId="132" fillId="47" borderId="130" xfId="409" applyNumberFormat="1" applyFont="1" applyFill="1" applyBorder="1" applyAlignment="1">
      <alignment horizontal="right"/>
    </xf>
    <xf numFmtId="4" fontId="83" fillId="47" borderId="130" xfId="569" applyNumberFormat="1" applyFont="1" applyFill="1" applyBorder="1"/>
    <xf numFmtId="4" fontId="135" fillId="47" borderId="130" xfId="569" applyNumberFormat="1" applyFont="1" applyFill="1" applyBorder="1"/>
    <xf numFmtId="4" fontId="43" fillId="47" borderId="130" xfId="0" applyNumberFormat="1" applyFont="1" applyFill="1" applyBorder="1"/>
    <xf numFmtId="4" fontId="126" fillId="47" borderId="130" xfId="569" applyNumberFormat="1" applyFont="1" applyFill="1" applyBorder="1" applyAlignment="1">
      <alignment horizontal="left"/>
    </xf>
    <xf numFmtId="4" fontId="89" fillId="47" borderId="130" xfId="569" applyNumberFormat="1" applyFont="1" applyFill="1" applyBorder="1"/>
    <xf numFmtId="4" fontId="83" fillId="47" borderId="130" xfId="569" applyNumberFormat="1" applyFont="1" applyFill="1" applyBorder="1" applyAlignment="1">
      <alignment horizontal="center" vertical="center"/>
    </xf>
    <xf numFmtId="4" fontId="83" fillId="47" borderId="130" xfId="569" applyNumberFormat="1" applyFont="1" applyFill="1" applyBorder="1" applyAlignment="1">
      <alignment horizontal="right" vertical="center"/>
    </xf>
    <xf numFmtId="4" fontId="43" fillId="47" borderId="130" xfId="409" applyNumberFormat="1" applyFont="1" applyFill="1" applyBorder="1" applyAlignment="1">
      <alignment horizontal="right" vertical="center"/>
    </xf>
    <xf numFmtId="0" fontId="6" fillId="47" borderId="0" xfId="569" applyFont="1" applyFill="1" applyBorder="1"/>
    <xf numFmtId="4" fontId="36" fillId="47" borderId="0" xfId="569" applyNumberFormat="1" applyFont="1" applyFill="1" applyBorder="1" applyAlignment="1">
      <alignment horizontal="right"/>
    </xf>
    <xf numFmtId="4" fontId="31" fillId="7" borderId="130" xfId="569" applyNumberFormat="1" applyFont="1" applyFill="1" applyBorder="1" applyAlignment="1">
      <alignment horizontal="center" vertical="center" wrapText="1"/>
    </xf>
    <xf numFmtId="171" fontId="43" fillId="47" borderId="0" xfId="409" applyNumberFormat="1" applyFont="1" applyFill="1" applyBorder="1" applyAlignment="1">
      <alignment horizontal="center"/>
    </xf>
    <xf numFmtId="171" fontId="51" fillId="55" borderId="130" xfId="409" applyNumberFormat="1" applyFont="1" applyFill="1" applyBorder="1" applyAlignment="1">
      <alignment horizontal="center" vertical="top"/>
    </xf>
    <xf numFmtId="171" fontId="51" fillId="55" borderId="130" xfId="409" applyNumberFormat="1" applyFont="1" applyFill="1" applyBorder="1" applyAlignment="1">
      <alignment horizontal="center"/>
    </xf>
    <xf numFmtId="171" fontId="49" fillId="55" borderId="130" xfId="409" applyNumberFormat="1" applyFont="1" applyFill="1" applyBorder="1" applyAlignment="1">
      <alignment horizontal="center"/>
    </xf>
    <xf numFmtId="171" fontId="49" fillId="55" borderId="130" xfId="409" applyNumberFormat="1" applyFont="1" applyFill="1" applyBorder="1" applyAlignment="1">
      <alignment horizontal="right"/>
    </xf>
    <xf numFmtId="4" fontId="35" fillId="55" borderId="130" xfId="569" applyNumberFormat="1" applyFont="1" applyFill="1" applyBorder="1" applyAlignment="1">
      <alignment horizontal="right"/>
    </xf>
    <xf numFmtId="171" fontId="49" fillId="56" borderId="130" xfId="409" applyNumberFormat="1" applyFont="1" applyFill="1" applyBorder="1"/>
    <xf numFmtId="4" fontId="101" fillId="57" borderId="130" xfId="569" applyNumberFormat="1" applyFont="1" applyFill="1" applyBorder="1"/>
    <xf numFmtId="4" fontId="37" fillId="56" borderId="130" xfId="569" applyNumberFormat="1" applyFont="1" applyFill="1" applyBorder="1" applyAlignment="1">
      <alignment horizontal="right"/>
    </xf>
    <xf numFmtId="171" fontId="53" fillId="55" borderId="130" xfId="409" applyNumberFormat="1" applyFont="1" applyFill="1" applyBorder="1" applyAlignment="1">
      <alignment horizontal="right"/>
    </xf>
    <xf numFmtId="171" fontId="53" fillId="56" borderId="130" xfId="409" applyNumberFormat="1" applyFont="1" applyFill="1" applyBorder="1"/>
    <xf numFmtId="4" fontId="35" fillId="55" borderId="130" xfId="569" applyNumberFormat="1" applyFont="1" applyFill="1" applyBorder="1"/>
    <xf numFmtId="171" fontId="49" fillId="56" borderId="130" xfId="409" applyNumberFormat="1" applyFont="1" applyFill="1" applyBorder="1" applyAlignment="1">
      <alignment horizontal="center"/>
    </xf>
    <xf numFmtId="3" fontId="37" fillId="55" borderId="130" xfId="569" applyNumberFormat="1" applyFont="1" applyFill="1" applyBorder="1" applyAlignment="1">
      <alignment horizontal="center"/>
    </xf>
    <xf numFmtId="171" fontId="53" fillId="55" borderId="130" xfId="409" applyNumberFormat="1" applyFont="1" applyFill="1" applyBorder="1"/>
    <xf numFmtId="171" fontId="43" fillId="56" borderId="130" xfId="409" applyNumberFormat="1" applyFont="1" applyFill="1" applyBorder="1"/>
    <xf numFmtId="171" fontId="43" fillId="55" borderId="130" xfId="409" applyNumberFormat="1" applyFont="1" applyFill="1" applyBorder="1"/>
    <xf numFmtId="171" fontId="49" fillId="55" borderId="130" xfId="409" applyNumberFormat="1" applyFont="1" applyFill="1" applyBorder="1"/>
    <xf numFmtId="171" fontId="49" fillId="57" borderId="130" xfId="409" applyNumberFormat="1" applyFont="1" applyFill="1" applyBorder="1"/>
    <xf numFmtId="171" fontId="49" fillId="57" borderId="130" xfId="409" applyNumberFormat="1" applyFont="1" applyFill="1" applyBorder="1" applyAlignment="1">
      <alignment horizontal="right"/>
    </xf>
    <xf numFmtId="171" fontId="49" fillId="55" borderId="130" xfId="409" applyNumberFormat="1" applyFont="1" applyFill="1" applyBorder="1" applyAlignment="1">
      <alignment horizontal="center" vertical="top"/>
    </xf>
    <xf numFmtId="0" fontId="43" fillId="0" borderId="130" xfId="0" applyFont="1" applyBorder="1"/>
    <xf numFmtId="4" fontId="6" fillId="0" borderId="130" xfId="569" applyNumberFormat="1" applyFont="1" applyBorder="1" applyAlignment="1">
      <alignment horizontal="center"/>
    </xf>
    <xf numFmtId="3" fontId="36" fillId="47" borderId="130" xfId="569" applyNumberFormat="1" applyFont="1" applyFill="1" applyBorder="1"/>
    <xf numFmtId="0" fontId="43" fillId="0" borderId="130" xfId="0" applyFont="1" applyBorder="1"/>
    <xf numFmtId="0" fontId="43" fillId="0" borderId="130" xfId="0" applyFont="1" applyBorder="1"/>
    <xf numFmtId="4" fontId="83" fillId="0" borderId="0" xfId="569" applyNumberFormat="1" applyFont="1" applyFill="1" applyBorder="1"/>
    <xf numFmtId="3" fontId="83" fillId="0" borderId="0" xfId="569" applyNumberFormat="1" applyFont="1" applyFill="1" applyBorder="1"/>
    <xf numFmtId="171" fontId="136" fillId="0" borderId="130" xfId="409" applyNumberFormat="1" applyFont="1" applyFill="1" applyBorder="1"/>
    <xf numFmtId="171" fontId="131" fillId="0" borderId="130" xfId="409" applyNumberFormat="1" applyFont="1" applyFill="1" applyBorder="1"/>
    <xf numFmtId="171" fontId="131" fillId="0" borderId="130" xfId="409" applyNumberFormat="1" applyFont="1" applyFill="1" applyBorder="1" applyAlignment="1">
      <alignment horizontal="right" wrapText="1"/>
    </xf>
    <xf numFmtId="171" fontId="137" fillId="0" borderId="130" xfId="409" applyNumberFormat="1" applyFont="1" applyFill="1" applyBorder="1" applyAlignment="1">
      <alignment horizontal="left" wrapText="1"/>
    </xf>
    <xf numFmtId="171" fontId="43" fillId="54" borderId="130" xfId="409" applyNumberFormat="1" applyFont="1" applyFill="1" applyBorder="1" applyAlignment="1">
      <alignment horizontal="right"/>
    </xf>
    <xf numFmtId="3" fontId="37" fillId="40" borderId="130" xfId="569" applyNumberFormat="1" applyFont="1" applyFill="1" applyBorder="1"/>
    <xf numFmtId="171" fontId="114" fillId="39" borderId="130" xfId="409" applyNumberFormat="1" applyFont="1" applyFill="1" applyBorder="1" applyAlignment="1">
      <alignment horizontal="right"/>
    </xf>
    <xf numFmtId="3" fontId="73" fillId="39" borderId="130" xfId="569" applyNumberFormat="1" applyFont="1" applyFill="1" applyBorder="1" applyAlignment="1">
      <alignment horizontal="right"/>
    </xf>
    <xf numFmtId="3" fontId="73" fillId="39" borderId="130" xfId="569" applyNumberFormat="1" applyFont="1" applyFill="1" applyBorder="1"/>
    <xf numFmtId="3" fontId="36" fillId="39" borderId="130" xfId="569" applyNumberFormat="1" applyFont="1" applyFill="1" applyBorder="1"/>
    <xf numFmtId="3" fontId="6" fillId="39" borderId="130" xfId="569" applyNumberFormat="1" applyFont="1" applyFill="1" applyBorder="1"/>
    <xf numFmtId="171" fontId="43" fillId="39" borderId="130" xfId="409" applyNumberFormat="1" applyFont="1" applyFill="1" applyBorder="1" applyAlignment="1">
      <alignment horizontal="right" vertical="center"/>
    </xf>
    <xf numFmtId="171" fontId="116" fillId="39" borderId="130" xfId="409" applyNumberFormat="1" applyFont="1" applyFill="1" applyBorder="1" applyAlignment="1">
      <alignment horizontal="right"/>
    </xf>
    <xf numFmtId="1" fontId="43" fillId="39" borderId="130" xfId="409" applyNumberFormat="1" applyFont="1" applyFill="1" applyBorder="1" applyAlignment="1">
      <alignment horizontal="center"/>
    </xf>
    <xf numFmtId="1" fontId="43" fillId="39" borderId="130" xfId="409" applyNumberFormat="1" applyFont="1" applyFill="1" applyBorder="1" applyAlignment="1">
      <alignment horizontal="right"/>
    </xf>
    <xf numFmtId="0" fontId="6" fillId="39" borderId="0" xfId="569" applyFont="1" applyFill="1" applyBorder="1"/>
    <xf numFmtId="171" fontId="43" fillId="39" borderId="130" xfId="409" applyNumberFormat="1" applyFont="1" applyFill="1" applyBorder="1" applyAlignment="1">
      <alignment wrapText="1"/>
    </xf>
    <xf numFmtId="3" fontId="36" fillId="39" borderId="130" xfId="569" applyNumberFormat="1" applyFont="1" applyFill="1" applyBorder="1" applyAlignment="1">
      <alignment horizontal="right"/>
    </xf>
    <xf numFmtId="0" fontId="0" fillId="39" borderId="130" xfId="0" applyFill="1" applyBorder="1"/>
    <xf numFmtId="4" fontId="6" fillId="39" borderId="130" xfId="569" applyNumberFormat="1" applyFont="1" applyFill="1" applyBorder="1"/>
    <xf numFmtId="171" fontId="43" fillId="39" borderId="130" xfId="409" applyNumberFormat="1" applyFont="1" applyFill="1" applyBorder="1" applyAlignment="1">
      <alignment horizontal="right" vertical="center" wrapText="1"/>
    </xf>
    <xf numFmtId="171" fontId="119" fillId="39" borderId="130" xfId="409" applyNumberFormat="1" applyFont="1" applyFill="1" applyBorder="1" applyAlignment="1">
      <alignment horizontal="right"/>
    </xf>
    <xf numFmtId="171" fontId="122" fillId="39" borderId="130" xfId="409" applyNumberFormat="1" applyFont="1" applyFill="1" applyBorder="1" applyAlignment="1">
      <alignment horizontal="right"/>
    </xf>
    <xf numFmtId="171" fontId="116" fillId="39" borderId="130" xfId="409" applyNumberFormat="1" applyFont="1" applyFill="1" applyBorder="1" applyAlignment="1">
      <alignment horizontal="right" wrapText="1"/>
    </xf>
    <xf numFmtId="171" fontId="122" fillId="39" borderId="130" xfId="409" applyNumberFormat="1" applyFont="1" applyFill="1" applyBorder="1" applyAlignment="1">
      <alignment horizontal="right" wrapText="1"/>
    </xf>
    <xf numFmtId="3" fontId="103" fillId="39" borderId="130" xfId="569" applyNumberFormat="1" applyFont="1" applyFill="1" applyBorder="1"/>
    <xf numFmtId="3" fontId="43" fillId="39" borderId="130" xfId="409" applyNumberFormat="1" applyFont="1" applyFill="1" applyBorder="1" applyAlignment="1">
      <alignment horizontal="right"/>
    </xf>
    <xf numFmtId="171" fontId="112" fillId="39" borderId="130" xfId="409" applyNumberFormat="1" applyFont="1" applyFill="1" applyBorder="1" applyAlignment="1">
      <alignment horizontal="right"/>
    </xf>
    <xf numFmtId="1" fontId="43" fillId="39" borderId="130" xfId="409" applyNumberFormat="1" applyFont="1" applyFill="1" applyBorder="1" applyAlignment="1">
      <alignment horizontal="left"/>
    </xf>
    <xf numFmtId="3" fontId="103" fillId="39" borderId="130" xfId="569" applyNumberFormat="1" applyFont="1" applyFill="1" applyBorder="1" applyAlignment="1">
      <alignment horizontal="left"/>
    </xf>
    <xf numFmtId="3" fontId="36" fillId="39" borderId="130" xfId="569" applyNumberFormat="1" applyFont="1" applyFill="1" applyBorder="1" applyAlignment="1">
      <alignment horizontal="left"/>
    </xf>
    <xf numFmtId="3" fontId="103" fillId="39" borderId="130" xfId="569" applyNumberFormat="1" applyFont="1" applyFill="1" applyBorder="1" applyAlignment="1">
      <alignment horizontal="right"/>
    </xf>
    <xf numFmtId="3" fontId="103" fillId="39" borderId="130" xfId="569" applyNumberFormat="1" applyFont="1" applyFill="1" applyBorder="1" applyAlignment="1">
      <alignment horizontal="center"/>
    </xf>
    <xf numFmtId="1" fontId="43" fillId="39" borderId="130" xfId="409" applyNumberFormat="1" applyFont="1" applyFill="1" applyBorder="1" applyAlignment="1">
      <alignment horizontal="right" wrapText="1"/>
    </xf>
    <xf numFmtId="1" fontId="103" fillId="39" borderId="130" xfId="569" applyNumberFormat="1" applyFont="1" applyFill="1" applyBorder="1" applyAlignment="1">
      <alignment horizontal="left"/>
    </xf>
    <xf numFmtId="1" fontId="83" fillId="39" borderId="130" xfId="569" applyNumberFormat="1" applyFont="1" applyFill="1" applyBorder="1" applyAlignment="1">
      <alignment horizontal="left"/>
    </xf>
    <xf numFmtId="1" fontId="103" fillId="39" borderId="130" xfId="569" applyNumberFormat="1" applyFont="1" applyFill="1" applyBorder="1" applyAlignment="1">
      <alignment horizontal="center"/>
    </xf>
    <xf numFmtId="171" fontId="132" fillId="39" borderId="130" xfId="409" applyNumberFormat="1" applyFont="1" applyFill="1" applyBorder="1" applyAlignment="1">
      <alignment horizontal="right"/>
    </xf>
    <xf numFmtId="3" fontId="126" fillId="39" borderId="130" xfId="569" applyNumberFormat="1" applyFont="1" applyFill="1" applyBorder="1"/>
    <xf numFmtId="1" fontId="43" fillId="39" borderId="130" xfId="409" applyNumberFormat="1" applyFont="1" applyFill="1" applyBorder="1" applyAlignment="1">
      <alignment horizontal="right" vertical="center"/>
    </xf>
    <xf numFmtId="3" fontId="43" fillId="39" borderId="130" xfId="409" applyNumberFormat="1" applyFont="1" applyFill="1" applyBorder="1" applyAlignment="1">
      <alignment horizontal="right" vertical="center"/>
    </xf>
    <xf numFmtId="1" fontId="36" fillId="58" borderId="130" xfId="569" applyNumberFormat="1" applyFont="1" applyFill="1" applyBorder="1" applyAlignment="1">
      <alignment horizontal="center" vertical="center"/>
    </xf>
    <xf numFmtId="3" fontId="49" fillId="39" borderId="130" xfId="409" applyNumberFormat="1" applyFont="1" applyFill="1" applyBorder="1" applyAlignment="1">
      <alignment horizontal="right"/>
    </xf>
    <xf numFmtId="3" fontId="43" fillId="39" borderId="130" xfId="409" applyNumberFormat="1" applyFont="1" applyFill="1" applyBorder="1" applyAlignment="1">
      <alignment horizontal="center"/>
    </xf>
    <xf numFmtId="171" fontId="138" fillId="49" borderId="0" xfId="409" applyNumberFormat="1" applyFont="1" applyFill="1" applyBorder="1" applyAlignment="1">
      <alignment horizontal="left"/>
    </xf>
    <xf numFmtId="0" fontId="96" fillId="59" borderId="161" xfId="0" applyFont="1" applyFill="1" applyBorder="1" applyAlignment="1">
      <alignment horizontal="center"/>
    </xf>
    <xf numFmtId="0" fontId="96" fillId="59" borderId="132" xfId="0" applyFont="1" applyFill="1" applyBorder="1" applyAlignment="1">
      <alignment horizontal="center"/>
    </xf>
    <xf numFmtId="0" fontId="96" fillId="59" borderId="194" xfId="0" applyFont="1" applyFill="1" applyBorder="1" applyAlignment="1">
      <alignment horizontal="center"/>
    </xf>
    <xf numFmtId="0" fontId="96" fillId="59" borderId="176" xfId="0" applyFont="1" applyFill="1" applyBorder="1" applyAlignment="1">
      <alignment horizontal="center"/>
    </xf>
    <xf numFmtId="0" fontId="96" fillId="59" borderId="187" xfId="0" applyFont="1" applyFill="1" applyBorder="1" applyAlignment="1">
      <alignment horizontal="center"/>
    </xf>
    <xf numFmtId="3" fontId="98" fillId="60" borderId="130" xfId="0" applyNumberFormat="1" applyFont="1" applyFill="1" applyBorder="1" applyAlignment="1" applyProtection="1">
      <alignment horizontal="right"/>
      <protection locked="0"/>
    </xf>
    <xf numFmtId="3" fontId="96" fillId="42" borderId="130" xfId="0" applyNumberFormat="1" applyFont="1" applyFill="1" applyBorder="1"/>
    <xf numFmtId="3" fontId="96" fillId="42" borderId="86" xfId="0" applyNumberFormat="1" applyFont="1" applyFill="1" applyBorder="1"/>
    <xf numFmtId="3" fontId="96" fillId="42" borderId="150" xfId="0" applyNumberFormat="1" applyFont="1" applyFill="1" applyBorder="1"/>
    <xf numFmtId="3" fontId="96" fillId="42" borderId="103" xfId="0" applyNumberFormat="1" applyFont="1" applyFill="1" applyBorder="1"/>
    <xf numFmtId="3" fontId="96" fillId="60" borderId="130" xfId="0" applyNumberFormat="1" applyFont="1" applyFill="1" applyBorder="1" applyAlignment="1">
      <alignment horizontal="right"/>
    </xf>
    <xf numFmtId="3" fontId="96" fillId="60" borderId="190" xfId="0" applyNumberFormat="1" applyFont="1" applyFill="1" applyBorder="1" applyAlignment="1">
      <alignment horizontal="right"/>
    </xf>
    <xf numFmtId="3" fontId="96" fillId="42" borderId="190" xfId="0" applyNumberFormat="1" applyFont="1" applyFill="1" applyBorder="1"/>
    <xf numFmtId="3" fontId="96" fillId="42" borderId="191" xfId="0" applyNumberFormat="1" applyFont="1" applyFill="1" applyBorder="1"/>
    <xf numFmtId="3" fontId="96" fillId="42" borderId="192" xfId="0" applyNumberFormat="1" applyFont="1" applyFill="1" applyBorder="1"/>
    <xf numFmtId="3" fontId="96" fillId="42" borderId="193" xfId="0" applyNumberFormat="1" applyFont="1" applyFill="1" applyBorder="1"/>
    <xf numFmtId="3" fontId="96" fillId="60" borderId="178" xfId="0" applyNumberFormat="1" applyFont="1" applyFill="1" applyBorder="1" applyAlignment="1">
      <alignment horizontal="right"/>
    </xf>
    <xf numFmtId="3" fontId="96" fillId="42" borderId="178" xfId="0" applyNumberFormat="1" applyFont="1" applyFill="1" applyBorder="1"/>
    <xf numFmtId="3" fontId="96" fillId="42" borderId="195" xfId="0" applyNumberFormat="1" applyFont="1" applyFill="1" applyBorder="1"/>
    <xf numFmtId="3" fontId="96" fillId="42" borderId="151" xfId="0" applyNumberFormat="1" applyFont="1" applyFill="1" applyBorder="1"/>
    <xf numFmtId="3" fontId="96" fillId="42" borderId="113" xfId="0" applyNumberFormat="1" applyFont="1" applyFill="1" applyBorder="1"/>
    <xf numFmtId="3" fontId="96" fillId="42" borderId="108" xfId="0" applyNumberFormat="1" applyFont="1" applyFill="1" applyBorder="1"/>
    <xf numFmtId="3" fontId="98" fillId="42" borderId="227" xfId="0" applyNumberFormat="1" applyFont="1" applyFill="1" applyBorder="1" applyAlignment="1">
      <alignment horizontal="right"/>
    </xf>
    <xf numFmtId="3" fontId="98" fillId="42" borderId="227" xfId="0" applyNumberFormat="1" applyFont="1" applyFill="1" applyBorder="1"/>
    <xf numFmtId="3" fontId="98" fillId="42" borderId="228" xfId="0" applyNumberFormat="1" applyFont="1" applyFill="1" applyBorder="1"/>
    <xf numFmtId="3" fontId="98" fillId="42" borderId="85" xfId="0" applyNumberFormat="1" applyFont="1" applyFill="1" applyBorder="1"/>
    <xf numFmtId="3" fontId="98" fillId="42" borderId="229" xfId="0" applyNumberFormat="1" applyFont="1" applyFill="1" applyBorder="1"/>
    <xf numFmtId="3" fontId="98" fillId="42" borderId="230" xfId="0" applyNumberFormat="1" applyFont="1" applyFill="1" applyBorder="1"/>
    <xf numFmtId="3" fontId="98" fillId="62" borderId="130" xfId="0" applyNumberFormat="1" applyFont="1" applyFill="1" applyBorder="1" applyAlignment="1"/>
    <xf numFmtId="3" fontId="96" fillId="50" borderId="130" xfId="0" applyNumberFormat="1" applyFont="1" applyFill="1" applyBorder="1"/>
    <xf numFmtId="3" fontId="96" fillId="50" borderId="86" xfId="0" applyNumberFormat="1" applyFont="1" applyFill="1" applyBorder="1"/>
    <xf numFmtId="3" fontId="96" fillId="50" borderId="150" xfId="0" applyNumberFormat="1" applyFont="1" applyFill="1" applyBorder="1"/>
    <xf numFmtId="3" fontId="96" fillId="50" borderId="103" xfId="0" applyNumberFormat="1" applyFont="1" applyFill="1" applyBorder="1"/>
    <xf numFmtId="3" fontId="98" fillId="62" borderId="130" xfId="0" applyNumberFormat="1" applyFont="1" applyFill="1" applyBorder="1" applyAlignment="1">
      <alignment horizontal="right"/>
    </xf>
    <xf numFmtId="3" fontId="98" fillId="50" borderId="130" xfId="0" applyNumberFormat="1" applyFont="1" applyFill="1" applyBorder="1"/>
    <xf numFmtId="3" fontId="98" fillId="62" borderId="178" xfId="0" applyNumberFormat="1" applyFont="1" applyFill="1" applyBorder="1" applyAlignment="1">
      <alignment horizontal="right"/>
    </xf>
    <xf numFmtId="3" fontId="96" fillId="50" borderId="178" xfId="0" applyNumberFormat="1" applyFont="1" applyFill="1" applyBorder="1"/>
    <xf numFmtId="3" fontId="96" fillId="50" borderId="108" xfId="0" applyNumberFormat="1" applyFont="1" applyFill="1" applyBorder="1"/>
    <xf numFmtId="3" fontId="96" fillId="50" borderId="113" xfId="0" applyNumberFormat="1" applyFont="1" applyFill="1" applyBorder="1"/>
    <xf numFmtId="3" fontId="96" fillId="50" borderId="195" xfId="0" applyNumberFormat="1" applyFont="1" applyFill="1" applyBorder="1"/>
    <xf numFmtId="3" fontId="96" fillId="50" borderId="180" xfId="0" applyNumberFormat="1" applyFont="1" applyFill="1" applyBorder="1" applyAlignment="1">
      <alignment horizontal="right"/>
    </xf>
    <xf numFmtId="3" fontId="96" fillId="50" borderId="180" xfId="0" applyNumberFormat="1" applyFont="1" applyFill="1" applyBorder="1"/>
    <xf numFmtId="3" fontId="96" fillId="50" borderId="184" xfId="0" applyNumberFormat="1" applyFont="1" applyFill="1" applyBorder="1"/>
    <xf numFmtId="3" fontId="96" fillId="50" borderId="153" xfId="0" applyNumberFormat="1" applyFont="1" applyFill="1" applyBorder="1"/>
    <xf numFmtId="3" fontId="96" fillId="50" borderId="185" xfId="0" applyNumberFormat="1" applyFont="1" applyFill="1" applyBorder="1"/>
    <xf numFmtId="3" fontId="96" fillId="50" borderId="186" xfId="0" applyNumberFormat="1" applyFont="1" applyFill="1" applyBorder="1"/>
    <xf numFmtId="3" fontId="96" fillId="50" borderId="151" xfId="0" applyNumberFormat="1" applyFont="1" applyFill="1" applyBorder="1"/>
    <xf numFmtId="3" fontId="29" fillId="39" borderId="84" xfId="0" applyNumberFormat="1" applyFont="1" applyFill="1" applyBorder="1" applyAlignment="1">
      <alignment horizontal="center" vertical="center" wrapText="1"/>
    </xf>
    <xf numFmtId="3" fontId="29" fillId="39" borderId="84" xfId="0" applyNumberFormat="1" applyFont="1" applyFill="1" applyBorder="1" applyAlignment="1">
      <alignment horizontal="center" vertical="center"/>
    </xf>
    <xf numFmtId="3" fontId="29" fillId="39" borderId="153" xfId="0" applyNumberFormat="1" applyFont="1" applyFill="1" applyBorder="1" applyAlignment="1">
      <alignment horizontal="center" vertical="center"/>
    </xf>
    <xf numFmtId="3" fontId="29" fillId="39" borderId="84" xfId="0" applyNumberFormat="1" applyFont="1" applyFill="1" applyBorder="1" applyAlignment="1">
      <alignment vertical="center"/>
    </xf>
    <xf numFmtId="3" fontId="29" fillId="39" borderId="194" xfId="0" applyNumberFormat="1" applyFont="1" applyFill="1" applyBorder="1" applyAlignment="1">
      <alignment vertical="center" wrapText="1"/>
    </xf>
    <xf numFmtId="3" fontId="29" fillId="39" borderId="84" xfId="0" applyNumberFormat="1" applyFont="1" applyFill="1" applyBorder="1"/>
    <xf numFmtId="3" fontId="29" fillId="39" borderId="194" xfId="0" applyNumberFormat="1" applyFont="1" applyFill="1" applyBorder="1"/>
    <xf numFmtId="3" fontId="29" fillId="39" borderId="85" xfId="0" applyNumberFormat="1" applyFont="1" applyFill="1" applyBorder="1" applyAlignment="1">
      <alignment vertical="center"/>
    </xf>
    <xf numFmtId="3" fontId="97" fillId="39" borderId="84" xfId="0" applyNumberFormat="1" applyFont="1" applyFill="1" applyBorder="1"/>
    <xf numFmtId="3" fontId="97" fillId="39" borderId="101" xfId="0" applyNumberFormat="1" applyFont="1" applyFill="1" applyBorder="1"/>
    <xf numFmtId="3" fontId="97" fillId="39" borderId="130" xfId="0" applyNumberFormat="1" applyFont="1" applyFill="1" applyBorder="1"/>
    <xf numFmtId="3" fontId="97" fillId="39" borderId="153" xfId="0" applyNumberFormat="1" applyFont="1" applyFill="1" applyBorder="1"/>
    <xf numFmtId="3" fontId="97" fillId="39" borderId="183" xfId="0" applyNumberFormat="1" applyFont="1" applyFill="1" applyBorder="1"/>
    <xf numFmtId="3" fontId="97" fillId="39" borderId="182" xfId="0" applyNumberFormat="1" applyFont="1" applyFill="1" applyBorder="1"/>
    <xf numFmtId="3" fontId="43" fillId="39" borderId="84" xfId="0" applyNumberFormat="1" applyFont="1" applyFill="1" applyBorder="1"/>
    <xf numFmtId="3" fontId="43" fillId="39" borderId="153" xfId="0" applyNumberFormat="1" applyFont="1" applyFill="1" applyBorder="1"/>
    <xf numFmtId="0" fontId="96" fillId="59" borderId="257" xfId="0" applyFont="1" applyFill="1" applyBorder="1" applyAlignment="1">
      <alignment horizontal="center"/>
    </xf>
    <xf numFmtId="0" fontId="96" fillId="59" borderId="258" xfId="0" applyFont="1" applyFill="1" applyBorder="1" applyAlignment="1">
      <alignment horizontal="center"/>
    </xf>
    <xf numFmtId="0" fontId="96" fillId="59" borderId="151" xfId="0" applyFont="1" applyFill="1" applyBorder="1" applyAlignment="1">
      <alignment horizontal="center"/>
    </xf>
    <xf numFmtId="0" fontId="96" fillId="59" borderId="203" xfId="0" applyFont="1" applyFill="1" applyBorder="1" applyAlignment="1">
      <alignment horizontal="center"/>
    </xf>
    <xf numFmtId="0" fontId="96" fillId="59" borderId="259" xfId="0" applyFont="1" applyFill="1" applyBorder="1" applyAlignment="1">
      <alignment horizontal="center"/>
    </xf>
    <xf numFmtId="0" fontId="0" fillId="0" borderId="0" xfId="0"/>
    <xf numFmtId="0" fontId="0" fillId="0" borderId="0" xfId="0"/>
    <xf numFmtId="49" fontId="43" fillId="0" borderId="173" xfId="0" applyNumberFormat="1" applyFont="1" applyFill="1" applyBorder="1" applyAlignment="1">
      <alignment horizontal="center"/>
    </xf>
    <xf numFmtId="0" fontId="49" fillId="0" borderId="76" xfId="0" applyFont="1" applyFill="1" applyBorder="1"/>
    <xf numFmtId="167" fontId="49" fillId="0" borderId="77" xfId="0" applyNumberFormat="1" applyFont="1" applyFill="1" applyBorder="1" applyAlignment="1"/>
    <xf numFmtId="3" fontId="43" fillId="0" borderId="84" xfId="0" applyNumberFormat="1" applyFont="1" applyFill="1" applyBorder="1" applyAlignment="1"/>
    <xf numFmtId="3" fontId="43" fillId="0" borderId="76" xfId="0" applyNumberFormat="1" applyFont="1" applyFill="1" applyBorder="1" applyAlignment="1"/>
    <xf numFmtId="3" fontId="43" fillId="0" borderId="78" xfId="0" applyNumberFormat="1" applyFont="1" applyFill="1" applyBorder="1" applyAlignment="1"/>
    <xf numFmtId="3" fontId="43" fillId="0" borderId="77" xfId="0" applyNumberFormat="1" applyFont="1" applyFill="1" applyBorder="1" applyAlignment="1"/>
    <xf numFmtId="0" fontId="139" fillId="0" borderId="0" xfId="0" applyFont="1" applyFill="1" applyBorder="1" applyAlignment="1">
      <alignment vertical="center" wrapText="1"/>
    </xf>
    <xf numFmtId="0" fontId="140" fillId="0" borderId="0" xfId="0" applyFont="1" applyAlignment="1">
      <alignment horizontal="justify" vertical="center"/>
    </xf>
    <xf numFmtId="0" fontId="142" fillId="0" borderId="0" xfId="0" applyFont="1"/>
    <xf numFmtId="0" fontId="143" fillId="0" borderId="0" xfId="0" applyFont="1"/>
    <xf numFmtId="0" fontId="147" fillId="0" borderId="130" xfId="0" applyFont="1" applyBorder="1" applyAlignment="1">
      <alignment horizontal="center"/>
    </xf>
    <xf numFmtId="0" fontId="147" fillId="50" borderId="130" xfId="0" applyFont="1" applyFill="1" applyBorder="1" applyAlignment="1">
      <alignment horizontal="center"/>
    </xf>
    <xf numFmtId="3" fontId="54" fillId="0" borderId="130" xfId="0" applyNumberFormat="1" applyFont="1" applyBorder="1"/>
    <xf numFmtId="0" fontId="145" fillId="0" borderId="0" xfId="0" applyFont="1" applyAlignment="1">
      <alignment horizontal="left" wrapText="1"/>
    </xf>
    <xf numFmtId="0" fontId="144" fillId="63" borderId="130" xfId="0" applyFont="1" applyFill="1" applyBorder="1" applyAlignment="1">
      <alignment horizontal="center"/>
    </xf>
    <xf numFmtId="0" fontId="144" fillId="0" borderId="130" xfId="0" applyFont="1" applyBorder="1" applyAlignment="1">
      <alignment horizontal="center"/>
    </xf>
    <xf numFmtId="0" fontId="144" fillId="0" borderId="0" xfId="0" applyFont="1"/>
    <xf numFmtId="3" fontId="145" fillId="0" borderId="130" xfId="0" applyNumberFormat="1" applyFont="1" applyBorder="1"/>
    <xf numFmtId="3" fontId="144" fillId="0" borderId="130" xfId="0" applyNumberFormat="1" applyFont="1" applyBorder="1"/>
    <xf numFmtId="0" fontId="144" fillId="64" borderId="130" xfId="0" applyFont="1" applyFill="1" applyBorder="1" applyAlignment="1">
      <alignment horizontal="center"/>
    </xf>
    <xf numFmtId="0" fontId="148" fillId="0" borderId="0" xfId="0" applyFont="1" applyAlignment="1">
      <alignment wrapText="1"/>
    </xf>
    <xf numFmtId="0" fontId="142" fillId="0" borderId="130" xfId="0" applyFont="1" applyBorder="1" applyAlignment="1">
      <alignment horizontal="center"/>
    </xf>
    <xf numFmtId="0" fontId="142" fillId="0" borderId="130" xfId="0" applyFont="1" applyBorder="1"/>
    <xf numFmtId="0" fontId="142" fillId="0" borderId="130" xfId="0" applyFont="1" applyBorder="1" applyAlignment="1">
      <alignment horizontal="center" vertical="center"/>
    </xf>
    <xf numFmtId="0" fontId="142" fillId="0" borderId="130" xfId="0" applyFont="1" applyFill="1" applyBorder="1" applyAlignment="1">
      <alignment horizontal="center" vertical="center"/>
    </xf>
    <xf numFmtId="0" fontId="142" fillId="0" borderId="130" xfId="0" applyFont="1" applyBorder="1" applyAlignment="1">
      <alignment vertical="center"/>
    </xf>
    <xf numFmtId="0" fontId="142" fillId="0" borderId="130" xfId="0" applyFont="1" applyBorder="1" applyAlignment="1">
      <alignment horizontal="center" wrapText="1"/>
    </xf>
    <xf numFmtId="0" fontId="148" fillId="59" borderId="13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45" fillId="0" borderId="0" xfId="0" applyFont="1" applyAlignment="1">
      <alignment vertical="center" wrapText="1"/>
    </xf>
    <xf numFmtId="0" fontId="141" fillId="0" borderId="130" xfId="0" applyFont="1" applyBorder="1" applyAlignment="1">
      <alignment horizontal="center" vertical="center" wrapText="1"/>
    </xf>
    <xf numFmtId="0" fontId="142" fillId="0" borderId="130" xfId="0" applyFont="1" applyBorder="1" applyAlignment="1">
      <alignment horizontal="center" vertical="center" wrapText="1"/>
    </xf>
    <xf numFmtId="0" fontId="144" fillId="0" borderId="0" xfId="0" applyFont="1" applyAlignment="1">
      <alignment vertical="center"/>
    </xf>
    <xf numFmtId="9" fontId="142" fillId="0" borderId="130" xfId="0" applyNumberFormat="1" applyFont="1" applyBorder="1" applyAlignment="1">
      <alignment horizontal="center" vertical="center"/>
    </xf>
    <xf numFmtId="0" fontId="145" fillId="0" borderId="0" xfId="0" applyFont="1" applyAlignment="1">
      <alignment horizontal="left" vertical="center" wrapText="1"/>
    </xf>
    <xf numFmtId="9" fontId="141" fillId="0" borderId="130" xfId="0" applyNumberFormat="1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/>
    </xf>
    <xf numFmtId="0" fontId="142" fillId="0" borderId="0" xfId="0" applyFont="1" applyBorder="1" applyAlignment="1">
      <alignment wrapText="1"/>
    </xf>
    <xf numFmtId="0" fontId="142" fillId="0" borderId="0" xfId="0" applyFont="1" applyBorder="1" applyAlignment="1">
      <alignment vertical="center" wrapText="1"/>
    </xf>
    <xf numFmtId="0" fontId="142" fillId="0" borderId="130" xfId="0" applyFont="1" applyBorder="1" applyAlignment="1">
      <alignment horizontal="center" vertical="center"/>
    </xf>
    <xf numFmtId="0" fontId="142" fillId="0" borderId="0" xfId="0" applyFont="1" applyBorder="1" applyAlignment="1">
      <alignment vertical="center"/>
    </xf>
    <xf numFmtId="9" fontId="142" fillId="0" borderId="0" xfId="0" applyNumberFormat="1" applyFont="1" applyBorder="1" applyAlignment="1">
      <alignment horizontal="center" vertical="center"/>
    </xf>
    <xf numFmtId="0" fontId="0" fillId="0" borderId="0" xfId="0"/>
    <xf numFmtId="0" fontId="150" fillId="0" borderId="0" xfId="0" applyFont="1" applyAlignment="1">
      <alignment vertical="center"/>
    </xf>
    <xf numFmtId="0" fontId="145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145" fillId="0" borderId="0" xfId="0" applyFont="1" applyAlignment="1">
      <alignment horizontal="justify" vertical="center"/>
    </xf>
    <xf numFmtId="0" fontId="142" fillId="0" borderId="130" xfId="0" applyFont="1" applyBorder="1" applyAlignment="1"/>
    <xf numFmtId="0" fontId="142" fillId="0" borderId="132" xfId="0" applyFont="1" applyBorder="1" applyAlignment="1">
      <alignment vertical="center" wrapText="1"/>
    </xf>
    <xf numFmtId="0" fontId="142" fillId="0" borderId="0" xfId="0" applyFont="1" applyBorder="1" applyAlignment="1">
      <alignment horizontal="center" wrapText="1"/>
    </xf>
    <xf numFmtId="0" fontId="147" fillId="0" borderId="0" xfId="0" applyFont="1"/>
    <xf numFmtId="1" fontId="142" fillId="0" borderId="130" xfId="0" applyNumberFormat="1" applyFont="1" applyBorder="1" applyAlignment="1">
      <alignment horizontal="center" vertical="center"/>
    </xf>
    <xf numFmtId="10" fontId="142" fillId="0" borderId="130" xfId="0" applyNumberFormat="1" applyFont="1" applyBorder="1" applyAlignment="1">
      <alignment horizontal="center" vertical="center"/>
    </xf>
    <xf numFmtId="0" fontId="142" fillId="0" borderId="0" xfId="0" applyFont="1" applyBorder="1" applyAlignment="1">
      <alignment horizontal="center"/>
    </xf>
    <xf numFmtId="0" fontId="150" fillId="0" borderId="0" xfId="0" applyFont="1" applyAlignment="1">
      <alignment vertical="center" wrapText="1"/>
    </xf>
    <xf numFmtId="0" fontId="144" fillId="0" borderId="0" xfId="0" applyFont="1" applyBorder="1" applyAlignment="1">
      <alignment horizontal="center"/>
    </xf>
    <xf numFmtId="3" fontId="145" fillId="0" borderId="0" xfId="0" applyNumberFormat="1" applyFont="1" applyBorder="1"/>
    <xf numFmtId="3" fontId="144" fillId="0" borderId="0" xfId="0" applyNumberFormat="1" applyFont="1" applyBorder="1"/>
    <xf numFmtId="3" fontId="144" fillId="63" borderId="130" xfId="0" applyNumberFormat="1" applyFont="1" applyFill="1" applyBorder="1" applyAlignment="1">
      <alignment horizontal="center"/>
    </xf>
    <xf numFmtId="0" fontId="142" fillId="0" borderId="0" xfId="0" applyFont="1" applyBorder="1" applyAlignment="1"/>
    <xf numFmtId="0" fontId="145" fillId="0" borderId="0" xfId="0" applyFont="1"/>
    <xf numFmtId="0" fontId="142" fillId="0" borderId="0" xfId="0" applyFont="1" applyBorder="1" applyAlignment="1">
      <alignment horizontal="left"/>
    </xf>
    <xf numFmtId="0" fontId="141" fillId="0" borderId="0" xfId="0" applyFont="1" applyBorder="1" applyAlignment="1">
      <alignment horizontal="center" vertical="center" wrapText="1"/>
    </xf>
    <xf numFmtId="0" fontId="145" fillId="0" borderId="79" xfId="0" applyFont="1" applyBorder="1" applyAlignment="1">
      <alignment wrapText="1"/>
    </xf>
    <xf numFmtId="0" fontId="145" fillId="0" borderId="103" xfId="0" applyFont="1" applyBorder="1" applyAlignment="1">
      <alignment wrapText="1"/>
    </xf>
    <xf numFmtId="0" fontId="145" fillId="0" borderId="0" xfId="0" applyFont="1" applyAlignment="1">
      <alignment wrapText="1"/>
    </xf>
    <xf numFmtId="0" fontId="0" fillId="0" borderId="130" xfId="0" applyBorder="1" applyAlignment="1">
      <alignment horizontal="center" vertical="center"/>
    </xf>
    <xf numFmtId="0" fontId="0" fillId="0" borderId="130" xfId="0" applyBorder="1" applyAlignment="1">
      <alignment horizontal="center"/>
    </xf>
    <xf numFmtId="9" fontId="141" fillId="0" borderId="0" xfId="0" applyNumberFormat="1" applyFont="1" applyBorder="1" applyAlignment="1">
      <alignment horizontal="center" vertical="center" wrapText="1"/>
    </xf>
    <xf numFmtId="0" fontId="150" fillId="0" borderId="131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42" fillId="0" borderId="0" xfId="0" applyFont="1" applyBorder="1" applyAlignment="1">
      <alignment horizontal="left" vertical="center" wrapText="1"/>
    </xf>
    <xf numFmtId="0" fontId="154" fillId="0" borderId="0" xfId="0" applyFont="1" applyAlignment="1">
      <alignment horizontal="center" vertical="center"/>
    </xf>
    <xf numFmtId="0" fontId="155" fillId="0" borderId="0" xfId="0" applyFont="1" applyAlignment="1">
      <alignment horizontal="justify" vertic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5" fillId="0" borderId="0" xfId="0" applyFont="1" applyAlignment="1">
      <alignment vertical="center"/>
    </xf>
    <xf numFmtId="0" fontId="155" fillId="0" borderId="0" xfId="0" applyFont="1" applyAlignment="1">
      <alignment horizontal="left" vertical="center" wrapText="1"/>
    </xf>
    <xf numFmtId="0" fontId="161" fillId="0" borderId="0" xfId="0" applyFont="1"/>
    <xf numFmtId="3" fontId="103" fillId="0" borderId="103" xfId="569" applyNumberFormat="1" applyFont="1" applyBorder="1" applyAlignment="1">
      <alignment horizontal="center"/>
    </xf>
    <xf numFmtId="0" fontId="100" fillId="0" borderId="130" xfId="569" applyFont="1" applyBorder="1"/>
    <xf numFmtId="0" fontId="100" fillId="0" borderId="130" xfId="569" applyFont="1" applyFill="1" applyBorder="1" applyAlignment="1">
      <alignment horizontal="left"/>
    </xf>
    <xf numFmtId="0" fontId="100" fillId="0" borderId="130" xfId="569" applyFont="1" applyFill="1" applyBorder="1"/>
    <xf numFmtId="49" fontId="36" fillId="36" borderId="0" xfId="569" applyNumberFormat="1" applyFont="1" applyFill="1" applyBorder="1" applyAlignment="1">
      <alignment horizontal="center"/>
    </xf>
    <xf numFmtId="171" fontId="43" fillId="47" borderId="130" xfId="409" applyNumberFormat="1" applyFont="1" applyFill="1" applyBorder="1" applyAlignment="1">
      <alignment horizontal="center"/>
    </xf>
    <xf numFmtId="0" fontId="38" fillId="0" borderId="0" xfId="569" applyFont="1" applyBorder="1"/>
    <xf numFmtId="0" fontId="0" fillId="0" borderId="0" xfId="0"/>
    <xf numFmtId="0" fontId="145" fillId="0" borderId="0" xfId="0" applyFont="1" applyAlignment="1">
      <alignment horizontal="left" vertical="center" wrapText="1"/>
    </xf>
    <xf numFmtId="0" fontId="142" fillId="0" borderId="130" xfId="0" applyFont="1" applyBorder="1" applyAlignment="1">
      <alignment horizontal="center" vertical="center"/>
    </xf>
    <xf numFmtId="3" fontId="83" fillId="39" borderId="130" xfId="569" applyNumberFormat="1" applyFont="1" applyFill="1" applyBorder="1" applyAlignment="1">
      <alignment horizontal="center" vertical="center"/>
    </xf>
    <xf numFmtId="0" fontId="38" fillId="39" borderId="0" xfId="569" applyFont="1" applyFill="1" applyBorder="1"/>
    <xf numFmtId="3" fontId="162" fillId="36" borderId="0" xfId="569" applyNumberFormat="1" applyFont="1" applyFill="1" applyBorder="1" applyAlignment="1">
      <alignment horizontal="right"/>
    </xf>
    <xf numFmtId="0" fontId="43" fillId="9" borderId="260" xfId="0" applyFont="1" applyFill="1" applyBorder="1" applyAlignment="1">
      <alignment horizontal="center"/>
    </xf>
    <xf numFmtId="0" fontId="43" fillId="9" borderId="81" xfId="0" applyFont="1" applyFill="1" applyBorder="1" applyAlignment="1">
      <alignment horizontal="center"/>
    </xf>
    <xf numFmtId="0" fontId="47" fillId="9" borderId="80" xfId="0" applyFont="1" applyFill="1" applyBorder="1" applyAlignment="1">
      <alignment horizontal="center"/>
    </xf>
    <xf numFmtId="3" fontId="54" fillId="7" borderId="87" xfId="0" applyNumberFormat="1" applyFont="1" applyFill="1" applyBorder="1" applyAlignment="1"/>
    <xf numFmtId="3" fontId="54" fillId="7" borderId="204" xfId="0" applyNumberFormat="1" applyFont="1" applyFill="1" applyBorder="1" applyAlignment="1"/>
    <xf numFmtId="3" fontId="51" fillId="7" borderId="202" xfId="0" applyNumberFormat="1" applyFont="1" applyFill="1" applyBorder="1"/>
    <xf numFmtId="3" fontId="51" fillId="27" borderId="91" xfId="0" applyNumberFormat="1" applyFont="1" applyFill="1" applyBorder="1"/>
    <xf numFmtId="3" fontId="51" fillId="29" borderId="158" xfId="0" applyNumberFormat="1" applyFont="1" applyFill="1" applyBorder="1"/>
    <xf numFmtId="3" fontId="51" fillId="29" borderId="81" xfId="0" applyNumberFormat="1" applyFont="1" applyFill="1" applyBorder="1"/>
    <xf numFmtId="3" fontId="51" fillId="10" borderId="92" xfId="0" applyNumberFormat="1" applyFont="1" applyFill="1" applyBorder="1" applyAlignment="1"/>
    <xf numFmtId="3" fontId="49" fillId="7" borderId="92" xfId="0" applyNumberFormat="1" applyFont="1" applyFill="1" applyBorder="1"/>
    <xf numFmtId="3" fontId="49" fillId="15" borderId="89" xfId="0" applyNumberFormat="1" applyFont="1" applyFill="1" applyBorder="1"/>
    <xf numFmtId="3" fontId="43" fillId="0" borderId="92" xfId="0" applyNumberFormat="1" applyFont="1" applyFill="1" applyBorder="1"/>
    <xf numFmtId="3" fontId="43" fillId="0" borderId="89" xfId="0" applyNumberFormat="1" applyFont="1" applyFill="1" applyBorder="1"/>
    <xf numFmtId="3" fontId="49" fillId="15" borderId="89" xfId="0" applyNumberFormat="1" applyFont="1" applyFill="1" applyBorder="1" applyAlignment="1">
      <alignment horizontal="right"/>
    </xf>
    <xf numFmtId="3" fontId="43" fillId="0" borderId="92" xfId="0" applyNumberFormat="1" applyFont="1" applyFill="1" applyBorder="1" applyAlignment="1"/>
    <xf numFmtId="3" fontId="43" fillId="0" borderId="89" xfId="0" applyNumberFormat="1" applyFont="1" applyFill="1" applyBorder="1" applyAlignment="1"/>
    <xf numFmtId="3" fontId="49" fillId="27" borderId="92" xfId="0" applyNumberFormat="1" applyFont="1" applyFill="1" applyBorder="1" applyAlignment="1">
      <alignment horizontal="right"/>
    </xf>
    <xf numFmtId="3" fontId="43" fillId="0" borderId="89" xfId="0" applyNumberFormat="1" applyFont="1" applyFill="1" applyBorder="1" applyAlignment="1">
      <alignment horizontal="right"/>
    </xf>
    <xf numFmtId="3" fontId="49" fillId="3" borderId="92" xfId="0" applyNumberFormat="1" applyFont="1" applyFill="1" applyBorder="1" applyAlignment="1">
      <alignment horizontal="right"/>
    </xf>
    <xf numFmtId="3" fontId="43" fillId="0" borderId="92" xfId="0" applyNumberFormat="1" applyFont="1" applyFill="1" applyBorder="1" applyAlignment="1">
      <alignment horizontal="right"/>
    </xf>
    <xf numFmtId="3" fontId="43" fillId="3" borderId="92" xfId="0" applyNumberFormat="1" applyFont="1" applyFill="1" applyBorder="1" applyAlignment="1">
      <alignment horizontal="right"/>
    </xf>
    <xf numFmtId="3" fontId="43" fillId="7" borderId="92" xfId="0" applyNumberFormat="1" applyFont="1" applyFill="1" applyBorder="1" applyAlignment="1">
      <alignment horizontal="right"/>
    </xf>
    <xf numFmtId="3" fontId="43" fillId="53" borderId="92" xfId="0" applyNumberFormat="1" applyFont="1" applyFill="1" applyBorder="1" applyAlignment="1">
      <alignment horizontal="right"/>
    </xf>
    <xf numFmtId="3" fontId="43" fillId="53" borderId="81" xfId="0" applyNumberFormat="1" applyFont="1" applyFill="1" applyBorder="1" applyAlignment="1">
      <alignment horizontal="right"/>
    </xf>
    <xf numFmtId="3" fontId="43" fillId="50" borderId="207" xfId="0" applyNumberFormat="1" applyFont="1" applyFill="1" applyBorder="1" applyAlignment="1">
      <alignment horizontal="right"/>
    </xf>
    <xf numFmtId="3" fontId="43" fillId="50" borderId="194" xfId="0" applyNumberFormat="1" applyFont="1" applyFill="1" applyBorder="1" applyAlignment="1">
      <alignment horizontal="right"/>
    </xf>
    <xf numFmtId="3" fontId="43" fillId="39" borderId="207" xfId="0" applyNumberFormat="1" applyFont="1" applyFill="1" applyBorder="1" applyAlignment="1">
      <alignment horizontal="right"/>
    </xf>
    <xf numFmtId="3" fontId="43" fillId="39" borderId="194" xfId="0" applyNumberFormat="1" applyFont="1" applyFill="1" applyBorder="1" applyAlignment="1">
      <alignment horizontal="right"/>
    </xf>
    <xf numFmtId="3" fontId="43" fillId="0" borderId="207" xfId="0" applyNumberFormat="1" applyFont="1" applyFill="1" applyBorder="1" applyAlignment="1">
      <alignment horizontal="right"/>
    </xf>
    <xf numFmtId="3" fontId="43" fillId="0" borderId="91" xfId="0" applyNumberFormat="1" applyFont="1" applyFill="1" applyBorder="1" applyAlignment="1">
      <alignment horizontal="right"/>
    </xf>
    <xf numFmtId="0" fontId="52" fillId="0" borderId="181" xfId="0" applyFont="1" applyFill="1" applyBorder="1" applyAlignment="1"/>
    <xf numFmtId="49" fontId="53" fillId="15" borderId="161" xfId="0" applyNumberFormat="1" applyFont="1" applyFill="1" applyBorder="1" applyAlignment="1">
      <alignment horizontal="right"/>
    </xf>
    <xf numFmtId="49" fontId="55" fillId="0" borderId="161" xfId="0" applyNumberFormat="1" applyFont="1" applyFill="1" applyBorder="1" applyAlignment="1">
      <alignment horizontal="right"/>
    </xf>
    <xf numFmtId="49" fontId="43" fillId="0" borderId="30" xfId="0" applyNumberFormat="1" applyFont="1" applyFill="1" applyBorder="1" applyAlignment="1">
      <alignment horizontal="center"/>
    </xf>
    <xf numFmtId="49" fontId="43" fillId="0" borderId="38" xfId="0" applyNumberFormat="1" applyFont="1" applyFill="1" applyBorder="1" applyAlignment="1">
      <alignment horizontal="center"/>
    </xf>
    <xf numFmtId="0" fontId="0" fillId="0" borderId="161" xfId="0" applyBorder="1"/>
    <xf numFmtId="167" fontId="49" fillId="27" borderId="102" xfId="0" applyNumberFormat="1" applyFont="1" applyFill="1" applyBorder="1" applyAlignment="1">
      <alignment horizontal="right"/>
    </xf>
    <xf numFmtId="3" fontId="49" fillId="27" borderId="213" xfId="0" applyNumberFormat="1" applyFont="1" applyFill="1" applyBorder="1" applyAlignment="1">
      <alignment horizontal="right"/>
    </xf>
    <xf numFmtId="3" fontId="49" fillId="27" borderId="101" xfId="0" applyNumberFormat="1" applyFont="1" applyFill="1" applyBorder="1" applyAlignment="1">
      <alignment horizontal="right"/>
    </xf>
    <xf numFmtId="0" fontId="0" fillId="0" borderId="93" xfId="0" applyBorder="1"/>
    <xf numFmtId="0" fontId="55" fillId="0" borderId="227" xfId="0" applyFont="1" applyBorder="1"/>
    <xf numFmtId="0" fontId="43" fillId="0" borderId="185" xfId="0" applyFont="1" applyBorder="1"/>
    <xf numFmtId="0" fontId="0" fillId="0" borderId="184" xfId="0" applyBorder="1"/>
    <xf numFmtId="0" fontId="0" fillId="0" borderId="177" xfId="0" applyBorder="1"/>
    <xf numFmtId="0" fontId="0" fillId="0" borderId="153" xfId="0" applyBorder="1"/>
    <xf numFmtId="3" fontId="43" fillId="0" borderId="153" xfId="0" applyNumberFormat="1" applyFont="1" applyBorder="1"/>
    <xf numFmtId="4" fontId="43" fillId="0" borderId="153" xfId="0" applyNumberFormat="1" applyFont="1" applyBorder="1"/>
    <xf numFmtId="3" fontId="97" fillId="39" borderId="186" xfId="0" applyNumberFormat="1" applyFont="1" applyFill="1" applyBorder="1"/>
    <xf numFmtId="3" fontId="36" fillId="39" borderId="130" xfId="569" applyNumberFormat="1" applyFont="1" applyFill="1" applyBorder="1" applyAlignment="1">
      <alignment horizontal="center"/>
    </xf>
    <xf numFmtId="49" fontId="142" fillId="0" borderId="130" xfId="0" applyNumberFormat="1" applyFont="1" applyBorder="1" applyAlignment="1">
      <alignment horizontal="center"/>
    </xf>
    <xf numFmtId="0" fontId="142" fillId="0" borderId="130" xfId="0" applyFont="1" applyBorder="1" applyAlignment="1">
      <alignment horizontal="left"/>
    </xf>
    <xf numFmtId="14" fontId="142" fillId="0" borderId="130" xfId="0" applyNumberFormat="1" applyFont="1" applyBorder="1" applyAlignment="1">
      <alignment horizontal="center"/>
    </xf>
    <xf numFmtId="0" fontId="142" fillId="0" borderId="130" xfId="0" applyFont="1" applyBorder="1" applyAlignment="1">
      <alignment horizontal="center"/>
    </xf>
    <xf numFmtId="0" fontId="153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/>
    </xf>
    <xf numFmtId="0" fontId="155" fillId="0" borderId="0" xfId="0" applyFont="1" applyAlignment="1">
      <alignment horizontal="left" wrapText="1"/>
    </xf>
    <xf numFmtId="0" fontId="155" fillId="0" borderId="0" xfId="0" applyFont="1" applyAlignment="1">
      <alignment horizontal="left" vertical="center" wrapText="1"/>
    </xf>
    <xf numFmtId="0" fontId="157" fillId="0" borderId="0" xfId="0" applyFont="1" applyAlignment="1">
      <alignment horizontal="left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0" xfId="0" applyFont="1" applyAlignment="1">
      <alignment horizontal="center" vertical="center"/>
    </xf>
    <xf numFmtId="0" fontId="143" fillId="0" borderId="0" xfId="0" applyFont="1" applyAlignment="1">
      <alignment horizontal="left" vertical="center"/>
    </xf>
    <xf numFmtId="0" fontId="97" fillId="0" borderId="79" xfId="0" applyFont="1" applyBorder="1" applyAlignment="1">
      <alignment horizontal="left" wrapText="1"/>
    </xf>
    <xf numFmtId="0" fontId="97" fillId="0" borderId="103" xfId="0" applyFont="1" applyBorder="1" applyAlignment="1">
      <alignment horizontal="left" wrapText="1"/>
    </xf>
    <xf numFmtId="0" fontId="24" fillId="0" borderId="0" xfId="0" applyFont="1" applyBorder="1" applyAlignment="1">
      <alignment horizontal="center"/>
    </xf>
    <xf numFmtId="0" fontId="29" fillId="62" borderId="91" xfId="0" applyFont="1" applyFill="1" applyBorder="1" applyAlignment="1">
      <alignment horizontal="left"/>
    </xf>
    <xf numFmtId="0" fontId="29" fillId="62" borderId="79" xfId="0" applyFont="1" applyFill="1" applyBorder="1" applyAlignment="1">
      <alignment horizontal="left"/>
    </xf>
    <xf numFmtId="0" fontId="29" fillId="62" borderId="103" xfId="0" applyFont="1" applyFill="1" applyBorder="1" applyAlignment="1">
      <alignment horizontal="left"/>
    </xf>
    <xf numFmtId="0" fontId="29" fillId="62" borderId="177" xfId="0" applyFont="1" applyFill="1" applyBorder="1" applyAlignment="1">
      <alignment horizontal="left"/>
    </xf>
    <xf numFmtId="0" fontId="29" fillId="62" borderId="146" xfId="0" applyFont="1" applyFill="1" applyBorder="1" applyAlignment="1">
      <alignment horizontal="left"/>
    </xf>
    <xf numFmtId="0" fontId="29" fillId="62" borderId="185" xfId="0" applyFont="1" applyFill="1" applyBorder="1" applyAlignment="1">
      <alignment horizontal="left"/>
    </xf>
    <xf numFmtId="0" fontId="96" fillId="61" borderId="158" xfId="0" applyFont="1" applyFill="1" applyBorder="1" applyAlignment="1">
      <alignment horizontal="left"/>
    </xf>
    <xf numFmtId="0" fontId="96" fillId="61" borderId="93" xfId="0" applyFont="1" applyFill="1" applyBorder="1" applyAlignment="1">
      <alignment horizontal="left"/>
    </xf>
    <xf numFmtId="0" fontId="96" fillId="61" borderId="229" xfId="0" applyFont="1" applyFill="1" applyBorder="1" applyAlignment="1">
      <alignment horizontal="left"/>
    </xf>
    <xf numFmtId="0" fontId="97" fillId="0" borderId="92" xfId="0" applyFont="1" applyBorder="1" applyAlignment="1">
      <alignment horizontal="left" vertical="top" wrapText="1"/>
    </xf>
    <xf numFmtId="0" fontId="97" fillId="0" borderId="0" xfId="0" applyFont="1" applyBorder="1" applyAlignment="1">
      <alignment horizontal="left" vertical="top" wrapText="1"/>
    </xf>
    <xf numFmtId="0" fontId="97" fillId="0" borderId="15" xfId="0" applyFont="1" applyBorder="1" applyAlignment="1">
      <alignment horizontal="left" wrapText="1"/>
    </xf>
    <xf numFmtId="0" fontId="97" fillId="0" borderId="30" xfId="0" applyFont="1" applyBorder="1" applyAlignment="1">
      <alignment horizontal="left" wrapText="1"/>
    </xf>
    <xf numFmtId="49" fontId="25" fillId="4" borderId="0" xfId="0" applyNumberFormat="1" applyFont="1" applyFill="1" applyBorder="1" applyAlignment="1">
      <alignment horizontal="left"/>
    </xf>
    <xf numFmtId="0" fontId="25" fillId="62" borderId="86" xfId="0" applyFont="1" applyFill="1" applyBorder="1" applyAlignment="1">
      <alignment horizontal="left"/>
    </xf>
    <xf numFmtId="0" fontId="25" fillId="62" borderId="79" xfId="0" applyFont="1" applyFill="1" applyBorder="1" applyAlignment="1">
      <alignment horizontal="left"/>
    </xf>
    <xf numFmtId="0" fontId="25" fillId="62" borderId="103" xfId="0" applyFont="1" applyFill="1" applyBorder="1" applyAlignment="1">
      <alignment horizontal="left"/>
    </xf>
    <xf numFmtId="0" fontId="25" fillId="60" borderId="130" xfId="0" applyFont="1" applyFill="1" applyBorder="1" applyAlignment="1">
      <alignment horizontal="left"/>
    </xf>
    <xf numFmtId="0" fontId="97" fillId="0" borderId="91" xfId="0" applyFont="1" applyBorder="1" applyAlignment="1">
      <alignment horizontal="justify" vertical="top"/>
    </xf>
    <xf numFmtId="0" fontId="97" fillId="0" borderId="79" xfId="0" applyFont="1" applyBorder="1" applyAlignment="1">
      <alignment horizontal="justify" vertical="top"/>
    </xf>
    <xf numFmtId="0" fontId="97" fillId="0" borderId="103" xfId="0" applyFont="1" applyBorder="1" applyAlignment="1">
      <alignment horizontal="justify" vertical="top"/>
    </xf>
    <xf numFmtId="0" fontId="97" fillId="0" borderId="226" xfId="0" applyFont="1" applyBorder="1" applyAlignment="1">
      <alignment horizontal="justify" vertical="top"/>
    </xf>
    <xf numFmtId="0" fontId="97" fillId="0" borderId="21" xfId="0" applyFont="1" applyBorder="1" applyAlignment="1">
      <alignment horizontal="justify" vertical="top"/>
    </xf>
    <xf numFmtId="49" fontId="29" fillId="15" borderId="79" xfId="0" applyNumberFormat="1" applyFont="1" applyFill="1" applyBorder="1" applyAlignment="1">
      <alignment horizontal="left"/>
    </xf>
    <xf numFmtId="0" fontId="97" fillId="0" borderId="92" xfId="0" applyFont="1" applyBorder="1" applyAlignment="1">
      <alignment horizontal="justify" vertical="top"/>
    </xf>
    <xf numFmtId="0" fontId="97" fillId="0" borderId="51" xfId="0" applyFont="1" applyBorder="1" applyAlignment="1">
      <alignment horizontal="justify" vertical="top"/>
    </xf>
    <xf numFmtId="0" fontId="97" fillId="0" borderId="91" xfId="0" applyFont="1" applyBorder="1" applyAlignment="1">
      <alignment horizontal="left" wrapText="1"/>
    </xf>
    <xf numFmtId="0" fontId="97" fillId="0" borderId="75" xfId="0" applyFont="1" applyBorder="1" applyAlignment="1">
      <alignment horizontal="left" wrapText="1"/>
    </xf>
    <xf numFmtId="0" fontId="97" fillId="0" borderId="158" xfId="0" applyFont="1" applyFill="1" applyBorder="1" applyAlignment="1">
      <alignment horizontal="justify" vertical="top"/>
    </xf>
    <xf numFmtId="0" fontId="97" fillId="0" borderId="179" xfId="0" applyFont="1" applyFill="1" applyBorder="1" applyAlignment="1">
      <alignment horizontal="justify" vertical="top"/>
    </xf>
    <xf numFmtId="0" fontId="97" fillId="0" borderId="237" xfId="0" applyFont="1" applyBorder="1" applyAlignment="1">
      <alignment horizontal="justify" vertical="top"/>
    </xf>
    <xf numFmtId="0" fontId="97" fillId="0" borderId="173" xfId="0" applyFont="1" applyBorder="1" applyAlignment="1">
      <alignment horizontal="justify" vertical="top"/>
    </xf>
    <xf numFmtId="0" fontId="97" fillId="0" borderId="158" xfId="0" applyFont="1" applyBorder="1" applyAlignment="1">
      <alignment horizontal="justify" vertical="top"/>
    </xf>
    <xf numFmtId="0" fontId="97" fillId="0" borderId="179" xfId="0" applyFont="1" applyBorder="1" applyAlignment="1">
      <alignment horizontal="justify" vertical="top"/>
    </xf>
    <xf numFmtId="0" fontId="25" fillId="60" borderId="86" xfId="0" applyFont="1" applyFill="1" applyBorder="1" applyAlignment="1">
      <alignment horizontal="left"/>
    </xf>
    <xf numFmtId="0" fontId="25" fillId="60" borderId="79" xfId="0" applyFont="1" applyFill="1" applyBorder="1" applyAlignment="1">
      <alignment horizontal="left"/>
    </xf>
    <xf numFmtId="0" fontId="25" fillId="60" borderId="103" xfId="0" applyFont="1" applyFill="1" applyBorder="1" applyAlignment="1">
      <alignment horizontal="left"/>
    </xf>
    <xf numFmtId="0" fontId="97" fillId="0" borderId="91" xfId="0" applyFont="1" applyBorder="1" applyAlignment="1">
      <alignment horizontal="left" vertical="top" wrapText="1"/>
    </xf>
    <xf numFmtId="0" fontId="97" fillId="0" borderId="79" xfId="0" applyFont="1" applyBorder="1" applyAlignment="1">
      <alignment horizontal="left" vertical="top" wrapText="1"/>
    </xf>
    <xf numFmtId="0" fontId="97" fillId="0" borderId="236" xfId="0" applyFont="1" applyBorder="1" applyAlignment="1">
      <alignment horizontal="left" vertical="top" wrapText="1"/>
    </xf>
    <xf numFmtId="0" fontId="97" fillId="0" borderId="202" xfId="0" applyFont="1" applyBorder="1" applyAlignment="1">
      <alignment horizontal="left" wrapText="1"/>
    </xf>
    <xf numFmtId="0" fontId="97" fillId="0" borderId="233" xfId="0" applyFont="1" applyBorder="1" applyAlignment="1">
      <alignment horizontal="left" wrapText="1"/>
    </xf>
    <xf numFmtId="0" fontId="97" fillId="0" borderId="202" xfId="0" applyFont="1" applyBorder="1" applyAlignment="1">
      <alignment horizontal="left"/>
    </xf>
    <xf numFmtId="0" fontId="97" fillId="0" borderId="233" xfId="0" applyFont="1" applyBorder="1" applyAlignment="1">
      <alignment horizontal="left"/>
    </xf>
    <xf numFmtId="0" fontId="29" fillId="15" borderId="79" xfId="0" applyFont="1" applyFill="1" applyBorder="1" applyAlignment="1">
      <alignment horizontal="left"/>
    </xf>
    <xf numFmtId="0" fontId="97" fillId="0" borderId="110" xfId="0" applyFont="1" applyBorder="1" applyAlignment="1">
      <alignment horizontal="left" wrapText="1"/>
    </xf>
    <xf numFmtId="0" fontId="97" fillId="0" borderId="75" xfId="0" applyFont="1" applyBorder="1" applyAlignment="1">
      <alignment horizontal="justify" vertical="top"/>
    </xf>
    <xf numFmtId="0" fontId="97" fillId="0" borderId="91" xfId="0" applyFont="1" applyBorder="1" applyAlignment="1">
      <alignment horizontal="left"/>
    </xf>
    <xf numFmtId="0" fontId="97" fillId="0" borderId="75" xfId="0" applyFont="1" applyBorder="1" applyAlignment="1">
      <alignment horizontal="left"/>
    </xf>
    <xf numFmtId="0" fontId="25" fillId="60" borderId="234" xfId="0" applyFont="1" applyFill="1" applyBorder="1" applyAlignment="1">
      <alignment horizontal="left"/>
    </xf>
    <xf numFmtId="0" fontId="25" fillId="60" borderId="235" xfId="0" applyFont="1" applyFill="1" applyBorder="1" applyAlignment="1">
      <alignment horizontal="left"/>
    </xf>
    <xf numFmtId="0" fontId="97" fillId="0" borderId="15" xfId="0" applyFont="1" applyBorder="1" applyAlignment="1">
      <alignment horizontal="left"/>
    </xf>
    <xf numFmtId="0" fontId="97" fillId="0" borderId="30" xfId="0" applyFont="1" applyBorder="1" applyAlignment="1">
      <alignment horizontal="left"/>
    </xf>
    <xf numFmtId="0" fontId="25" fillId="60" borderId="196" xfId="0" applyFont="1" applyFill="1" applyBorder="1" applyAlignment="1">
      <alignment horizontal="left"/>
    </xf>
    <xf numFmtId="0" fontId="25" fillId="60" borderId="112" xfId="0" applyFont="1" applyFill="1" applyBorder="1" applyAlignment="1">
      <alignment horizontal="left"/>
    </xf>
    <xf numFmtId="0" fontId="25" fillId="60" borderId="113" xfId="0" applyFont="1" applyFill="1" applyBorder="1" applyAlignment="1">
      <alignment horizontal="left"/>
    </xf>
    <xf numFmtId="0" fontId="27" fillId="0" borderId="79" xfId="0" applyFont="1" applyBorder="1" applyAlignment="1">
      <alignment horizontal="left"/>
    </xf>
    <xf numFmtId="49" fontId="98" fillId="50" borderId="177" xfId="0" applyNumberFormat="1" applyFont="1" applyFill="1" applyBorder="1" applyAlignment="1">
      <alignment horizontal="left"/>
    </xf>
    <xf numFmtId="49" fontId="98" fillId="50" borderId="146" xfId="0" applyNumberFormat="1" applyFont="1" applyFill="1" applyBorder="1" applyAlignment="1">
      <alignment horizontal="left"/>
    </xf>
    <xf numFmtId="49" fontId="98" fillId="50" borderId="185" xfId="0" applyNumberFormat="1" applyFont="1" applyFill="1" applyBorder="1" applyAlignment="1">
      <alignment horizontal="left"/>
    </xf>
    <xf numFmtId="0" fontId="25" fillId="62" borderId="196" xfId="0" applyFont="1" applyFill="1" applyBorder="1" applyAlignment="1">
      <alignment horizontal="left"/>
    </xf>
    <xf numFmtId="0" fontId="25" fillId="62" borderId="112" xfId="0" applyFont="1" applyFill="1" applyBorder="1" applyAlignment="1">
      <alignment horizontal="left"/>
    </xf>
    <xf numFmtId="0" fontId="96" fillId="0" borderId="0" xfId="0" applyFont="1" applyFill="1" applyBorder="1" applyAlignment="1">
      <alignment horizontal="left"/>
    </xf>
    <xf numFmtId="3" fontId="98" fillId="0" borderId="0" xfId="0" applyNumberFormat="1" applyFont="1" applyFill="1" applyBorder="1" applyAlignment="1">
      <alignment horizontal="right"/>
    </xf>
    <xf numFmtId="49" fontId="25" fillId="50" borderId="0" xfId="0" applyNumberFormat="1" applyFont="1" applyFill="1" applyBorder="1" applyAlignment="1">
      <alignment horizontal="left"/>
    </xf>
    <xf numFmtId="49" fontId="97" fillId="0" borderId="91" xfId="0" applyNumberFormat="1" applyFont="1" applyBorder="1" applyAlignment="1">
      <alignment horizontal="left"/>
    </xf>
    <xf numFmtId="49" fontId="97" fillId="0" borderId="79" xfId="0" applyNumberFormat="1" applyFont="1" applyBorder="1" applyAlignment="1">
      <alignment horizontal="left"/>
    </xf>
    <xf numFmtId="49" fontId="97" fillId="0" borderId="103" xfId="0" applyNumberFormat="1" applyFont="1" applyBorder="1" applyAlignment="1">
      <alignment horizontal="left"/>
    </xf>
    <xf numFmtId="0" fontId="25" fillId="0" borderId="199" xfId="0" applyFont="1" applyBorder="1" applyAlignment="1">
      <alignment horizontal="center"/>
    </xf>
    <xf numFmtId="0" fontId="25" fillId="0" borderId="109" xfId="0" applyFont="1" applyBorder="1" applyAlignment="1">
      <alignment horizontal="center"/>
    </xf>
    <xf numFmtId="0" fontId="25" fillId="0" borderId="203" xfId="0" applyFont="1" applyBorder="1" applyAlignment="1">
      <alignment horizontal="center"/>
    </xf>
    <xf numFmtId="0" fontId="29" fillId="50" borderId="91" xfId="0" applyFont="1" applyFill="1" applyBorder="1" applyAlignment="1">
      <alignment horizontal="left"/>
    </xf>
    <xf numFmtId="0" fontId="29" fillId="50" borderId="79" xfId="0" applyFont="1" applyFill="1" applyBorder="1" applyAlignment="1">
      <alignment horizontal="left"/>
    </xf>
    <xf numFmtId="0" fontId="29" fillId="50" borderId="103" xfId="0" applyFont="1" applyFill="1" applyBorder="1" applyAlignment="1">
      <alignment horizontal="left"/>
    </xf>
    <xf numFmtId="0" fontId="34" fillId="4" borderId="130" xfId="569" applyFont="1" applyFill="1" applyBorder="1" applyAlignment="1">
      <alignment horizontal="left"/>
    </xf>
    <xf numFmtId="0" fontId="32" fillId="0" borderId="0" xfId="569" applyFont="1" applyBorder="1" applyAlignment="1">
      <alignment horizontal="center"/>
    </xf>
    <xf numFmtId="0" fontId="79" fillId="4" borderId="130" xfId="569" applyFont="1" applyFill="1" applyBorder="1" applyAlignment="1">
      <alignment horizontal="left"/>
    </xf>
    <xf numFmtId="2" fontId="31" fillId="4" borderId="0" xfId="569" applyNumberFormat="1" applyFont="1" applyFill="1" applyBorder="1" applyAlignment="1">
      <alignment horizontal="center"/>
    </xf>
    <xf numFmtId="0" fontId="32" fillId="6" borderId="0" xfId="569" applyFont="1" applyFill="1" applyBorder="1" applyAlignment="1">
      <alignment horizontal="center"/>
    </xf>
    <xf numFmtId="3" fontId="31" fillId="4" borderId="0" xfId="569" applyNumberFormat="1" applyFont="1" applyFill="1" applyBorder="1" applyAlignment="1">
      <alignment horizontal="center"/>
    </xf>
    <xf numFmtId="0" fontId="0" fillId="0" borderId="0" xfId="0"/>
    <xf numFmtId="0" fontId="42" fillId="4" borderId="0" xfId="569" applyFont="1" applyFill="1" applyBorder="1" applyAlignment="1">
      <alignment horizontal="center"/>
    </xf>
    <xf numFmtId="0" fontId="85" fillId="39" borderId="130" xfId="569" applyFont="1" applyFill="1" applyBorder="1" applyAlignment="1">
      <alignment horizontal="left"/>
    </xf>
    <xf numFmtId="0" fontId="0" fillId="9" borderId="25" xfId="0" applyFont="1" applyFill="1" applyBorder="1" applyAlignment="1">
      <alignment horizontal="center" vertical="center"/>
    </xf>
    <xf numFmtId="0" fontId="0" fillId="9" borderId="44" xfId="0" applyFont="1" applyFill="1" applyBorder="1" applyAlignment="1">
      <alignment horizontal="center" vertical="center"/>
    </xf>
    <xf numFmtId="0" fontId="43" fillId="9" borderId="198" xfId="0" applyFont="1" applyFill="1" applyBorder="1" applyAlignment="1">
      <alignment horizontal="center" vertical="center"/>
    </xf>
    <xf numFmtId="0" fontId="142" fillId="0" borderId="130" xfId="0" applyFont="1" applyBorder="1" applyAlignment="1">
      <alignment horizontal="left" wrapText="1"/>
    </xf>
    <xf numFmtId="0" fontId="144" fillId="63" borderId="130" xfId="0" applyFont="1" applyFill="1" applyBorder="1" applyAlignment="1">
      <alignment horizontal="left"/>
    </xf>
    <xf numFmtId="0" fontId="144" fillId="0" borderId="0" xfId="0" applyFont="1" applyAlignment="1">
      <alignment horizontal="left" wrapText="1"/>
    </xf>
    <xf numFmtId="0" fontId="145" fillId="0" borderId="0" xfId="0" applyFont="1" applyAlignment="1">
      <alignment horizontal="left" vertical="center" wrapText="1"/>
    </xf>
    <xf numFmtId="0" fontId="145" fillId="0" borderId="0" xfId="0" applyFont="1" applyAlignment="1">
      <alignment horizontal="left" wrapText="1"/>
    </xf>
    <xf numFmtId="0" fontId="148" fillId="59" borderId="130" xfId="0" applyFont="1" applyFill="1" applyBorder="1" applyAlignment="1">
      <alignment horizontal="center" vertical="center"/>
    </xf>
    <xf numFmtId="0" fontId="142" fillId="0" borderId="130" xfId="0" applyFont="1" applyBorder="1" applyAlignment="1">
      <alignment horizontal="left" vertical="center" wrapText="1"/>
    </xf>
    <xf numFmtId="0" fontId="142" fillId="0" borderId="130" xfId="0" applyFont="1" applyBorder="1" applyAlignment="1">
      <alignment horizontal="center" wrapText="1"/>
    </xf>
    <xf numFmtId="0" fontId="142" fillId="0" borderId="86" xfId="0" applyFont="1" applyBorder="1" applyAlignment="1">
      <alignment horizontal="left" wrapText="1"/>
    </xf>
    <xf numFmtId="0" fontId="142" fillId="0" borderId="79" xfId="0" applyFont="1" applyBorder="1" applyAlignment="1">
      <alignment horizontal="left" wrapText="1"/>
    </xf>
    <xf numFmtId="0" fontId="142" fillId="0" borderId="103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44" fillId="64" borderId="130" xfId="0" applyFont="1" applyFill="1" applyBorder="1" applyAlignment="1">
      <alignment horizontal="left"/>
    </xf>
    <xf numFmtId="0" fontId="144" fillId="0" borderId="130" xfId="0" applyFont="1" applyBorder="1" applyAlignment="1">
      <alignment horizontal="left"/>
    </xf>
    <xf numFmtId="0" fontId="145" fillId="0" borderId="130" xfId="0" applyFont="1" applyBorder="1" applyAlignment="1">
      <alignment horizontal="left" wrapText="1"/>
    </xf>
    <xf numFmtId="0" fontId="142" fillId="0" borderId="130" xfId="0" applyFont="1" applyBorder="1" applyAlignment="1">
      <alignment horizontal="center" vertical="center" wrapText="1"/>
    </xf>
    <xf numFmtId="0" fontId="142" fillId="0" borderId="102" xfId="0" applyFont="1" applyBorder="1" applyAlignment="1">
      <alignment horizontal="center" vertical="center" wrapText="1"/>
    </xf>
    <xf numFmtId="0" fontId="142" fillId="0" borderId="100" xfId="0" applyFont="1" applyBorder="1" applyAlignment="1">
      <alignment horizontal="center" vertical="center" wrapText="1"/>
    </xf>
    <xf numFmtId="0" fontId="142" fillId="0" borderId="107" xfId="0" applyFont="1" applyBorder="1" applyAlignment="1">
      <alignment horizontal="center" vertical="center" wrapText="1"/>
    </xf>
    <xf numFmtId="0" fontId="142" fillId="0" borderId="132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42" fillId="0" borderId="176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wrapText="1"/>
    </xf>
    <xf numFmtId="0" fontId="0" fillId="0" borderId="131" xfId="0" applyBorder="1" applyAlignment="1">
      <alignment horizontal="center" wrapText="1"/>
    </xf>
    <xf numFmtId="0" fontId="0" fillId="0" borderId="105" xfId="0" applyBorder="1" applyAlignment="1">
      <alignment horizontal="center" wrapText="1"/>
    </xf>
    <xf numFmtId="0" fontId="144" fillId="0" borderId="0" xfId="0" applyFont="1" applyAlignment="1">
      <alignment horizontal="left" vertical="center" wrapText="1"/>
    </xf>
    <xf numFmtId="0" fontId="144" fillId="0" borderId="0" xfId="0" applyFont="1" applyAlignment="1">
      <alignment horizontal="left" vertical="center"/>
    </xf>
    <xf numFmtId="0" fontId="146" fillId="50" borderId="130" xfId="0" applyFont="1" applyFill="1" applyBorder="1" applyAlignment="1">
      <alignment horizontal="left" vertical="center" wrapText="1"/>
    </xf>
    <xf numFmtId="0" fontId="43" fillId="9" borderId="241" xfId="0" applyFont="1" applyFill="1" applyBorder="1" applyAlignment="1">
      <alignment horizontal="center" vertical="center"/>
    </xf>
    <xf numFmtId="49" fontId="52" fillId="10" borderId="51" xfId="0" applyNumberFormat="1" applyFont="1" applyFill="1" applyBorder="1" applyAlignment="1">
      <alignment horizontal="left"/>
    </xf>
    <xf numFmtId="0" fontId="49" fillId="27" borderId="247" xfId="0" applyFont="1" applyFill="1" applyBorder="1" applyAlignment="1">
      <alignment horizontal="left"/>
    </xf>
    <xf numFmtId="0" fontId="49" fillId="27" borderId="121" xfId="0" applyFont="1" applyFill="1" applyBorder="1" applyAlignment="1">
      <alignment horizontal="left"/>
    </xf>
    <xf numFmtId="0" fontId="49" fillId="27" borderId="134" xfId="0" applyFont="1" applyFill="1" applyBorder="1" applyAlignment="1">
      <alignment horizontal="left"/>
    </xf>
    <xf numFmtId="0" fontId="43" fillId="8" borderId="86" xfId="0" applyFont="1" applyFill="1" applyBorder="1" applyAlignment="1">
      <alignment horizontal="left"/>
    </xf>
    <xf numFmtId="0" fontId="43" fillId="8" borderId="174" xfId="0" applyFont="1" applyFill="1" applyBorder="1" applyAlignment="1">
      <alignment horizontal="left"/>
    </xf>
    <xf numFmtId="0" fontId="149" fillId="0" borderId="130" xfId="0" applyFont="1" applyBorder="1" applyAlignment="1">
      <alignment horizontal="left" vertical="center" wrapText="1"/>
    </xf>
    <xf numFmtId="0" fontId="142" fillId="0" borderId="130" xfId="0" applyFont="1" applyBorder="1" applyAlignment="1">
      <alignment horizontal="center" vertical="center"/>
    </xf>
    <xf numFmtId="0" fontId="142" fillId="0" borderId="130" xfId="0" applyFont="1" applyBorder="1" applyAlignment="1">
      <alignment horizontal="left" vertical="center"/>
    </xf>
    <xf numFmtId="0" fontId="0" fillId="0" borderId="130" xfId="0" applyBorder="1" applyAlignment="1">
      <alignment horizontal="left"/>
    </xf>
    <xf numFmtId="0" fontId="0" fillId="0" borderId="130" xfId="0" applyBorder="1" applyAlignment="1">
      <alignment horizontal="left" wrapText="1"/>
    </xf>
    <xf numFmtId="0" fontId="0" fillId="0" borderId="130" xfId="0" applyFont="1" applyBorder="1" applyAlignment="1">
      <alignment horizontal="left" vertical="center" wrapText="1"/>
    </xf>
    <xf numFmtId="0" fontId="49" fillId="7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49" fillId="0" borderId="130" xfId="0" applyFont="1" applyBorder="1" applyAlignment="1">
      <alignment horizontal="left" wrapText="1"/>
    </xf>
    <xf numFmtId="0" fontId="151" fillId="0" borderId="130" xfId="0" applyFont="1" applyBorder="1" applyAlignment="1">
      <alignment horizontal="left" vertical="center" wrapText="1"/>
    </xf>
    <xf numFmtId="0" fontId="51" fillId="15" borderId="48" xfId="0" applyFont="1" applyFill="1" applyBorder="1" applyAlignment="1">
      <alignment horizontal="left"/>
    </xf>
    <xf numFmtId="0" fontId="49" fillId="27" borderId="0" xfId="0" applyFont="1" applyFill="1" applyBorder="1" applyAlignment="1">
      <alignment horizontal="left"/>
    </xf>
    <xf numFmtId="0" fontId="51" fillId="15" borderId="52" xfId="0" applyFont="1" applyFill="1" applyBorder="1" applyAlignment="1">
      <alignment horizontal="left"/>
    </xf>
    <xf numFmtId="0" fontId="150" fillId="0" borderId="0" xfId="0" applyFont="1" applyAlignment="1">
      <alignment horizontal="left" vertical="center" wrapText="1"/>
    </xf>
    <xf numFmtId="0" fontId="147" fillId="0" borderId="0" xfId="0" applyFont="1" applyAlignment="1">
      <alignment horizontal="left" vertical="center" wrapText="1"/>
    </xf>
    <xf numFmtId="0" fontId="147" fillId="0" borderId="0" xfId="0" applyFont="1" applyAlignment="1">
      <alignment horizontal="left" vertical="center"/>
    </xf>
    <xf numFmtId="0" fontId="142" fillId="0" borderId="0" xfId="0" applyFont="1" applyBorder="1" applyAlignment="1">
      <alignment horizontal="left" wrapText="1"/>
    </xf>
    <xf numFmtId="0" fontId="150" fillId="0" borderId="0" xfId="0" applyFont="1" applyAlignment="1">
      <alignment horizontal="left" vertical="center"/>
    </xf>
    <xf numFmtId="0" fontId="142" fillId="0" borderId="0" xfId="0" applyFont="1" applyAlignment="1">
      <alignment horizontal="left" vertical="center" wrapText="1"/>
    </xf>
    <xf numFmtId="49" fontId="54" fillId="3" borderId="0" xfId="0" applyNumberFormat="1" applyFont="1" applyFill="1" applyBorder="1" applyAlignment="1">
      <alignment horizontal="left"/>
    </xf>
    <xf numFmtId="49" fontId="49" fillId="15" borderId="48" xfId="0" applyNumberFormat="1" applyFont="1" applyFill="1" applyBorder="1" applyAlignment="1">
      <alignment horizontal="left"/>
    </xf>
    <xf numFmtId="0" fontId="0" fillId="9" borderId="242" xfId="0" applyFont="1" applyFill="1" applyBorder="1" applyAlignment="1">
      <alignment horizontal="center" vertical="center"/>
    </xf>
    <xf numFmtId="0" fontId="0" fillId="9" borderId="243" xfId="0" applyFont="1" applyFill="1" applyBorder="1" applyAlignment="1">
      <alignment horizontal="center" vertical="center"/>
    </xf>
    <xf numFmtId="0" fontId="0" fillId="9" borderId="261" xfId="0" applyFont="1" applyFill="1" applyBorder="1" applyAlignment="1">
      <alignment horizontal="center" vertical="center"/>
    </xf>
    <xf numFmtId="49" fontId="49" fillId="7" borderId="0" xfId="0" applyNumberFormat="1" applyFont="1" applyFill="1" applyBorder="1" applyAlignment="1">
      <alignment horizontal="left"/>
    </xf>
    <xf numFmtId="0" fontId="49" fillId="27" borderId="100" xfId="0" applyFont="1" applyFill="1" applyBorder="1" applyAlignment="1">
      <alignment horizontal="left"/>
    </xf>
    <xf numFmtId="0" fontId="49" fillId="27" borderId="107" xfId="0" applyFont="1" applyFill="1" applyBorder="1" applyAlignment="1">
      <alignment horizontal="left"/>
    </xf>
    <xf numFmtId="0" fontId="43" fillId="0" borderId="180" xfId="0" applyFont="1" applyBorder="1" applyAlignment="1">
      <alignment horizontal="left"/>
    </xf>
    <xf numFmtId="49" fontId="49" fillId="15" borderId="162" xfId="0" applyNumberFormat="1" applyFont="1" applyFill="1" applyBorder="1" applyAlignment="1">
      <alignment horizontal="left"/>
    </xf>
    <xf numFmtId="49" fontId="43" fillId="0" borderId="164" xfId="0" applyNumberFormat="1" applyFont="1" applyFill="1" applyBorder="1" applyAlignment="1">
      <alignment horizontal="left" wrapText="1"/>
    </xf>
    <xf numFmtId="49" fontId="43" fillId="0" borderId="116" xfId="0" applyNumberFormat="1" applyFont="1" applyFill="1" applyBorder="1" applyAlignment="1">
      <alignment horizontal="left" wrapText="1"/>
    </xf>
    <xf numFmtId="0" fontId="143" fillId="0" borderId="0" xfId="0" applyFont="1" applyAlignment="1">
      <alignment horizontal="left" vertical="center" wrapText="1"/>
    </xf>
    <xf numFmtId="0" fontId="142" fillId="0" borderId="86" xfId="0" applyFont="1" applyBorder="1" applyAlignment="1">
      <alignment horizontal="left" vertical="center"/>
    </xf>
    <xf numFmtId="0" fontId="142" fillId="0" borderId="79" xfId="0" applyFont="1" applyBorder="1" applyAlignment="1">
      <alignment horizontal="left" vertical="center"/>
    </xf>
    <xf numFmtId="0" fontId="142" fillId="0" borderId="103" xfId="0" applyFont="1" applyBorder="1" applyAlignment="1">
      <alignment horizontal="left" vertical="center"/>
    </xf>
    <xf numFmtId="0" fontId="145" fillId="0" borderId="130" xfId="0" applyFont="1" applyBorder="1" applyAlignment="1">
      <alignment horizontal="left"/>
    </xf>
    <xf numFmtId="0" fontId="145" fillId="0" borderId="86" xfId="0" applyFont="1" applyBorder="1" applyAlignment="1">
      <alignment horizontal="left" wrapText="1"/>
    </xf>
    <xf numFmtId="0" fontId="145" fillId="0" borderId="79" xfId="0" applyFont="1" applyBorder="1" applyAlignment="1">
      <alignment horizontal="left" wrapText="1"/>
    </xf>
    <xf numFmtId="0" fontId="145" fillId="0" borderId="103" xfId="0" applyFont="1" applyBorder="1" applyAlignment="1">
      <alignment horizontal="left" wrapText="1"/>
    </xf>
    <xf numFmtId="0" fontId="141" fillId="0" borderId="130" xfId="0" applyFont="1" applyBorder="1" applyAlignment="1">
      <alignment horizontal="left" wrapText="1"/>
    </xf>
    <xf numFmtId="0" fontId="14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3" fillId="0" borderId="130" xfId="0" applyFont="1" applyBorder="1" applyAlignment="1">
      <alignment horizontal="left" vertical="center"/>
    </xf>
    <xf numFmtId="0" fontId="0" fillId="9" borderId="244" xfId="0" applyFont="1" applyFill="1" applyBorder="1" applyAlignment="1">
      <alignment horizontal="center" vertical="center"/>
    </xf>
    <xf numFmtId="0" fontId="149" fillId="0" borderId="130" xfId="0" applyFont="1" applyBorder="1" applyAlignment="1">
      <alignment horizontal="left" vertical="center"/>
    </xf>
    <xf numFmtId="49" fontId="49" fillId="27" borderId="0" xfId="0" applyNumberFormat="1" applyFont="1" applyFill="1" applyBorder="1" applyAlignment="1">
      <alignment horizontal="left"/>
    </xf>
    <xf numFmtId="49" fontId="52" fillId="34" borderId="75" xfId="0" applyNumberFormat="1" applyFont="1" applyFill="1" applyBorder="1" applyAlignment="1">
      <alignment horizontal="left"/>
    </xf>
    <xf numFmtId="49" fontId="52" fillId="34" borderId="79" xfId="0" applyNumberFormat="1" applyFont="1" applyFill="1" applyBorder="1" applyAlignment="1">
      <alignment horizontal="left"/>
    </xf>
    <xf numFmtId="49" fontId="52" fillId="34" borderId="76" xfId="0" applyNumberFormat="1" applyFont="1" applyFill="1" applyBorder="1" applyAlignment="1">
      <alignment horizontal="left"/>
    </xf>
    <xf numFmtId="49" fontId="51" fillId="26" borderId="75" xfId="0" applyNumberFormat="1" applyFont="1" applyFill="1" applyBorder="1" applyAlignment="1">
      <alignment horizontal="left"/>
    </xf>
    <xf numFmtId="49" fontId="51" fillId="26" borderId="79" xfId="0" applyNumberFormat="1" applyFont="1" applyFill="1" applyBorder="1" applyAlignment="1">
      <alignment horizontal="left"/>
    </xf>
    <xf numFmtId="49" fontId="51" fillId="26" borderId="76" xfId="0" applyNumberFormat="1" applyFont="1" applyFill="1" applyBorder="1" applyAlignment="1">
      <alignment horizontal="left"/>
    </xf>
    <xf numFmtId="0" fontId="150" fillId="0" borderId="0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54" fillId="7" borderId="23" xfId="0" applyFont="1" applyFill="1" applyBorder="1" applyAlignment="1">
      <alignment horizontal="left"/>
    </xf>
    <xf numFmtId="0" fontId="0" fillId="3" borderId="238" xfId="0" applyFont="1" applyFill="1" applyBorder="1" applyAlignment="1">
      <alignment horizontal="center"/>
    </xf>
    <xf numFmtId="0" fontId="0" fillId="4" borderId="238" xfId="0" applyFont="1" applyFill="1" applyBorder="1" applyAlignment="1">
      <alignment horizontal="center"/>
    </xf>
    <xf numFmtId="0" fontId="0" fillId="15" borderId="239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15" borderId="238" xfId="0" applyFont="1" applyFill="1" applyBorder="1" applyAlignment="1">
      <alignment horizontal="center"/>
    </xf>
    <xf numFmtId="0" fontId="0" fillId="4" borderId="240" xfId="0" applyFont="1" applyFill="1" applyBorder="1" applyAlignment="1">
      <alignment horizontal="center"/>
    </xf>
    <xf numFmtId="0" fontId="6" fillId="10" borderId="69" xfId="0" applyFont="1" applyFill="1" applyBorder="1" applyAlignment="1">
      <alignment horizontal="center" vertical="center"/>
    </xf>
    <xf numFmtId="0" fontId="6" fillId="10" borderId="68" xfId="0" applyFont="1" applyFill="1" applyBorder="1" applyAlignment="1">
      <alignment horizontal="center" vertical="center"/>
    </xf>
    <xf numFmtId="0" fontId="6" fillId="10" borderId="197" xfId="0" applyFont="1" applyFill="1" applyBorder="1" applyAlignment="1">
      <alignment horizontal="center" vertical="center"/>
    </xf>
    <xf numFmtId="0" fontId="6" fillId="10" borderId="234" xfId="0" applyFont="1" applyFill="1" applyBorder="1" applyAlignment="1">
      <alignment horizontal="center" vertical="center"/>
    </xf>
    <xf numFmtId="0" fontId="6" fillId="10" borderId="235" xfId="0" applyFont="1" applyFill="1" applyBorder="1" applyAlignment="1">
      <alignment horizontal="center" vertical="center"/>
    </xf>
    <xf numFmtId="0" fontId="6" fillId="10" borderId="193" xfId="0" applyFont="1" applyFill="1" applyBorder="1" applyAlignment="1">
      <alignment horizontal="center" vertical="center"/>
    </xf>
    <xf numFmtId="0" fontId="31" fillId="4" borderId="0" xfId="569" applyFont="1" applyFill="1" applyBorder="1" applyAlignment="1">
      <alignment horizontal="center"/>
    </xf>
    <xf numFmtId="0" fontId="0" fillId="0" borderId="0" xfId="0" applyAlignment="1">
      <alignment horizontal="center"/>
    </xf>
    <xf numFmtId="0" fontId="85" fillId="30" borderId="130" xfId="571" applyFont="1" applyFill="1" applyBorder="1" applyAlignment="1">
      <alignment horizontal="left"/>
    </xf>
    <xf numFmtId="0" fontId="35" fillId="4" borderId="130" xfId="569" applyFont="1" applyFill="1" applyBorder="1" applyAlignment="1">
      <alignment horizontal="left"/>
    </xf>
    <xf numFmtId="0" fontId="36" fillId="0" borderId="130" xfId="569" applyFont="1" applyFill="1" applyBorder="1" applyAlignment="1">
      <alignment horizontal="center" vertical="top"/>
    </xf>
    <xf numFmtId="0" fontId="36" fillId="0" borderId="130" xfId="569" applyFont="1" applyFill="1" applyBorder="1" applyAlignment="1">
      <alignment horizontal="center"/>
    </xf>
    <xf numFmtId="0" fontId="35" fillId="0" borderId="130" xfId="569" applyFont="1" applyFill="1" applyBorder="1" applyAlignment="1">
      <alignment horizontal="center"/>
    </xf>
    <xf numFmtId="0" fontId="70" fillId="0" borderId="130" xfId="569" applyFont="1" applyFill="1" applyBorder="1" applyAlignment="1">
      <alignment horizontal="center"/>
    </xf>
    <xf numFmtId="0" fontId="73" fillId="0" borderId="130" xfId="569" applyFont="1" applyFill="1" applyBorder="1" applyAlignment="1">
      <alignment horizontal="center"/>
    </xf>
    <xf numFmtId="0" fontId="103" fillId="0" borderId="130" xfId="569" applyFont="1" applyFill="1" applyBorder="1" applyAlignment="1">
      <alignment horizontal="center"/>
    </xf>
    <xf numFmtId="49" fontId="36" fillId="0" borderId="130" xfId="569" applyNumberFormat="1" applyFont="1" applyFill="1" applyBorder="1" applyAlignment="1">
      <alignment horizontal="center"/>
    </xf>
    <xf numFmtId="49" fontId="36" fillId="0" borderId="130" xfId="569" applyNumberFormat="1" applyFont="1" applyFill="1" applyBorder="1" applyAlignment="1">
      <alignment horizontal="center" wrapText="1"/>
    </xf>
    <xf numFmtId="0" fontId="104" fillId="0" borderId="130" xfId="569" applyFont="1" applyFill="1" applyBorder="1" applyAlignment="1">
      <alignment horizontal="center"/>
    </xf>
    <xf numFmtId="49" fontId="36" fillId="0" borderId="181" xfId="569" applyNumberFormat="1" applyFont="1" applyFill="1" applyBorder="1" applyAlignment="1">
      <alignment horizontal="center" wrapText="1"/>
    </xf>
    <xf numFmtId="49" fontId="36" fillId="0" borderId="256" xfId="569" applyNumberFormat="1" applyFont="1" applyFill="1" applyBorder="1" applyAlignment="1">
      <alignment horizontal="center" wrapText="1"/>
    </xf>
    <xf numFmtId="49" fontId="36" fillId="36" borderId="0" xfId="569" applyNumberFormat="1" applyFont="1" applyFill="1" applyBorder="1" applyAlignment="1">
      <alignment horizontal="center"/>
    </xf>
    <xf numFmtId="0" fontId="38" fillId="0" borderId="130" xfId="569" applyFont="1" applyFill="1" applyBorder="1" applyAlignment="1">
      <alignment horizontal="center" vertical="top"/>
    </xf>
    <xf numFmtId="0" fontId="43" fillId="0" borderId="130" xfId="0" applyFont="1" applyBorder="1"/>
    <xf numFmtId="0" fontId="103" fillId="36" borderId="0" xfId="569" applyFont="1" applyFill="1" applyBorder="1" applyAlignment="1">
      <alignment horizontal="center"/>
    </xf>
    <xf numFmtId="0" fontId="38" fillId="0" borderId="130" xfId="569" applyFont="1" applyFill="1" applyBorder="1" applyAlignment="1">
      <alignment horizontal="center"/>
    </xf>
    <xf numFmtId="0" fontId="70" fillId="36" borderId="0" xfId="569" applyFont="1" applyFill="1" applyBorder="1" applyAlignment="1">
      <alignment horizontal="center"/>
    </xf>
    <xf numFmtId="0" fontId="73" fillId="36" borderId="0" xfId="569" applyFont="1" applyFill="1" applyBorder="1" applyAlignment="1">
      <alignment horizontal="center"/>
    </xf>
    <xf numFmtId="0" fontId="104" fillId="36" borderId="0" xfId="569" applyFont="1" applyFill="1" applyBorder="1" applyAlignment="1">
      <alignment horizontal="center"/>
    </xf>
  </cellXfs>
  <cellStyles count="66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 xr:uid="{00000000-0005-0000-0000-000006000000}"/>
    <cellStyle name="20% - Accent1 1" xfId="8" xr:uid="{00000000-0005-0000-0000-000007000000}"/>
    <cellStyle name="20% - Accent1 10" xfId="9" xr:uid="{00000000-0005-0000-0000-000008000000}"/>
    <cellStyle name="20% - Accent1 11" xfId="10" xr:uid="{00000000-0005-0000-0000-000009000000}"/>
    <cellStyle name="20% - Accent1 12" xfId="11" xr:uid="{00000000-0005-0000-0000-00000A000000}"/>
    <cellStyle name="20% - Accent1 13" xfId="12" xr:uid="{00000000-0005-0000-0000-00000B000000}"/>
    <cellStyle name="20% - Accent1 14" xfId="13" xr:uid="{00000000-0005-0000-0000-00000C000000}"/>
    <cellStyle name="20% - Accent1 2" xfId="14" xr:uid="{00000000-0005-0000-0000-00000D000000}"/>
    <cellStyle name="20% - Accent1 3" xfId="15" xr:uid="{00000000-0005-0000-0000-00000E000000}"/>
    <cellStyle name="20% - Accent1 4" xfId="16" xr:uid="{00000000-0005-0000-0000-00000F000000}"/>
    <cellStyle name="20% - Accent1 5" xfId="17" xr:uid="{00000000-0005-0000-0000-000010000000}"/>
    <cellStyle name="20% - Accent1 6" xfId="18" xr:uid="{00000000-0005-0000-0000-000011000000}"/>
    <cellStyle name="20% - Accent1 7" xfId="19" xr:uid="{00000000-0005-0000-0000-000012000000}"/>
    <cellStyle name="20% - Accent1 8" xfId="20" xr:uid="{00000000-0005-0000-0000-000013000000}"/>
    <cellStyle name="20% - Accent1 9" xfId="21" xr:uid="{00000000-0005-0000-0000-000014000000}"/>
    <cellStyle name="20% - Accent2" xfId="22" xr:uid="{00000000-0005-0000-0000-000015000000}"/>
    <cellStyle name="20% - Accent2 1" xfId="23" xr:uid="{00000000-0005-0000-0000-000016000000}"/>
    <cellStyle name="20% - Accent2 10" xfId="24" xr:uid="{00000000-0005-0000-0000-000017000000}"/>
    <cellStyle name="20% - Accent2 11" xfId="25" xr:uid="{00000000-0005-0000-0000-000018000000}"/>
    <cellStyle name="20% - Accent2 12" xfId="26" xr:uid="{00000000-0005-0000-0000-000019000000}"/>
    <cellStyle name="20% - Accent2 13" xfId="27" xr:uid="{00000000-0005-0000-0000-00001A000000}"/>
    <cellStyle name="20% - Accent2 14" xfId="28" xr:uid="{00000000-0005-0000-0000-00001B000000}"/>
    <cellStyle name="20% - Accent2 2" xfId="29" xr:uid="{00000000-0005-0000-0000-00001C000000}"/>
    <cellStyle name="20% - Accent2 3" xfId="30" xr:uid="{00000000-0005-0000-0000-00001D000000}"/>
    <cellStyle name="20% - Accent2 4" xfId="31" xr:uid="{00000000-0005-0000-0000-00001E000000}"/>
    <cellStyle name="20% - Accent2 5" xfId="32" xr:uid="{00000000-0005-0000-0000-00001F000000}"/>
    <cellStyle name="20% - Accent2 6" xfId="33" xr:uid="{00000000-0005-0000-0000-000020000000}"/>
    <cellStyle name="20% - Accent2 7" xfId="34" xr:uid="{00000000-0005-0000-0000-000021000000}"/>
    <cellStyle name="20% - Accent2 8" xfId="35" xr:uid="{00000000-0005-0000-0000-000022000000}"/>
    <cellStyle name="20% - Accent2 9" xfId="36" xr:uid="{00000000-0005-0000-0000-000023000000}"/>
    <cellStyle name="20% - Accent3" xfId="37" xr:uid="{00000000-0005-0000-0000-000024000000}"/>
    <cellStyle name="20% - Accent3 1" xfId="38" xr:uid="{00000000-0005-0000-0000-000025000000}"/>
    <cellStyle name="20% - Accent3 10" xfId="39" xr:uid="{00000000-0005-0000-0000-000026000000}"/>
    <cellStyle name="20% - Accent3 11" xfId="40" xr:uid="{00000000-0005-0000-0000-000027000000}"/>
    <cellStyle name="20% - Accent3 12" xfId="41" xr:uid="{00000000-0005-0000-0000-000028000000}"/>
    <cellStyle name="20% - Accent3 13" xfId="42" xr:uid="{00000000-0005-0000-0000-000029000000}"/>
    <cellStyle name="20% - Accent3 14" xfId="43" xr:uid="{00000000-0005-0000-0000-00002A000000}"/>
    <cellStyle name="20% - Accent3 2" xfId="44" xr:uid="{00000000-0005-0000-0000-00002B000000}"/>
    <cellStyle name="20% - Accent3 3" xfId="45" xr:uid="{00000000-0005-0000-0000-00002C000000}"/>
    <cellStyle name="20% - Accent3 4" xfId="46" xr:uid="{00000000-0005-0000-0000-00002D000000}"/>
    <cellStyle name="20% - Accent3 5" xfId="47" xr:uid="{00000000-0005-0000-0000-00002E000000}"/>
    <cellStyle name="20% - Accent3 6" xfId="48" xr:uid="{00000000-0005-0000-0000-00002F000000}"/>
    <cellStyle name="20% - Accent3 7" xfId="49" xr:uid="{00000000-0005-0000-0000-000030000000}"/>
    <cellStyle name="20% - Accent3 8" xfId="50" xr:uid="{00000000-0005-0000-0000-000031000000}"/>
    <cellStyle name="20% - Accent3 9" xfId="51" xr:uid="{00000000-0005-0000-0000-000032000000}"/>
    <cellStyle name="20% - Accent4" xfId="52" xr:uid="{00000000-0005-0000-0000-000033000000}"/>
    <cellStyle name="20% - Accent4 1" xfId="53" xr:uid="{00000000-0005-0000-0000-000034000000}"/>
    <cellStyle name="20% - Accent4 10" xfId="54" xr:uid="{00000000-0005-0000-0000-000035000000}"/>
    <cellStyle name="20% - Accent4 11" xfId="55" xr:uid="{00000000-0005-0000-0000-000036000000}"/>
    <cellStyle name="20% - Accent4 12" xfId="56" xr:uid="{00000000-0005-0000-0000-000037000000}"/>
    <cellStyle name="20% - Accent4 13" xfId="57" xr:uid="{00000000-0005-0000-0000-000038000000}"/>
    <cellStyle name="20% - Accent4 14" xfId="58" xr:uid="{00000000-0005-0000-0000-000039000000}"/>
    <cellStyle name="20% - Accent4 2" xfId="59" xr:uid="{00000000-0005-0000-0000-00003A000000}"/>
    <cellStyle name="20% - Accent4 3" xfId="60" xr:uid="{00000000-0005-0000-0000-00003B000000}"/>
    <cellStyle name="20% - Accent4 4" xfId="61" xr:uid="{00000000-0005-0000-0000-00003C000000}"/>
    <cellStyle name="20% - Accent4 5" xfId="62" xr:uid="{00000000-0005-0000-0000-00003D000000}"/>
    <cellStyle name="20% - Accent4 6" xfId="63" xr:uid="{00000000-0005-0000-0000-00003E000000}"/>
    <cellStyle name="20% - Accent4 7" xfId="64" xr:uid="{00000000-0005-0000-0000-00003F000000}"/>
    <cellStyle name="20% - Accent4 8" xfId="65" xr:uid="{00000000-0005-0000-0000-000040000000}"/>
    <cellStyle name="20% - Accent4 9" xfId="66" xr:uid="{00000000-0005-0000-0000-000041000000}"/>
    <cellStyle name="20% - Accent5" xfId="67" xr:uid="{00000000-0005-0000-0000-000042000000}"/>
    <cellStyle name="20% - Accent5 1" xfId="68" xr:uid="{00000000-0005-0000-0000-000043000000}"/>
    <cellStyle name="20% - Accent5 10" xfId="69" xr:uid="{00000000-0005-0000-0000-000044000000}"/>
    <cellStyle name="20% - Accent5 11" xfId="70" xr:uid="{00000000-0005-0000-0000-000045000000}"/>
    <cellStyle name="20% - Accent5 12" xfId="71" xr:uid="{00000000-0005-0000-0000-000046000000}"/>
    <cellStyle name="20% - Accent5 13" xfId="72" xr:uid="{00000000-0005-0000-0000-000047000000}"/>
    <cellStyle name="20% - Accent5 14" xfId="73" xr:uid="{00000000-0005-0000-0000-000048000000}"/>
    <cellStyle name="20% - Accent5 2" xfId="74" xr:uid="{00000000-0005-0000-0000-000049000000}"/>
    <cellStyle name="20% - Accent5 3" xfId="75" xr:uid="{00000000-0005-0000-0000-00004A000000}"/>
    <cellStyle name="20% - Accent5 4" xfId="76" xr:uid="{00000000-0005-0000-0000-00004B000000}"/>
    <cellStyle name="20% - Accent5 5" xfId="77" xr:uid="{00000000-0005-0000-0000-00004C000000}"/>
    <cellStyle name="20% - Accent5 6" xfId="78" xr:uid="{00000000-0005-0000-0000-00004D000000}"/>
    <cellStyle name="20% - Accent5 7" xfId="79" xr:uid="{00000000-0005-0000-0000-00004E000000}"/>
    <cellStyle name="20% - Accent5 8" xfId="80" xr:uid="{00000000-0005-0000-0000-00004F000000}"/>
    <cellStyle name="20% - Accent5 9" xfId="81" xr:uid="{00000000-0005-0000-0000-000050000000}"/>
    <cellStyle name="20% - Accent6" xfId="82" xr:uid="{00000000-0005-0000-0000-000051000000}"/>
    <cellStyle name="20% - Accent6 1" xfId="83" xr:uid="{00000000-0005-0000-0000-000052000000}"/>
    <cellStyle name="20% - Accent6 10" xfId="84" xr:uid="{00000000-0005-0000-0000-000053000000}"/>
    <cellStyle name="20% - Accent6 11" xfId="85" xr:uid="{00000000-0005-0000-0000-000054000000}"/>
    <cellStyle name="20% - Accent6 12" xfId="86" xr:uid="{00000000-0005-0000-0000-000055000000}"/>
    <cellStyle name="20% - Accent6 13" xfId="87" xr:uid="{00000000-0005-0000-0000-000056000000}"/>
    <cellStyle name="20% - Accent6 14" xfId="88" xr:uid="{00000000-0005-0000-0000-000057000000}"/>
    <cellStyle name="20% - Accent6 2" xfId="89" xr:uid="{00000000-0005-0000-0000-000058000000}"/>
    <cellStyle name="20% - Accent6 3" xfId="90" xr:uid="{00000000-0005-0000-0000-000059000000}"/>
    <cellStyle name="20% - Accent6 4" xfId="91" xr:uid="{00000000-0005-0000-0000-00005A000000}"/>
    <cellStyle name="20% - Accent6 5" xfId="92" xr:uid="{00000000-0005-0000-0000-00005B000000}"/>
    <cellStyle name="20% - Accent6 6" xfId="93" xr:uid="{00000000-0005-0000-0000-00005C000000}"/>
    <cellStyle name="20% - Accent6 7" xfId="94" xr:uid="{00000000-0005-0000-0000-00005D000000}"/>
    <cellStyle name="20% - Accent6 8" xfId="95" xr:uid="{00000000-0005-0000-0000-00005E000000}"/>
    <cellStyle name="20% - Accent6 9" xfId="96" xr:uid="{00000000-0005-0000-0000-00005F000000}"/>
    <cellStyle name="40 % - zvýraznenie1" xfId="97" builtinId="31" customBuiltin="1"/>
    <cellStyle name="40 % - zvýraznenie2" xfId="98" builtinId="35" customBuiltin="1"/>
    <cellStyle name="40 % - zvýraznenie3" xfId="99" builtinId="39" customBuiltin="1"/>
    <cellStyle name="40 % - zvýraznenie4" xfId="100" builtinId="43" customBuiltin="1"/>
    <cellStyle name="40 % - zvýraznenie5" xfId="101" builtinId="47" customBuiltin="1"/>
    <cellStyle name="40 % - zvýraznenie6" xfId="102" builtinId="51" customBuiltin="1"/>
    <cellStyle name="40% - Accent1" xfId="103" xr:uid="{00000000-0005-0000-0000-000066000000}"/>
    <cellStyle name="40% - Accent1 1" xfId="104" xr:uid="{00000000-0005-0000-0000-000067000000}"/>
    <cellStyle name="40% - Accent1 10" xfId="105" xr:uid="{00000000-0005-0000-0000-000068000000}"/>
    <cellStyle name="40% - Accent1 11" xfId="106" xr:uid="{00000000-0005-0000-0000-000069000000}"/>
    <cellStyle name="40% - Accent1 12" xfId="107" xr:uid="{00000000-0005-0000-0000-00006A000000}"/>
    <cellStyle name="40% - Accent1 13" xfId="108" xr:uid="{00000000-0005-0000-0000-00006B000000}"/>
    <cellStyle name="40% - Accent1 14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1 5" xfId="113" xr:uid="{00000000-0005-0000-0000-000070000000}"/>
    <cellStyle name="40% - Accent1 6" xfId="114" xr:uid="{00000000-0005-0000-0000-000071000000}"/>
    <cellStyle name="40% - Accent1 7" xfId="115" xr:uid="{00000000-0005-0000-0000-000072000000}"/>
    <cellStyle name="40% - Accent1 8" xfId="116" xr:uid="{00000000-0005-0000-0000-000073000000}"/>
    <cellStyle name="40% - Accent1 9" xfId="117" xr:uid="{00000000-0005-0000-0000-000074000000}"/>
    <cellStyle name="40% - Accent2" xfId="118" xr:uid="{00000000-0005-0000-0000-000075000000}"/>
    <cellStyle name="40% - Accent2 1" xfId="119" xr:uid="{00000000-0005-0000-0000-000076000000}"/>
    <cellStyle name="40% - Accent2 10" xfId="120" xr:uid="{00000000-0005-0000-0000-000077000000}"/>
    <cellStyle name="40% - Accent2 11" xfId="121" xr:uid="{00000000-0005-0000-0000-000078000000}"/>
    <cellStyle name="40% - Accent2 12" xfId="122" xr:uid="{00000000-0005-0000-0000-000079000000}"/>
    <cellStyle name="40% - Accent2 13" xfId="123" xr:uid="{00000000-0005-0000-0000-00007A000000}"/>
    <cellStyle name="40% - Accent2 14" xfId="124" xr:uid="{00000000-0005-0000-0000-00007B000000}"/>
    <cellStyle name="40% - Accent2 2" xfId="125" xr:uid="{00000000-0005-0000-0000-00007C000000}"/>
    <cellStyle name="40% - Accent2 3" xfId="126" xr:uid="{00000000-0005-0000-0000-00007D000000}"/>
    <cellStyle name="40% - Accent2 4" xfId="127" xr:uid="{00000000-0005-0000-0000-00007E000000}"/>
    <cellStyle name="40% - Accent2 5" xfId="128" xr:uid="{00000000-0005-0000-0000-00007F000000}"/>
    <cellStyle name="40% - Accent2 6" xfId="129" xr:uid="{00000000-0005-0000-0000-000080000000}"/>
    <cellStyle name="40% - Accent2 7" xfId="130" xr:uid="{00000000-0005-0000-0000-000081000000}"/>
    <cellStyle name="40% - Accent2 8" xfId="131" xr:uid="{00000000-0005-0000-0000-000082000000}"/>
    <cellStyle name="40% - Accent2 9" xfId="132" xr:uid="{00000000-0005-0000-0000-000083000000}"/>
    <cellStyle name="40% - Accent3" xfId="133" xr:uid="{00000000-0005-0000-0000-000084000000}"/>
    <cellStyle name="40% - Accent3 1" xfId="134" xr:uid="{00000000-0005-0000-0000-000085000000}"/>
    <cellStyle name="40% - Accent3 10" xfId="135" xr:uid="{00000000-0005-0000-0000-000086000000}"/>
    <cellStyle name="40% - Accent3 11" xfId="136" xr:uid="{00000000-0005-0000-0000-000087000000}"/>
    <cellStyle name="40% - Accent3 12" xfId="137" xr:uid="{00000000-0005-0000-0000-000088000000}"/>
    <cellStyle name="40% - Accent3 13" xfId="138" xr:uid="{00000000-0005-0000-0000-000089000000}"/>
    <cellStyle name="40% - Accent3 14" xfId="139" xr:uid="{00000000-0005-0000-0000-00008A000000}"/>
    <cellStyle name="40% - Accent3 2" xfId="140" xr:uid="{00000000-0005-0000-0000-00008B000000}"/>
    <cellStyle name="40% - Accent3 3" xfId="141" xr:uid="{00000000-0005-0000-0000-00008C000000}"/>
    <cellStyle name="40% - Accent3 4" xfId="142" xr:uid="{00000000-0005-0000-0000-00008D000000}"/>
    <cellStyle name="40% - Accent3 5" xfId="143" xr:uid="{00000000-0005-0000-0000-00008E000000}"/>
    <cellStyle name="40% - Accent3 6" xfId="144" xr:uid="{00000000-0005-0000-0000-00008F000000}"/>
    <cellStyle name="40% - Accent3 7" xfId="145" xr:uid="{00000000-0005-0000-0000-000090000000}"/>
    <cellStyle name="40% - Accent3 8" xfId="146" xr:uid="{00000000-0005-0000-0000-000091000000}"/>
    <cellStyle name="40% - Accent3 9" xfId="147" xr:uid="{00000000-0005-0000-0000-000092000000}"/>
    <cellStyle name="40% - Accent4" xfId="148" xr:uid="{00000000-0005-0000-0000-000093000000}"/>
    <cellStyle name="40% - Accent4 1" xfId="149" xr:uid="{00000000-0005-0000-0000-000094000000}"/>
    <cellStyle name="40% - Accent4 10" xfId="150" xr:uid="{00000000-0005-0000-0000-000095000000}"/>
    <cellStyle name="40% - Accent4 11" xfId="151" xr:uid="{00000000-0005-0000-0000-000096000000}"/>
    <cellStyle name="40% - Accent4 12" xfId="152" xr:uid="{00000000-0005-0000-0000-000097000000}"/>
    <cellStyle name="40% - Accent4 13" xfId="153" xr:uid="{00000000-0005-0000-0000-000098000000}"/>
    <cellStyle name="40% - Accent4 14" xfId="154" xr:uid="{00000000-0005-0000-0000-000099000000}"/>
    <cellStyle name="40% - Accent4 2" xfId="155" xr:uid="{00000000-0005-0000-0000-00009A000000}"/>
    <cellStyle name="40% - Accent4 3" xfId="156" xr:uid="{00000000-0005-0000-0000-00009B000000}"/>
    <cellStyle name="40% - Accent4 4" xfId="157" xr:uid="{00000000-0005-0000-0000-00009C000000}"/>
    <cellStyle name="40% - Accent4 5" xfId="158" xr:uid="{00000000-0005-0000-0000-00009D000000}"/>
    <cellStyle name="40% - Accent4 6" xfId="159" xr:uid="{00000000-0005-0000-0000-00009E000000}"/>
    <cellStyle name="40% - Accent4 7" xfId="160" xr:uid="{00000000-0005-0000-0000-00009F000000}"/>
    <cellStyle name="40% - Accent4 8" xfId="161" xr:uid="{00000000-0005-0000-0000-0000A0000000}"/>
    <cellStyle name="40% - Accent4 9" xfId="162" xr:uid="{00000000-0005-0000-0000-0000A1000000}"/>
    <cellStyle name="40% - Accent5" xfId="163" xr:uid="{00000000-0005-0000-0000-0000A2000000}"/>
    <cellStyle name="40% - Accent5 1" xfId="164" xr:uid="{00000000-0005-0000-0000-0000A3000000}"/>
    <cellStyle name="40% - Accent5 10" xfId="165" xr:uid="{00000000-0005-0000-0000-0000A4000000}"/>
    <cellStyle name="40% - Accent5 11" xfId="166" xr:uid="{00000000-0005-0000-0000-0000A5000000}"/>
    <cellStyle name="40% - Accent5 12" xfId="167" xr:uid="{00000000-0005-0000-0000-0000A6000000}"/>
    <cellStyle name="40% - Accent5 13" xfId="168" xr:uid="{00000000-0005-0000-0000-0000A7000000}"/>
    <cellStyle name="40% - Accent5 14" xfId="169" xr:uid="{00000000-0005-0000-0000-0000A8000000}"/>
    <cellStyle name="40% - Accent5 2" xfId="170" xr:uid="{00000000-0005-0000-0000-0000A9000000}"/>
    <cellStyle name="40% - Accent5 3" xfId="171" xr:uid="{00000000-0005-0000-0000-0000AA000000}"/>
    <cellStyle name="40% - Accent5 4" xfId="172" xr:uid="{00000000-0005-0000-0000-0000AB000000}"/>
    <cellStyle name="40% - Accent5 5" xfId="173" xr:uid="{00000000-0005-0000-0000-0000AC000000}"/>
    <cellStyle name="40% - Accent5 6" xfId="174" xr:uid="{00000000-0005-0000-0000-0000AD000000}"/>
    <cellStyle name="40% - Accent5 7" xfId="175" xr:uid="{00000000-0005-0000-0000-0000AE000000}"/>
    <cellStyle name="40% - Accent5 8" xfId="176" xr:uid="{00000000-0005-0000-0000-0000AF000000}"/>
    <cellStyle name="40% - Accent5 9" xfId="177" xr:uid="{00000000-0005-0000-0000-0000B0000000}"/>
    <cellStyle name="40% - Accent6" xfId="178" xr:uid="{00000000-0005-0000-0000-0000B1000000}"/>
    <cellStyle name="40% - Accent6 1" xfId="179" xr:uid="{00000000-0005-0000-0000-0000B2000000}"/>
    <cellStyle name="40% - Accent6 10" xfId="180" xr:uid="{00000000-0005-0000-0000-0000B3000000}"/>
    <cellStyle name="40% - Accent6 11" xfId="181" xr:uid="{00000000-0005-0000-0000-0000B4000000}"/>
    <cellStyle name="40% - Accent6 12" xfId="182" xr:uid="{00000000-0005-0000-0000-0000B5000000}"/>
    <cellStyle name="40% - Accent6 13" xfId="183" xr:uid="{00000000-0005-0000-0000-0000B6000000}"/>
    <cellStyle name="40% - Accent6 14" xfId="184" xr:uid="{00000000-0005-0000-0000-0000B7000000}"/>
    <cellStyle name="40% - Accent6 2" xfId="185" xr:uid="{00000000-0005-0000-0000-0000B8000000}"/>
    <cellStyle name="40% - Accent6 3" xfId="186" xr:uid="{00000000-0005-0000-0000-0000B9000000}"/>
    <cellStyle name="40% - Accent6 4" xfId="187" xr:uid="{00000000-0005-0000-0000-0000BA000000}"/>
    <cellStyle name="40% - Accent6 5" xfId="188" xr:uid="{00000000-0005-0000-0000-0000BB000000}"/>
    <cellStyle name="40% - Accent6 6" xfId="189" xr:uid="{00000000-0005-0000-0000-0000BC000000}"/>
    <cellStyle name="40% - Accent6 7" xfId="190" xr:uid="{00000000-0005-0000-0000-0000BD000000}"/>
    <cellStyle name="40% - Accent6 8" xfId="191" xr:uid="{00000000-0005-0000-0000-0000BE000000}"/>
    <cellStyle name="40% - Accent6 9" xfId="192" xr:uid="{00000000-0005-0000-0000-0000BF000000}"/>
    <cellStyle name="60 % - zvýraznenie1" xfId="193" builtinId="32" customBuiltin="1"/>
    <cellStyle name="60 % - zvýraznenie2" xfId="194" builtinId="36" customBuiltin="1"/>
    <cellStyle name="60 % - zvýraznenie3" xfId="195" builtinId="40" customBuiltin="1"/>
    <cellStyle name="60 % - zvýraznenie4" xfId="196" builtinId="44" customBuiltin="1"/>
    <cellStyle name="60 % - zvýraznenie5" xfId="197" builtinId="48" customBuiltin="1"/>
    <cellStyle name="60 % - zvýraznenie6" xfId="198" builtinId="52" customBuiltin="1"/>
    <cellStyle name="60% - Accent1" xfId="199" xr:uid="{00000000-0005-0000-0000-0000C6000000}"/>
    <cellStyle name="60% - Accent1 1" xfId="200" xr:uid="{00000000-0005-0000-0000-0000C7000000}"/>
    <cellStyle name="60% - Accent1 10" xfId="201" xr:uid="{00000000-0005-0000-0000-0000C8000000}"/>
    <cellStyle name="60% - Accent1 11" xfId="202" xr:uid="{00000000-0005-0000-0000-0000C9000000}"/>
    <cellStyle name="60% - Accent1 12" xfId="203" xr:uid="{00000000-0005-0000-0000-0000CA000000}"/>
    <cellStyle name="60% - Accent1 13" xfId="204" xr:uid="{00000000-0005-0000-0000-0000CB000000}"/>
    <cellStyle name="60% - Accent1 14" xfId="205" xr:uid="{00000000-0005-0000-0000-0000CC000000}"/>
    <cellStyle name="60% - Accent1 2" xfId="206" xr:uid="{00000000-0005-0000-0000-0000CD000000}"/>
    <cellStyle name="60% - Accent1 3" xfId="207" xr:uid="{00000000-0005-0000-0000-0000CE000000}"/>
    <cellStyle name="60% - Accent1 4" xfId="208" xr:uid="{00000000-0005-0000-0000-0000CF000000}"/>
    <cellStyle name="60% - Accent1 5" xfId="209" xr:uid="{00000000-0005-0000-0000-0000D0000000}"/>
    <cellStyle name="60% - Accent1 6" xfId="210" xr:uid="{00000000-0005-0000-0000-0000D1000000}"/>
    <cellStyle name="60% - Accent1 7" xfId="211" xr:uid="{00000000-0005-0000-0000-0000D2000000}"/>
    <cellStyle name="60% - Accent1 8" xfId="212" xr:uid="{00000000-0005-0000-0000-0000D3000000}"/>
    <cellStyle name="60% - Accent1 9" xfId="213" xr:uid="{00000000-0005-0000-0000-0000D4000000}"/>
    <cellStyle name="60% - Accent2" xfId="214" xr:uid="{00000000-0005-0000-0000-0000D5000000}"/>
    <cellStyle name="60% - Accent2 1" xfId="215" xr:uid="{00000000-0005-0000-0000-0000D6000000}"/>
    <cellStyle name="60% - Accent2 10" xfId="216" xr:uid="{00000000-0005-0000-0000-0000D7000000}"/>
    <cellStyle name="60% - Accent2 11" xfId="217" xr:uid="{00000000-0005-0000-0000-0000D8000000}"/>
    <cellStyle name="60% - Accent2 12" xfId="218" xr:uid="{00000000-0005-0000-0000-0000D9000000}"/>
    <cellStyle name="60% - Accent2 13" xfId="219" xr:uid="{00000000-0005-0000-0000-0000DA000000}"/>
    <cellStyle name="60% - Accent2 14" xfId="220" xr:uid="{00000000-0005-0000-0000-0000DB000000}"/>
    <cellStyle name="60% - Accent2 2" xfId="221" xr:uid="{00000000-0005-0000-0000-0000DC000000}"/>
    <cellStyle name="60% - Accent2 3" xfId="222" xr:uid="{00000000-0005-0000-0000-0000DD000000}"/>
    <cellStyle name="60% - Accent2 4" xfId="223" xr:uid="{00000000-0005-0000-0000-0000DE000000}"/>
    <cellStyle name="60% - Accent2 5" xfId="224" xr:uid="{00000000-0005-0000-0000-0000DF000000}"/>
    <cellStyle name="60% - Accent2 6" xfId="225" xr:uid="{00000000-0005-0000-0000-0000E0000000}"/>
    <cellStyle name="60% - Accent2 7" xfId="226" xr:uid="{00000000-0005-0000-0000-0000E1000000}"/>
    <cellStyle name="60% - Accent2 8" xfId="227" xr:uid="{00000000-0005-0000-0000-0000E2000000}"/>
    <cellStyle name="60% - Accent2 9" xfId="228" xr:uid="{00000000-0005-0000-0000-0000E3000000}"/>
    <cellStyle name="60% - Accent3" xfId="229" xr:uid="{00000000-0005-0000-0000-0000E4000000}"/>
    <cellStyle name="60% - Accent3 1" xfId="230" xr:uid="{00000000-0005-0000-0000-0000E5000000}"/>
    <cellStyle name="60% - Accent3 10" xfId="231" xr:uid="{00000000-0005-0000-0000-0000E6000000}"/>
    <cellStyle name="60% - Accent3 11" xfId="232" xr:uid="{00000000-0005-0000-0000-0000E7000000}"/>
    <cellStyle name="60% - Accent3 12" xfId="233" xr:uid="{00000000-0005-0000-0000-0000E8000000}"/>
    <cellStyle name="60% - Accent3 13" xfId="234" xr:uid="{00000000-0005-0000-0000-0000E9000000}"/>
    <cellStyle name="60% - Accent3 14" xfId="235" xr:uid="{00000000-0005-0000-0000-0000EA000000}"/>
    <cellStyle name="60% - Accent3 2" xfId="236" xr:uid="{00000000-0005-0000-0000-0000EB000000}"/>
    <cellStyle name="60% - Accent3 3" xfId="237" xr:uid="{00000000-0005-0000-0000-0000EC000000}"/>
    <cellStyle name="60% - Accent3 4" xfId="238" xr:uid="{00000000-0005-0000-0000-0000ED000000}"/>
    <cellStyle name="60% - Accent3 5" xfId="239" xr:uid="{00000000-0005-0000-0000-0000EE000000}"/>
    <cellStyle name="60% - Accent3 6" xfId="240" xr:uid="{00000000-0005-0000-0000-0000EF000000}"/>
    <cellStyle name="60% - Accent3 7" xfId="241" xr:uid="{00000000-0005-0000-0000-0000F0000000}"/>
    <cellStyle name="60% - Accent3 8" xfId="242" xr:uid="{00000000-0005-0000-0000-0000F1000000}"/>
    <cellStyle name="60% - Accent3 9" xfId="243" xr:uid="{00000000-0005-0000-0000-0000F2000000}"/>
    <cellStyle name="60% - Accent4" xfId="244" xr:uid="{00000000-0005-0000-0000-0000F3000000}"/>
    <cellStyle name="60% - Accent4 1" xfId="245" xr:uid="{00000000-0005-0000-0000-0000F4000000}"/>
    <cellStyle name="60% - Accent4 10" xfId="246" xr:uid="{00000000-0005-0000-0000-0000F5000000}"/>
    <cellStyle name="60% - Accent4 11" xfId="247" xr:uid="{00000000-0005-0000-0000-0000F6000000}"/>
    <cellStyle name="60% - Accent4 12" xfId="248" xr:uid="{00000000-0005-0000-0000-0000F7000000}"/>
    <cellStyle name="60% - Accent4 13" xfId="249" xr:uid="{00000000-0005-0000-0000-0000F8000000}"/>
    <cellStyle name="60% - Accent4 14" xfId="250" xr:uid="{00000000-0005-0000-0000-0000F9000000}"/>
    <cellStyle name="60% - Accent4 2" xfId="251" xr:uid="{00000000-0005-0000-0000-0000FA000000}"/>
    <cellStyle name="60% - Accent4 3" xfId="252" xr:uid="{00000000-0005-0000-0000-0000FB000000}"/>
    <cellStyle name="60% - Accent4 4" xfId="253" xr:uid="{00000000-0005-0000-0000-0000FC000000}"/>
    <cellStyle name="60% - Accent4 5" xfId="254" xr:uid="{00000000-0005-0000-0000-0000FD000000}"/>
    <cellStyle name="60% - Accent4 6" xfId="255" xr:uid="{00000000-0005-0000-0000-0000FE000000}"/>
    <cellStyle name="60% - Accent4 7" xfId="256" xr:uid="{00000000-0005-0000-0000-0000FF000000}"/>
    <cellStyle name="60% - Accent4 8" xfId="257" xr:uid="{00000000-0005-0000-0000-000000010000}"/>
    <cellStyle name="60% - Accent4 9" xfId="258" xr:uid="{00000000-0005-0000-0000-000001010000}"/>
    <cellStyle name="60% - Accent5" xfId="259" xr:uid="{00000000-0005-0000-0000-000002010000}"/>
    <cellStyle name="60% - Accent5 1" xfId="260" xr:uid="{00000000-0005-0000-0000-000003010000}"/>
    <cellStyle name="60% - Accent5 10" xfId="261" xr:uid="{00000000-0005-0000-0000-000004010000}"/>
    <cellStyle name="60% - Accent5 11" xfId="262" xr:uid="{00000000-0005-0000-0000-000005010000}"/>
    <cellStyle name="60% - Accent5 12" xfId="263" xr:uid="{00000000-0005-0000-0000-000006010000}"/>
    <cellStyle name="60% - Accent5 13" xfId="264" xr:uid="{00000000-0005-0000-0000-000007010000}"/>
    <cellStyle name="60% - Accent5 14" xfId="265" xr:uid="{00000000-0005-0000-0000-000008010000}"/>
    <cellStyle name="60% - Accent5 2" xfId="266" xr:uid="{00000000-0005-0000-0000-000009010000}"/>
    <cellStyle name="60% - Accent5 3" xfId="267" xr:uid="{00000000-0005-0000-0000-00000A010000}"/>
    <cellStyle name="60% - Accent5 4" xfId="268" xr:uid="{00000000-0005-0000-0000-00000B010000}"/>
    <cellStyle name="60% - Accent5 5" xfId="269" xr:uid="{00000000-0005-0000-0000-00000C010000}"/>
    <cellStyle name="60% - Accent5 6" xfId="270" xr:uid="{00000000-0005-0000-0000-00000D010000}"/>
    <cellStyle name="60% - Accent5 7" xfId="271" xr:uid="{00000000-0005-0000-0000-00000E010000}"/>
    <cellStyle name="60% - Accent5 8" xfId="272" xr:uid="{00000000-0005-0000-0000-00000F010000}"/>
    <cellStyle name="60% - Accent5 9" xfId="273" xr:uid="{00000000-0005-0000-0000-000010010000}"/>
    <cellStyle name="60% - Accent6" xfId="274" xr:uid="{00000000-0005-0000-0000-000011010000}"/>
    <cellStyle name="60% - Accent6 1" xfId="275" xr:uid="{00000000-0005-0000-0000-000012010000}"/>
    <cellStyle name="60% - Accent6 10" xfId="276" xr:uid="{00000000-0005-0000-0000-000013010000}"/>
    <cellStyle name="60% - Accent6 11" xfId="277" xr:uid="{00000000-0005-0000-0000-000014010000}"/>
    <cellStyle name="60% - Accent6 12" xfId="278" xr:uid="{00000000-0005-0000-0000-000015010000}"/>
    <cellStyle name="60% - Accent6 13" xfId="279" xr:uid="{00000000-0005-0000-0000-000016010000}"/>
    <cellStyle name="60% - Accent6 14" xfId="280" xr:uid="{00000000-0005-0000-0000-000017010000}"/>
    <cellStyle name="60% - Accent6 2" xfId="281" xr:uid="{00000000-0005-0000-0000-000018010000}"/>
    <cellStyle name="60% - Accent6 3" xfId="282" xr:uid="{00000000-0005-0000-0000-000019010000}"/>
    <cellStyle name="60% - Accent6 4" xfId="283" xr:uid="{00000000-0005-0000-0000-00001A010000}"/>
    <cellStyle name="60% - Accent6 5" xfId="284" xr:uid="{00000000-0005-0000-0000-00001B010000}"/>
    <cellStyle name="60% - Accent6 6" xfId="285" xr:uid="{00000000-0005-0000-0000-00001C010000}"/>
    <cellStyle name="60% - Accent6 7" xfId="286" xr:uid="{00000000-0005-0000-0000-00001D010000}"/>
    <cellStyle name="60% - Accent6 8" xfId="287" xr:uid="{00000000-0005-0000-0000-00001E010000}"/>
    <cellStyle name="60% - Accent6 9" xfId="288" xr:uid="{00000000-0005-0000-0000-00001F010000}"/>
    <cellStyle name="Accent1" xfId="289" xr:uid="{00000000-0005-0000-0000-000020010000}"/>
    <cellStyle name="Accent1 1" xfId="290" xr:uid="{00000000-0005-0000-0000-000021010000}"/>
    <cellStyle name="Accent1 10" xfId="291" xr:uid="{00000000-0005-0000-0000-000022010000}"/>
    <cellStyle name="Accent1 11" xfId="292" xr:uid="{00000000-0005-0000-0000-000023010000}"/>
    <cellStyle name="Accent1 12" xfId="293" xr:uid="{00000000-0005-0000-0000-000024010000}"/>
    <cellStyle name="Accent1 13" xfId="294" xr:uid="{00000000-0005-0000-0000-000025010000}"/>
    <cellStyle name="Accent1 14" xfId="295" xr:uid="{00000000-0005-0000-0000-000026010000}"/>
    <cellStyle name="Accent1 2" xfId="296" xr:uid="{00000000-0005-0000-0000-000027010000}"/>
    <cellStyle name="Accent1 3" xfId="297" xr:uid="{00000000-0005-0000-0000-000028010000}"/>
    <cellStyle name="Accent1 4" xfId="298" xr:uid="{00000000-0005-0000-0000-000029010000}"/>
    <cellStyle name="Accent1 5" xfId="299" xr:uid="{00000000-0005-0000-0000-00002A010000}"/>
    <cellStyle name="Accent1 6" xfId="300" xr:uid="{00000000-0005-0000-0000-00002B010000}"/>
    <cellStyle name="Accent1 7" xfId="301" xr:uid="{00000000-0005-0000-0000-00002C010000}"/>
    <cellStyle name="Accent1 8" xfId="302" xr:uid="{00000000-0005-0000-0000-00002D010000}"/>
    <cellStyle name="Accent1 9" xfId="303" xr:uid="{00000000-0005-0000-0000-00002E010000}"/>
    <cellStyle name="Accent2" xfId="304" xr:uid="{00000000-0005-0000-0000-00002F010000}"/>
    <cellStyle name="Accent2 1" xfId="305" xr:uid="{00000000-0005-0000-0000-000030010000}"/>
    <cellStyle name="Accent2 10" xfId="306" xr:uid="{00000000-0005-0000-0000-000031010000}"/>
    <cellStyle name="Accent2 11" xfId="307" xr:uid="{00000000-0005-0000-0000-000032010000}"/>
    <cellStyle name="Accent2 12" xfId="308" xr:uid="{00000000-0005-0000-0000-000033010000}"/>
    <cellStyle name="Accent2 13" xfId="309" xr:uid="{00000000-0005-0000-0000-000034010000}"/>
    <cellStyle name="Accent2 14" xfId="310" xr:uid="{00000000-0005-0000-0000-000035010000}"/>
    <cellStyle name="Accent2 2" xfId="311" xr:uid="{00000000-0005-0000-0000-000036010000}"/>
    <cellStyle name="Accent2 3" xfId="312" xr:uid="{00000000-0005-0000-0000-000037010000}"/>
    <cellStyle name="Accent2 4" xfId="313" xr:uid="{00000000-0005-0000-0000-000038010000}"/>
    <cellStyle name="Accent2 5" xfId="314" xr:uid="{00000000-0005-0000-0000-000039010000}"/>
    <cellStyle name="Accent2 6" xfId="315" xr:uid="{00000000-0005-0000-0000-00003A010000}"/>
    <cellStyle name="Accent2 7" xfId="316" xr:uid="{00000000-0005-0000-0000-00003B010000}"/>
    <cellStyle name="Accent2 8" xfId="317" xr:uid="{00000000-0005-0000-0000-00003C010000}"/>
    <cellStyle name="Accent2 9" xfId="318" xr:uid="{00000000-0005-0000-0000-00003D010000}"/>
    <cellStyle name="Accent3" xfId="319" xr:uid="{00000000-0005-0000-0000-00003E010000}"/>
    <cellStyle name="Accent3 1" xfId="320" xr:uid="{00000000-0005-0000-0000-00003F010000}"/>
    <cellStyle name="Accent3 10" xfId="321" xr:uid="{00000000-0005-0000-0000-000040010000}"/>
    <cellStyle name="Accent3 11" xfId="322" xr:uid="{00000000-0005-0000-0000-000041010000}"/>
    <cellStyle name="Accent3 12" xfId="323" xr:uid="{00000000-0005-0000-0000-000042010000}"/>
    <cellStyle name="Accent3 13" xfId="324" xr:uid="{00000000-0005-0000-0000-000043010000}"/>
    <cellStyle name="Accent3 14" xfId="325" xr:uid="{00000000-0005-0000-0000-000044010000}"/>
    <cellStyle name="Accent3 2" xfId="326" xr:uid="{00000000-0005-0000-0000-000045010000}"/>
    <cellStyle name="Accent3 3" xfId="327" xr:uid="{00000000-0005-0000-0000-000046010000}"/>
    <cellStyle name="Accent3 4" xfId="328" xr:uid="{00000000-0005-0000-0000-000047010000}"/>
    <cellStyle name="Accent3 5" xfId="329" xr:uid="{00000000-0005-0000-0000-000048010000}"/>
    <cellStyle name="Accent3 6" xfId="330" xr:uid="{00000000-0005-0000-0000-000049010000}"/>
    <cellStyle name="Accent3 7" xfId="331" xr:uid="{00000000-0005-0000-0000-00004A010000}"/>
    <cellStyle name="Accent3 8" xfId="332" xr:uid="{00000000-0005-0000-0000-00004B010000}"/>
    <cellStyle name="Accent3 9" xfId="333" xr:uid="{00000000-0005-0000-0000-00004C010000}"/>
    <cellStyle name="Accent4" xfId="334" xr:uid="{00000000-0005-0000-0000-00004D010000}"/>
    <cellStyle name="Accent4 1" xfId="335" xr:uid="{00000000-0005-0000-0000-00004E010000}"/>
    <cellStyle name="Accent4 10" xfId="336" xr:uid="{00000000-0005-0000-0000-00004F010000}"/>
    <cellStyle name="Accent4 11" xfId="337" xr:uid="{00000000-0005-0000-0000-000050010000}"/>
    <cellStyle name="Accent4 12" xfId="338" xr:uid="{00000000-0005-0000-0000-000051010000}"/>
    <cellStyle name="Accent4 13" xfId="339" xr:uid="{00000000-0005-0000-0000-000052010000}"/>
    <cellStyle name="Accent4 14" xfId="340" xr:uid="{00000000-0005-0000-0000-000053010000}"/>
    <cellStyle name="Accent4 2" xfId="341" xr:uid="{00000000-0005-0000-0000-000054010000}"/>
    <cellStyle name="Accent4 3" xfId="342" xr:uid="{00000000-0005-0000-0000-000055010000}"/>
    <cellStyle name="Accent4 4" xfId="343" xr:uid="{00000000-0005-0000-0000-000056010000}"/>
    <cellStyle name="Accent4 5" xfId="344" xr:uid="{00000000-0005-0000-0000-000057010000}"/>
    <cellStyle name="Accent4 6" xfId="345" xr:uid="{00000000-0005-0000-0000-000058010000}"/>
    <cellStyle name="Accent4 7" xfId="346" xr:uid="{00000000-0005-0000-0000-000059010000}"/>
    <cellStyle name="Accent4 8" xfId="347" xr:uid="{00000000-0005-0000-0000-00005A010000}"/>
    <cellStyle name="Accent4 9" xfId="348" xr:uid="{00000000-0005-0000-0000-00005B010000}"/>
    <cellStyle name="Accent5" xfId="349" xr:uid="{00000000-0005-0000-0000-00005C010000}"/>
    <cellStyle name="Accent5 1" xfId="350" xr:uid="{00000000-0005-0000-0000-00005D010000}"/>
    <cellStyle name="Accent5 10" xfId="351" xr:uid="{00000000-0005-0000-0000-00005E010000}"/>
    <cellStyle name="Accent5 11" xfId="352" xr:uid="{00000000-0005-0000-0000-00005F010000}"/>
    <cellStyle name="Accent5 12" xfId="353" xr:uid="{00000000-0005-0000-0000-000060010000}"/>
    <cellStyle name="Accent5 13" xfId="354" xr:uid="{00000000-0005-0000-0000-000061010000}"/>
    <cellStyle name="Accent5 14" xfId="355" xr:uid="{00000000-0005-0000-0000-000062010000}"/>
    <cellStyle name="Accent5 2" xfId="356" xr:uid="{00000000-0005-0000-0000-000063010000}"/>
    <cellStyle name="Accent5 3" xfId="357" xr:uid="{00000000-0005-0000-0000-000064010000}"/>
    <cellStyle name="Accent5 4" xfId="358" xr:uid="{00000000-0005-0000-0000-000065010000}"/>
    <cellStyle name="Accent5 5" xfId="359" xr:uid="{00000000-0005-0000-0000-000066010000}"/>
    <cellStyle name="Accent5 6" xfId="360" xr:uid="{00000000-0005-0000-0000-000067010000}"/>
    <cellStyle name="Accent5 7" xfId="361" xr:uid="{00000000-0005-0000-0000-000068010000}"/>
    <cellStyle name="Accent5 8" xfId="362" xr:uid="{00000000-0005-0000-0000-000069010000}"/>
    <cellStyle name="Accent5 9" xfId="363" xr:uid="{00000000-0005-0000-0000-00006A010000}"/>
    <cellStyle name="Accent6" xfId="364" xr:uid="{00000000-0005-0000-0000-00006B010000}"/>
    <cellStyle name="Accent6 1" xfId="365" xr:uid="{00000000-0005-0000-0000-00006C010000}"/>
    <cellStyle name="Accent6 10" xfId="366" xr:uid="{00000000-0005-0000-0000-00006D010000}"/>
    <cellStyle name="Accent6 11" xfId="367" xr:uid="{00000000-0005-0000-0000-00006E010000}"/>
    <cellStyle name="Accent6 12" xfId="368" xr:uid="{00000000-0005-0000-0000-00006F010000}"/>
    <cellStyle name="Accent6 13" xfId="369" xr:uid="{00000000-0005-0000-0000-000070010000}"/>
    <cellStyle name="Accent6 14" xfId="370" xr:uid="{00000000-0005-0000-0000-000071010000}"/>
    <cellStyle name="Accent6 2" xfId="371" xr:uid="{00000000-0005-0000-0000-000072010000}"/>
    <cellStyle name="Accent6 3" xfId="372" xr:uid="{00000000-0005-0000-0000-000073010000}"/>
    <cellStyle name="Accent6 4" xfId="373" xr:uid="{00000000-0005-0000-0000-000074010000}"/>
    <cellStyle name="Accent6 5" xfId="374" xr:uid="{00000000-0005-0000-0000-000075010000}"/>
    <cellStyle name="Accent6 6" xfId="375" xr:uid="{00000000-0005-0000-0000-000076010000}"/>
    <cellStyle name="Accent6 7" xfId="376" xr:uid="{00000000-0005-0000-0000-000077010000}"/>
    <cellStyle name="Accent6 8" xfId="377" xr:uid="{00000000-0005-0000-0000-000078010000}"/>
    <cellStyle name="Accent6 9" xfId="378" xr:uid="{00000000-0005-0000-0000-000079010000}"/>
    <cellStyle name="Bad" xfId="379" xr:uid="{00000000-0005-0000-0000-00007A010000}"/>
    <cellStyle name="Bad 1" xfId="380" xr:uid="{00000000-0005-0000-0000-00007B010000}"/>
    <cellStyle name="Bad 10" xfId="381" xr:uid="{00000000-0005-0000-0000-00007C010000}"/>
    <cellStyle name="Bad 11" xfId="382" xr:uid="{00000000-0005-0000-0000-00007D010000}"/>
    <cellStyle name="Bad 12" xfId="383" xr:uid="{00000000-0005-0000-0000-00007E010000}"/>
    <cellStyle name="Bad 13" xfId="384" xr:uid="{00000000-0005-0000-0000-00007F010000}"/>
    <cellStyle name="Bad 14" xfId="385" xr:uid="{00000000-0005-0000-0000-000080010000}"/>
    <cellStyle name="Bad 2" xfId="386" xr:uid="{00000000-0005-0000-0000-000081010000}"/>
    <cellStyle name="Bad 3" xfId="387" xr:uid="{00000000-0005-0000-0000-000082010000}"/>
    <cellStyle name="Bad 4" xfId="388" xr:uid="{00000000-0005-0000-0000-000083010000}"/>
    <cellStyle name="Bad 5" xfId="389" xr:uid="{00000000-0005-0000-0000-000084010000}"/>
    <cellStyle name="Bad 6" xfId="390" xr:uid="{00000000-0005-0000-0000-000085010000}"/>
    <cellStyle name="Bad 7" xfId="391" xr:uid="{00000000-0005-0000-0000-000086010000}"/>
    <cellStyle name="Bad 8" xfId="392" xr:uid="{00000000-0005-0000-0000-000087010000}"/>
    <cellStyle name="Bad 9" xfId="393" xr:uid="{00000000-0005-0000-0000-000088010000}"/>
    <cellStyle name="Calculation" xfId="394" xr:uid="{00000000-0005-0000-0000-000089010000}"/>
    <cellStyle name="Calculation 1" xfId="395" xr:uid="{00000000-0005-0000-0000-00008A010000}"/>
    <cellStyle name="Calculation 10" xfId="396" xr:uid="{00000000-0005-0000-0000-00008B010000}"/>
    <cellStyle name="Calculation 11" xfId="397" xr:uid="{00000000-0005-0000-0000-00008C010000}"/>
    <cellStyle name="Calculation 12" xfId="398" xr:uid="{00000000-0005-0000-0000-00008D010000}"/>
    <cellStyle name="Calculation 13" xfId="399" xr:uid="{00000000-0005-0000-0000-00008E010000}"/>
    <cellStyle name="Calculation 14" xfId="400" xr:uid="{00000000-0005-0000-0000-00008F010000}"/>
    <cellStyle name="Calculation 2" xfId="401" xr:uid="{00000000-0005-0000-0000-000090010000}"/>
    <cellStyle name="Calculation 3" xfId="402" xr:uid="{00000000-0005-0000-0000-000091010000}"/>
    <cellStyle name="Calculation 4" xfId="403" xr:uid="{00000000-0005-0000-0000-000092010000}"/>
    <cellStyle name="Calculation 5" xfId="404" xr:uid="{00000000-0005-0000-0000-000093010000}"/>
    <cellStyle name="Calculation 6" xfId="405" xr:uid="{00000000-0005-0000-0000-000094010000}"/>
    <cellStyle name="Calculation 7" xfId="406" xr:uid="{00000000-0005-0000-0000-000095010000}"/>
    <cellStyle name="Calculation 8" xfId="407" xr:uid="{00000000-0005-0000-0000-000096010000}"/>
    <cellStyle name="Calculation 9" xfId="408" xr:uid="{00000000-0005-0000-0000-000097010000}"/>
    <cellStyle name="Čiarka" xfId="409" builtinId="3"/>
    <cellStyle name="čiarky_Rozpočet_2013_2015" xfId="410" xr:uid="{00000000-0005-0000-0000-000099010000}"/>
    <cellStyle name="Dobrá" xfId="411" builtinId="26" customBuiltin="1"/>
    <cellStyle name="Explanatory Text" xfId="412" xr:uid="{00000000-0005-0000-0000-00009B010000}"/>
    <cellStyle name="Explanatory Text 1" xfId="413" xr:uid="{00000000-0005-0000-0000-00009C010000}"/>
    <cellStyle name="Explanatory Text 10" xfId="414" xr:uid="{00000000-0005-0000-0000-00009D010000}"/>
    <cellStyle name="Explanatory Text 11" xfId="415" xr:uid="{00000000-0005-0000-0000-00009E010000}"/>
    <cellStyle name="Explanatory Text 12" xfId="416" xr:uid="{00000000-0005-0000-0000-00009F010000}"/>
    <cellStyle name="Explanatory Text 13" xfId="417" xr:uid="{00000000-0005-0000-0000-0000A0010000}"/>
    <cellStyle name="Explanatory Text 14" xfId="418" xr:uid="{00000000-0005-0000-0000-0000A1010000}"/>
    <cellStyle name="Explanatory Text 2" xfId="419" xr:uid="{00000000-0005-0000-0000-0000A2010000}"/>
    <cellStyle name="Explanatory Text 3" xfId="420" xr:uid="{00000000-0005-0000-0000-0000A3010000}"/>
    <cellStyle name="Explanatory Text 4" xfId="421" xr:uid="{00000000-0005-0000-0000-0000A4010000}"/>
    <cellStyle name="Explanatory Text 5" xfId="422" xr:uid="{00000000-0005-0000-0000-0000A5010000}"/>
    <cellStyle name="Explanatory Text 6" xfId="423" xr:uid="{00000000-0005-0000-0000-0000A6010000}"/>
    <cellStyle name="Explanatory Text 7" xfId="424" xr:uid="{00000000-0005-0000-0000-0000A7010000}"/>
    <cellStyle name="Explanatory Text 8" xfId="425" xr:uid="{00000000-0005-0000-0000-0000A8010000}"/>
    <cellStyle name="Explanatory Text 9" xfId="426" xr:uid="{00000000-0005-0000-0000-0000A9010000}"/>
    <cellStyle name="Good" xfId="427" xr:uid="{00000000-0005-0000-0000-0000AA010000}"/>
    <cellStyle name="Good 1" xfId="428" xr:uid="{00000000-0005-0000-0000-0000AB010000}"/>
    <cellStyle name="Good 10" xfId="429" xr:uid="{00000000-0005-0000-0000-0000AC010000}"/>
    <cellStyle name="Good 11" xfId="430" xr:uid="{00000000-0005-0000-0000-0000AD010000}"/>
    <cellStyle name="Good 12" xfId="431" xr:uid="{00000000-0005-0000-0000-0000AE010000}"/>
    <cellStyle name="Good 13" xfId="432" xr:uid="{00000000-0005-0000-0000-0000AF010000}"/>
    <cellStyle name="Good 14" xfId="433" xr:uid="{00000000-0005-0000-0000-0000B0010000}"/>
    <cellStyle name="Good 2" xfId="434" xr:uid="{00000000-0005-0000-0000-0000B1010000}"/>
    <cellStyle name="Good 3" xfId="435" xr:uid="{00000000-0005-0000-0000-0000B2010000}"/>
    <cellStyle name="Good 4" xfId="436" xr:uid="{00000000-0005-0000-0000-0000B3010000}"/>
    <cellStyle name="Good 5" xfId="437" xr:uid="{00000000-0005-0000-0000-0000B4010000}"/>
    <cellStyle name="Good 6" xfId="438" xr:uid="{00000000-0005-0000-0000-0000B5010000}"/>
    <cellStyle name="Good 7" xfId="439" xr:uid="{00000000-0005-0000-0000-0000B6010000}"/>
    <cellStyle name="Good 8" xfId="440" xr:uid="{00000000-0005-0000-0000-0000B7010000}"/>
    <cellStyle name="Good 9" xfId="441" xr:uid="{00000000-0005-0000-0000-0000B8010000}"/>
    <cellStyle name="Heading 1" xfId="442" xr:uid="{00000000-0005-0000-0000-0000B9010000}"/>
    <cellStyle name="Heading 1 1" xfId="443" xr:uid="{00000000-0005-0000-0000-0000BA010000}"/>
    <cellStyle name="Heading 1 10" xfId="444" xr:uid="{00000000-0005-0000-0000-0000BB010000}"/>
    <cellStyle name="Heading 1 11" xfId="445" xr:uid="{00000000-0005-0000-0000-0000BC010000}"/>
    <cellStyle name="Heading 1 12" xfId="446" xr:uid="{00000000-0005-0000-0000-0000BD010000}"/>
    <cellStyle name="Heading 1 13" xfId="447" xr:uid="{00000000-0005-0000-0000-0000BE010000}"/>
    <cellStyle name="Heading 1 14" xfId="448" xr:uid="{00000000-0005-0000-0000-0000BF010000}"/>
    <cellStyle name="Heading 1 2" xfId="449" xr:uid="{00000000-0005-0000-0000-0000C0010000}"/>
    <cellStyle name="Heading 1 3" xfId="450" xr:uid="{00000000-0005-0000-0000-0000C1010000}"/>
    <cellStyle name="Heading 1 4" xfId="451" xr:uid="{00000000-0005-0000-0000-0000C2010000}"/>
    <cellStyle name="Heading 1 5" xfId="452" xr:uid="{00000000-0005-0000-0000-0000C3010000}"/>
    <cellStyle name="Heading 1 6" xfId="453" xr:uid="{00000000-0005-0000-0000-0000C4010000}"/>
    <cellStyle name="Heading 1 7" xfId="454" xr:uid="{00000000-0005-0000-0000-0000C5010000}"/>
    <cellStyle name="Heading 1 8" xfId="455" xr:uid="{00000000-0005-0000-0000-0000C6010000}"/>
    <cellStyle name="Heading 1 9" xfId="456" xr:uid="{00000000-0005-0000-0000-0000C7010000}"/>
    <cellStyle name="Heading 2" xfId="457" xr:uid="{00000000-0005-0000-0000-0000C8010000}"/>
    <cellStyle name="Heading 2 1" xfId="458" xr:uid="{00000000-0005-0000-0000-0000C9010000}"/>
    <cellStyle name="Heading 2 10" xfId="459" xr:uid="{00000000-0005-0000-0000-0000CA010000}"/>
    <cellStyle name="Heading 2 11" xfId="460" xr:uid="{00000000-0005-0000-0000-0000CB010000}"/>
    <cellStyle name="Heading 2 12" xfId="461" xr:uid="{00000000-0005-0000-0000-0000CC010000}"/>
    <cellStyle name="Heading 2 13" xfId="462" xr:uid="{00000000-0005-0000-0000-0000CD010000}"/>
    <cellStyle name="Heading 2 14" xfId="463" xr:uid="{00000000-0005-0000-0000-0000CE010000}"/>
    <cellStyle name="Heading 2 2" xfId="464" xr:uid="{00000000-0005-0000-0000-0000CF010000}"/>
    <cellStyle name="Heading 2 3" xfId="465" xr:uid="{00000000-0005-0000-0000-0000D0010000}"/>
    <cellStyle name="Heading 2 4" xfId="466" xr:uid="{00000000-0005-0000-0000-0000D1010000}"/>
    <cellStyle name="Heading 2 5" xfId="467" xr:uid="{00000000-0005-0000-0000-0000D2010000}"/>
    <cellStyle name="Heading 2 6" xfId="468" xr:uid="{00000000-0005-0000-0000-0000D3010000}"/>
    <cellStyle name="Heading 2 7" xfId="469" xr:uid="{00000000-0005-0000-0000-0000D4010000}"/>
    <cellStyle name="Heading 2 8" xfId="470" xr:uid="{00000000-0005-0000-0000-0000D5010000}"/>
    <cellStyle name="Heading 2 9" xfId="471" xr:uid="{00000000-0005-0000-0000-0000D6010000}"/>
    <cellStyle name="Heading 3" xfId="472" xr:uid="{00000000-0005-0000-0000-0000D7010000}"/>
    <cellStyle name="Heading 3 1" xfId="473" xr:uid="{00000000-0005-0000-0000-0000D8010000}"/>
    <cellStyle name="Heading 3 10" xfId="474" xr:uid="{00000000-0005-0000-0000-0000D9010000}"/>
    <cellStyle name="Heading 3 11" xfId="475" xr:uid="{00000000-0005-0000-0000-0000DA010000}"/>
    <cellStyle name="Heading 3 12" xfId="476" xr:uid="{00000000-0005-0000-0000-0000DB010000}"/>
    <cellStyle name="Heading 3 13" xfId="477" xr:uid="{00000000-0005-0000-0000-0000DC010000}"/>
    <cellStyle name="Heading 3 14" xfId="478" xr:uid="{00000000-0005-0000-0000-0000DD010000}"/>
    <cellStyle name="Heading 3 2" xfId="479" xr:uid="{00000000-0005-0000-0000-0000DE010000}"/>
    <cellStyle name="Heading 3 3" xfId="480" xr:uid="{00000000-0005-0000-0000-0000DF010000}"/>
    <cellStyle name="Heading 3 4" xfId="481" xr:uid="{00000000-0005-0000-0000-0000E0010000}"/>
    <cellStyle name="Heading 3 5" xfId="482" xr:uid="{00000000-0005-0000-0000-0000E1010000}"/>
    <cellStyle name="Heading 3 6" xfId="483" xr:uid="{00000000-0005-0000-0000-0000E2010000}"/>
    <cellStyle name="Heading 3 7" xfId="484" xr:uid="{00000000-0005-0000-0000-0000E3010000}"/>
    <cellStyle name="Heading 3 8" xfId="485" xr:uid="{00000000-0005-0000-0000-0000E4010000}"/>
    <cellStyle name="Heading 3 9" xfId="486" xr:uid="{00000000-0005-0000-0000-0000E5010000}"/>
    <cellStyle name="Heading 4" xfId="487" xr:uid="{00000000-0005-0000-0000-0000E6010000}"/>
    <cellStyle name="Heading 4 1" xfId="488" xr:uid="{00000000-0005-0000-0000-0000E7010000}"/>
    <cellStyle name="Heading 4 10" xfId="489" xr:uid="{00000000-0005-0000-0000-0000E8010000}"/>
    <cellStyle name="Heading 4 11" xfId="490" xr:uid="{00000000-0005-0000-0000-0000E9010000}"/>
    <cellStyle name="Heading 4 12" xfId="491" xr:uid="{00000000-0005-0000-0000-0000EA010000}"/>
    <cellStyle name="Heading 4 13" xfId="492" xr:uid="{00000000-0005-0000-0000-0000EB010000}"/>
    <cellStyle name="Heading 4 14" xfId="493" xr:uid="{00000000-0005-0000-0000-0000EC010000}"/>
    <cellStyle name="Heading 4 2" xfId="494" xr:uid="{00000000-0005-0000-0000-0000ED010000}"/>
    <cellStyle name="Heading 4 3" xfId="495" xr:uid="{00000000-0005-0000-0000-0000EE010000}"/>
    <cellStyle name="Heading 4 4" xfId="496" xr:uid="{00000000-0005-0000-0000-0000EF010000}"/>
    <cellStyle name="Heading 4 5" xfId="497" xr:uid="{00000000-0005-0000-0000-0000F0010000}"/>
    <cellStyle name="Heading 4 6" xfId="498" xr:uid="{00000000-0005-0000-0000-0000F1010000}"/>
    <cellStyle name="Heading 4 7" xfId="499" xr:uid="{00000000-0005-0000-0000-0000F2010000}"/>
    <cellStyle name="Heading 4 8" xfId="500" xr:uid="{00000000-0005-0000-0000-0000F3010000}"/>
    <cellStyle name="Heading 4 9" xfId="501" xr:uid="{00000000-0005-0000-0000-0000F4010000}"/>
    <cellStyle name="Check Cell" xfId="502" xr:uid="{00000000-0005-0000-0000-0000F5010000}"/>
    <cellStyle name="Check Cell 1" xfId="503" xr:uid="{00000000-0005-0000-0000-0000F6010000}"/>
    <cellStyle name="Check Cell 10" xfId="504" xr:uid="{00000000-0005-0000-0000-0000F7010000}"/>
    <cellStyle name="Check Cell 11" xfId="505" xr:uid="{00000000-0005-0000-0000-0000F8010000}"/>
    <cellStyle name="Check Cell 12" xfId="506" xr:uid="{00000000-0005-0000-0000-0000F9010000}"/>
    <cellStyle name="Check Cell 13" xfId="507" xr:uid="{00000000-0005-0000-0000-0000FA010000}"/>
    <cellStyle name="Check Cell 14" xfId="508" xr:uid="{00000000-0005-0000-0000-0000FB010000}"/>
    <cellStyle name="Check Cell 2" xfId="509" xr:uid="{00000000-0005-0000-0000-0000FC010000}"/>
    <cellStyle name="Check Cell 3" xfId="510" xr:uid="{00000000-0005-0000-0000-0000FD010000}"/>
    <cellStyle name="Check Cell 4" xfId="511" xr:uid="{00000000-0005-0000-0000-0000FE010000}"/>
    <cellStyle name="Check Cell 5" xfId="512" xr:uid="{00000000-0005-0000-0000-0000FF010000}"/>
    <cellStyle name="Check Cell 6" xfId="513" xr:uid="{00000000-0005-0000-0000-000000020000}"/>
    <cellStyle name="Check Cell 7" xfId="514" xr:uid="{00000000-0005-0000-0000-000001020000}"/>
    <cellStyle name="Check Cell 8" xfId="515" xr:uid="{00000000-0005-0000-0000-000002020000}"/>
    <cellStyle name="Check Cell 9" xfId="516" xr:uid="{00000000-0005-0000-0000-000003020000}"/>
    <cellStyle name="Input" xfId="517" xr:uid="{00000000-0005-0000-0000-000004020000}"/>
    <cellStyle name="Input 1" xfId="518" xr:uid="{00000000-0005-0000-0000-000005020000}"/>
    <cellStyle name="Input 10" xfId="519" xr:uid="{00000000-0005-0000-0000-000006020000}"/>
    <cellStyle name="Input 11" xfId="520" xr:uid="{00000000-0005-0000-0000-000007020000}"/>
    <cellStyle name="Input 12" xfId="521" xr:uid="{00000000-0005-0000-0000-000008020000}"/>
    <cellStyle name="Input 13" xfId="522" xr:uid="{00000000-0005-0000-0000-000009020000}"/>
    <cellStyle name="Input 14" xfId="523" xr:uid="{00000000-0005-0000-0000-00000A020000}"/>
    <cellStyle name="Input 2" xfId="524" xr:uid="{00000000-0005-0000-0000-00000B020000}"/>
    <cellStyle name="Input 3" xfId="525" xr:uid="{00000000-0005-0000-0000-00000C020000}"/>
    <cellStyle name="Input 4" xfId="526" xr:uid="{00000000-0005-0000-0000-00000D020000}"/>
    <cellStyle name="Input 5" xfId="527" xr:uid="{00000000-0005-0000-0000-00000E020000}"/>
    <cellStyle name="Input 6" xfId="528" xr:uid="{00000000-0005-0000-0000-00000F020000}"/>
    <cellStyle name="Input 7" xfId="529" xr:uid="{00000000-0005-0000-0000-000010020000}"/>
    <cellStyle name="Input 8" xfId="530" xr:uid="{00000000-0005-0000-0000-000011020000}"/>
    <cellStyle name="Input 9" xfId="531" xr:uid="{00000000-0005-0000-0000-000012020000}"/>
    <cellStyle name="Kontrolná bunka" xfId="532" builtinId="23" customBuiltin="1"/>
    <cellStyle name="Linked Cell" xfId="533" xr:uid="{00000000-0005-0000-0000-000014020000}"/>
    <cellStyle name="Linked Cell 1" xfId="534" xr:uid="{00000000-0005-0000-0000-000015020000}"/>
    <cellStyle name="Linked Cell 10" xfId="535" xr:uid="{00000000-0005-0000-0000-000016020000}"/>
    <cellStyle name="Linked Cell 11" xfId="536" xr:uid="{00000000-0005-0000-0000-000017020000}"/>
    <cellStyle name="Linked Cell 12" xfId="537" xr:uid="{00000000-0005-0000-0000-000018020000}"/>
    <cellStyle name="Linked Cell 13" xfId="538" xr:uid="{00000000-0005-0000-0000-000019020000}"/>
    <cellStyle name="Linked Cell 14" xfId="539" xr:uid="{00000000-0005-0000-0000-00001A020000}"/>
    <cellStyle name="Linked Cell 2" xfId="540" xr:uid="{00000000-0005-0000-0000-00001B020000}"/>
    <cellStyle name="Linked Cell 3" xfId="541" xr:uid="{00000000-0005-0000-0000-00001C020000}"/>
    <cellStyle name="Linked Cell 4" xfId="542" xr:uid="{00000000-0005-0000-0000-00001D020000}"/>
    <cellStyle name="Linked Cell 5" xfId="543" xr:uid="{00000000-0005-0000-0000-00001E020000}"/>
    <cellStyle name="Linked Cell 6" xfId="544" xr:uid="{00000000-0005-0000-0000-00001F020000}"/>
    <cellStyle name="Linked Cell 7" xfId="545" xr:uid="{00000000-0005-0000-0000-000020020000}"/>
    <cellStyle name="Linked Cell 8" xfId="546" xr:uid="{00000000-0005-0000-0000-000021020000}"/>
    <cellStyle name="Linked Cell 9" xfId="547" xr:uid="{00000000-0005-0000-0000-000022020000}"/>
    <cellStyle name="meny_Rozpočet_2013_2015" xfId="548" xr:uid="{00000000-0005-0000-0000-000023020000}"/>
    <cellStyle name="Nadpis 1" xfId="549" builtinId="16" customBuiltin="1"/>
    <cellStyle name="Nadpis 2" xfId="550" builtinId="17" customBuiltin="1"/>
    <cellStyle name="Nadpis 3" xfId="551" builtinId="18" customBuiltin="1"/>
    <cellStyle name="Nadpis 4" xfId="552" builtinId="19" customBuiltin="1"/>
    <cellStyle name="Názov" xfId="619" builtinId="15" customBuiltin="1"/>
    <cellStyle name="Neutral" xfId="553" xr:uid="{00000000-0005-0000-0000-000028020000}"/>
    <cellStyle name="Neutral 1" xfId="554" xr:uid="{00000000-0005-0000-0000-000029020000}"/>
    <cellStyle name="Neutral 10" xfId="555" xr:uid="{00000000-0005-0000-0000-00002A020000}"/>
    <cellStyle name="Neutral 11" xfId="556" xr:uid="{00000000-0005-0000-0000-00002B020000}"/>
    <cellStyle name="Neutral 12" xfId="557" xr:uid="{00000000-0005-0000-0000-00002C020000}"/>
    <cellStyle name="Neutral 13" xfId="558" xr:uid="{00000000-0005-0000-0000-00002D020000}"/>
    <cellStyle name="Neutral 14" xfId="559" xr:uid="{00000000-0005-0000-0000-00002E020000}"/>
    <cellStyle name="Neutral 2" xfId="560" xr:uid="{00000000-0005-0000-0000-00002F020000}"/>
    <cellStyle name="Neutral 3" xfId="561" xr:uid="{00000000-0005-0000-0000-000030020000}"/>
    <cellStyle name="Neutral 4" xfId="562" xr:uid="{00000000-0005-0000-0000-000031020000}"/>
    <cellStyle name="Neutral 5" xfId="563" xr:uid="{00000000-0005-0000-0000-000032020000}"/>
    <cellStyle name="Neutral 6" xfId="564" xr:uid="{00000000-0005-0000-0000-000033020000}"/>
    <cellStyle name="Neutral 7" xfId="565" xr:uid="{00000000-0005-0000-0000-000034020000}"/>
    <cellStyle name="Neutral 8" xfId="566" xr:uid="{00000000-0005-0000-0000-000035020000}"/>
    <cellStyle name="Neutral 9" xfId="567" xr:uid="{00000000-0005-0000-0000-000036020000}"/>
    <cellStyle name="Neutrálna" xfId="568" builtinId="28" customBuiltin="1"/>
    <cellStyle name="Normálna" xfId="0" builtinId="0"/>
    <cellStyle name="normálne_Rozpočet_2013_2015" xfId="569" xr:uid="{00000000-0005-0000-0000-000039020000}"/>
    <cellStyle name="Note" xfId="570" xr:uid="{00000000-0005-0000-0000-00003A020000}"/>
    <cellStyle name="Note 1" xfId="571" xr:uid="{00000000-0005-0000-0000-00003B020000}"/>
    <cellStyle name="Note 10" xfId="572" xr:uid="{00000000-0005-0000-0000-00003C020000}"/>
    <cellStyle name="Note 11" xfId="573" xr:uid="{00000000-0005-0000-0000-00003D020000}"/>
    <cellStyle name="Note 12" xfId="574" xr:uid="{00000000-0005-0000-0000-00003E020000}"/>
    <cellStyle name="Note 13" xfId="575" xr:uid="{00000000-0005-0000-0000-00003F020000}"/>
    <cellStyle name="Note 14" xfId="576" xr:uid="{00000000-0005-0000-0000-000040020000}"/>
    <cellStyle name="Note 2" xfId="577" xr:uid="{00000000-0005-0000-0000-000041020000}"/>
    <cellStyle name="Note 3" xfId="578" xr:uid="{00000000-0005-0000-0000-000042020000}"/>
    <cellStyle name="Note 4" xfId="579" xr:uid="{00000000-0005-0000-0000-000043020000}"/>
    <cellStyle name="Note 5" xfId="580" xr:uid="{00000000-0005-0000-0000-000044020000}"/>
    <cellStyle name="Note 6" xfId="581" xr:uid="{00000000-0005-0000-0000-000045020000}"/>
    <cellStyle name="Note 7" xfId="582" xr:uid="{00000000-0005-0000-0000-000046020000}"/>
    <cellStyle name="Note 8" xfId="583" xr:uid="{00000000-0005-0000-0000-000047020000}"/>
    <cellStyle name="Note 9" xfId="584" xr:uid="{00000000-0005-0000-0000-000048020000}"/>
    <cellStyle name="Output" xfId="585" xr:uid="{00000000-0005-0000-0000-000049020000}"/>
    <cellStyle name="Output 1" xfId="586" xr:uid="{00000000-0005-0000-0000-00004A020000}"/>
    <cellStyle name="Output 10" xfId="587" xr:uid="{00000000-0005-0000-0000-00004B020000}"/>
    <cellStyle name="Output 11" xfId="588" xr:uid="{00000000-0005-0000-0000-00004C020000}"/>
    <cellStyle name="Output 12" xfId="589" xr:uid="{00000000-0005-0000-0000-00004D020000}"/>
    <cellStyle name="Output 13" xfId="590" xr:uid="{00000000-0005-0000-0000-00004E020000}"/>
    <cellStyle name="Output 14" xfId="591" xr:uid="{00000000-0005-0000-0000-00004F020000}"/>
    <cellStyle name="Output 2" xfId="592" xr:uid="{00000000-0005-0000-0000-000050020000}"/>
    <cellStyle name="Output 3" xfId="593" xr:uid="{00000000-0005-0000-0000-000051020000}"/>
    <cellStyle name="Output 4" xfId="594" xr:uid="{00000000-0005-0000-0000-000052020000}"/>
    <cellStyle name="Output 5" xfId="595" xr:uid="{00000000-0005-0000-0000-000053020000}"/>
    <cellStyle name="Output 6" xfId="596" xr:uid="{00000000-0005-0000-0000-000054020000}"/>
    <cellStyle name="Output 7" xfId="597" xr:uid="{00000000-0005-0000-0000-000055020000}"/>
    <cellStyle name="Output 8" xfId="598" xr:uid="{00000000-0005-0000-0000-000056020000}"/>
    <cellStyle name="Output 9" xfId="599" xr:uid="{00000000-0005-0000-0000-000057020000}"/>
    <cellStyle name="Poznámka" xfId="600" builtinId="10" customBuiltin="1"/>
    <cellStyle name="Prepojená bunka" xfId="601" builtinId="24" customBuiltin="1"/>
    <cellStyle name="Spolu" xfId="602" builtinId="25" customBuiltin="1"/>
    <cellStyle name="Text upozornenia" xfId="603" builtinId="11" customBuiltin="1"/>
    <cellStyle name="Title" xfId="604" xr:uid="{00000000-0005-0000-0000-00005C020000}"/>
    <cellStyle name="Title 1" xfId="605" xr:uid="{00000000-0005-0000-0000-00005D020000}"/>
    <cellStyle name="Title 10" xfId="606" xr:uid="{00000000-0005-0000-0000-00005E020000}"/>
    <cellStyle name="Title 11" xfId="607" xr:uid="{00000000-0005-0000-0000-00005F020000}"/>
    <cellStyle name="Title 12" xfId="608" xr:uid="{00000000-0005-0000-0000-000060020000}"/>
    <cellStyle name="Title 13" xfId="609" xr:uid="{00000000-0005-0000-0000-000061020000}"/>
    <cellStyle name="Title 14" xfId="610" xr:uid="{00000000-0005-0000-0000-000062020000}"/>
    <cellStyle name="Title 2" xfId="611" xr:uid="{00000000-0005-0000-0000-000063020000}"/>
    <cellStyle name="Title 3" xfId="612" xr:uid="{00000000-0005-0000-0000-000064020000}"/>
    <cellStyle name="Title 4" xfId="613" xr:uid="{00000000-0005-0000-0000-000065020000}"/>
    <cellStyle name="Title 5" xfId="614" xr:uid="{00000000-0005-0000-0000-000066020000}"/>
    <cellStyle name="Title 6" xfId="615" xr:uid="{00000000-0005-0000-0000-000067020000}"/>
    <cellStyle name="Title 7" xfId="616" xr:uid="{00000000-0005-0000-0000-000068020000}"/>
    <cellStyle name="Title 8" xfId="617" xr:uid="{00000000-0005-0000-0000-000069020000}"/>
    <cellStyle name="Title 9" xfId="618" xr:uid="{00000000-0005-0000-0000-00006A020000}"/>
    <cellStyle name="Total" xfId="620" xr:uid="{00000000-0005-0000-0000-00006C020000}"/>
    <cellStyle name="Total 1" xfId="621" xr:uid="{00000000-0005-0000-0000-00006D020000}"/>
    <cellStyle name="Total 10" xfId="622" xr:uid="{00000000-0005-0000-0000-00006E020000}"/>
    <cellStyle name="Total 11" xfId="623" xr:uid="{00000000-0005-0000-0000-00006F020000}"/>
    <cellStyle name="Total 12" xfId="624" xr:uid="{00000000-0005-0000-0000-000070020000}"/>
    <cellStyle name="Total 13" xfId="625" xr:uid="{00000000-0005-0000-0000-000071020000}"/>
    <cellStyle name="Total 14" xfId="626" xr:uid="{00000000-0005-0000-0000-000072020000}"/>
    <cellStyle name="Total 2" xfId="627" xr:uid="{00000000-0005-0000-0000-000073020000}"/>
    <cellStyle name="Total 3" xfId="628" xr:uid="{00000000-0005-0000-0000-000074020000}"/>
    <cellStyle name="Total 4" xfId="629" xr:uid="{00000000-0005-0000-0000-000075020000}"/>
    <cellStyle name="Total 5" xfId="630" xr:uid="{00000000-0005-0000-0000-000076020000}"/>
    <cellStyle name="Total 6" xfId="631" xr:uid="{00000000-0005-0000-0000-000077020000}"/>
    <cellStyle name="Total 7" xfId="632" xr:uid="{00000000-0005-0000-0000-000078020000}"/>
    <cellStyle name="Total 8" xfId="633" xr:uid="{00000000-0005-0000-0000-000079020000}"/>
    <cellStyle name="Total 9" xfId="634" xr:uid="{00000000-0005-0000-0000-00007A020000}"/>
    <cellStyle name="Vstup" xfId="635" builtinId="20" customBuiltin="1"/>
    <cellStyle name="Výpočet" xfId="636" builtinId="22" customBuiltin="1"/>
    <cellStyle name="Výstup" xfId="637" builtinId="21" customBuiltin="1"/>
    <cellStyle name="Vysvetľujúci text" xfId="638" builtinId="53" customBuiltin="1"/>
    <cellStyle name="Warning Text" xfId="639" xr:uid="{00000000-0005-0000-0000-00007F020000}"/>
    <cellStyle name="Warning Text 1" xfId="640" xr:uid="{00000000-0005-0000-0000-000080020000}"/>
    <cellStyle name="Warning Text 10" xfId="641" xr:uid="{00000000-0005-0000-0000-000081020000}"/>
    <cellStyle name="Warning Text 11" xfId="642" xr:uid="{00000000-0005-0000-0000-000082020000}"/>
    <cellStyle name="Warning Text 12" xfId="643" xr:uid="{00000000-0005-0000-0000-000083020000}"/>
    <cellStyle name="Warning Text 13" xfId="644" xr:uid="{00000000-0005-0000-0000-000084020000}"/>
    <cellStyle name="Warning Text 14" xfId="645" xr:uid="{00000000-0005-0000-0000-000085020000}"/>
    <cellStyle name="Warning Text 2" xfId="646" xr:uid="{00000000-0005-0000-0000-000086020000}"/>
    <cellStyle name="Warning Text 3" xfId="647" xr:uid="{00000000-0005-0000-0000-000087020000}"/>
    <cellStyle name="Warning Text 4" xfId="648" xr:uid="{00000000-0005-0000-0000-000088020000}"/>
    <cellStyle name="Warning Text 5" xfId="649" xr:uid="{00000000-0005-0000-0000-000089020000}"/>
    <cellStyle name="Warning Text 6" xfId="650" xr:uid="{00000000-0005-0000-0000-00008A020000}"/>
    <cellStyle name="Warning Text 7" xfId="651" xr:uid="{00000000-0005-0000-0000-00008B020000}"/>
    <cellStyle name="Warning Text 8" xfId="652" xr:uid="{00000000-0005-0000-0000-00008C020000}"/>
    <cellStyle name="Warning Text 9" xfId="653" xr:uid="{00000000-0005-0000-0000-00008D020000}"/>
    <cellStyle name="Zlá" xfId="654" builtinId="27" customBuiltin="1"/>
    <cellStyle name="Zvýraznenie1" xfId="655" builtinId="29" customBuiltin="1"/>
    <cellStyle name="Zvýraznenie2" xfId="656" builtinId="33" customBuiltin="1"/>
    <cellStyle name="Zvýraznenie3" xfId="657" builtinId="37" customBuiltin="1"/>
    <cellStyle name="Zvýraznenie4" xfId="658" builtinId="41" customBuiltin="1"/>
    <cellStyle name="Zvýraznenie5" xfId="659" builtinId="45" customBuiltin="1"/>
    <cellStyle name="Zvýraznenie6" xfId="660" builtinId="49" customBuiltin="1"/>
  </cellStyles>
  <dxfs count="0"/>
  <tableStyles count="0" defaultTableStyle="TableStyleMedium2" defaultPivotStyle="PivotStyleLight16"/>
  <colors>
    <mruColors>
      <color rgb="FFFFFFCC"/>
      <color rgb="FFFF99CC"/>
      <color rgb="FFFFCC99"/>
      <color rgb="FFCCFFCC"/>
      <color rgb="FFFFFF99"/>
      <color rgb="FFFFFF66"/>
      <color rgb="FFFFFF00"/>
      <color rgb="FFFF99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9</xdr:row>
      <xdr:rowOff>9525</xdr:rowOff>
    </xdr:from>
    <xdr:to>
      <xdr:col>5</xdr:col>
      <xdr:colOff>76200</xdr:colOff>
      <xdr:row>14</xdr:row>
      <xdr:rowOff>85725</xdr:rowOff>
    </xdr:to>
    <xdr:pic>
      <xdr:nvPicPr>
        <xdr:cNvPr id="2" name="Obrázok 1" descr="erb">
          <a:extLst>
            <a:ext uri="{FF2B5EF4-FFF2-40B4-BE49-F238E27FC236}">
              <a16:creationId xmlns:a16="http://schemas.microsoft.com/office/drawing/2014/main" id="{55214316-634A-4D7A-A268-56511269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466850"/>
          <a:ext cx="781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vrh%20rozpo&#269;tu%202025up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al"/>
      <sheetName val="návrh"/>
      <sheetName val="príjmová časť"/>
      <sheetName val="príjmy"/>
      <sheetName val="Program 1"/>
      <sheetName val="TP1"/>
      <sheetName val="Program 2"/>
      <sheetName val="TP2"/>
      <sheetName val="Program 3"/>
      <sheetName val="TP3"/>
      <sheetName val="Program 4"/>
      <sheetName val="TP4"/>
      <sheetName val="Program 5"/>
      <sheetName val="TP5"/>
      <sheetName val="Program 6"/>
      <sheetName val="TP6"/>
      <sheetName val="Program 7"/>
      <sheetName val="TP7"/>
      <sheetName val="Program 8"/>
      <sheetName val="TP8"/>
      <sheetName val="Program 9"/>
      <sheetName val="TP9"/>
      <sheetName val="Program 10"/>
      <sheetName val="TP10"/>
      <sheetName val="Bilancia"/>
      <sheetName val="výdav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H7">
            <v>123000</v>
          </cell>
          <cell r="I7">
            <v>144332.4</v>
          </cell>
          <cell r="J7">
            <v>122750</v>
          </cell>
          <cell r="K7">
            <v>169739</v>
          </cell>
          <cell r="L7">
            <v>183250</v>
          </cell>
          <cell r="M7">
            <v>123750</v>
          </cell>
          <cell r="N7">
            <v>119600</v>
          </cell>
        </row>
        <row r="11">
          <cell r="H11">
            <v>29430</v>
          </cell>
          <cell r="I11">
            <v>33503.25</v>
          </cell>
          <cell r="J11">
            <v>24000</v>
          </cell>
          <cell r="K11">
            <v>41100</v>
          </cell>
          <cell r="L11">
            <v>27000</v>
          </cell>
          <cell r="M11">
            <v>27000</v>
          </cell>
          <cell r="N11">
            <v>27000</v>
          </cell>
        </row>
        <row r="19">
          <cell r="H19">
            <v>16000</v>
          </cell>
          <cell r="I19">
            <v>34671.26</v>
          </cell>
          <cell r="J19">
            <v>26000</v>
          </cell>
          <cell r="K19">
            <v>42160</v>
          </cell>
          <cell r="L19">
            <v>26000</v>
          </cell>
          <cell r="M19">
            <v>26000</v>
          </cell>
          <cell r="N19">
            <v>27000</v>
          </cell>
        </row>
        <row r="28">
          <cell r="H28">
            <v>63820</v>
          </cell>
          <cell r="I28">
            <v>49677.479999999996</v>
          </cell>
          <cell r="J28">
            <v>54250</v>
          </cell>
          <cell r="K28">
            <v>72320</v>
          </cell>
          <cell r="L28">
            <v>65750</v>
          </cell>
          <cell r="M28">
            <v>55250</v>
          </cell>
          <cell r="N28">
            <v>55100</v>
          </cell>
        </row>
        <row r="29">
          <cell r="H29">
            <v>48900</v>
          </cell>
          <cell r="I29">
            <v>37541.039999999994</v>
          </cell>
          <cell r="J29">
            <v>41600</v>
          </cell>
          <cell r="K29">
            <v>59440</v>
          </cell>
          <cell r="L29">
            <v>53100</v>
          </cell>
          <cell r="M29">
            <v>42600</v>
          </cell>
          <cell r="N29">
            <v>42600</v>
          </cell>
        </row>
        <row r="43">
          <cell r="H43">
            <v>1470</v>
          </cell>
          <cell r="I43">
            <v>1655.69</v>
          </cell>
          <cell r="J43">
            <v>1650</v>
          </cell>
          <cell r="K43">
            <v>1650</v>
          </cell>
          <cell r="L43">
            <v>1650</v>
          </cell>
          <cell r="M43">
            <v>1650</v>
          </cell>
          <cell r="N43">
            <v>1500</v>
          </cell>
        </row>
        <row r="47">
          <cell r="H47">
            <v>1100</v>
          </cell>
          <cell r="I47">
            <v>866.1</v>
          </cell>
          <cell r="J47">
            <v>1000</v>
          </cell>
          <cell r="K47">
            <v>1000</v>
          </cell>
          <cell r="L47">
            <v>1000</v>
          </cell>
          <cell r="M47">
            <v>1000</v>
          </cell>
          <cell r="N47">
            <v>1000</v>
          </cell>
        </row>
        <row r="51">
          <cell r="H51">
            <v>12350</v>
          </cell>
          <cell r="I51">
            <v>9614.65</v>
          </cell>
          <cell r="J51">
            <v>10000</v>
          </cell>
          <cell r="K51">
            <v>10230</v>
          </cell>
          <cell r="L51">
            <v>10000</v>
          </cell>
          <cell r="M51">
            <v>10000</v>
          </cell>
          <cell r="N51">
            <v>10000</v>
          </cell>
        </row>
        <row r="56">
          <cell r="H56">
            <v>4500</v>
          </cell>
          <cell r="I56">
            <v>15334.619999999999</v>
          </cell>
          <cell r="J56">
            <v>13500</v>
          </cell>
          <cell r="K56">
            <v>10659</v>
          </cell>
          <cell r="L56">
            <v>11500</v>
          </cell>
          <cell r="M56">
            <v>12500</v>
          </cell>
          <cell r="N56">
            <v>7500</v>
          </cell>
        </row>
        <row r="65">
          <cell r="H65">
            <v>5250</v>
          </cell>
          <cell r="I65">
            <v>1651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70">
          <cell r="H70">
            <v>4000</v>
          </cell>
          <cell r="I70">
            <v>9494.7900000000009</v>
          </cell>
          <cell r="J70">
            <v>5000</v>
          </cell>
          <cell r="K70">
            <v>3500</v>
          </cell>
          <cell r="L70">
            <v>53000</v>
          </cell>
          <cell r="M70">
            <v>3000</v>
          </cell>
          <cell r="N70">
            <v>3000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325">
          <cell r="D325">
            <v>19050</v>
          </cell>
          <cell r="E325">
            <v>14253.7</v>
          </cell>
          <cell r="F325">
            <v>12500</v>
          </cell>
          <cell r="G325">
            <v>20000</v>
          </cell>
          <cell r="H325">
            <v>15000</v>
          </cell>
          <cell r="I325">
            <v>15000</v>
          </cell>
          <cell r="J325">
            <v>15000</v>
          </cell>
        </row>
        <row r="326">
          <cell r="D326">
            <v>3880</v>
          </cell>
          <cell r="E326">
            <v>9455.61</v>
          </cell>
          <cell r="F326">
            <v>5000</v>
          </cell>
          <cell r="G326">
            <v>5000</v>
          </cell>
          <cell r="H326">
            <v>5000</v>
          </cell>
          <cell r="I326">
            <v>5000</v>
          </cell>
          <cell r="J326">
            <v>5000</v>
          </cell>
        </row>
        <row r="327">
          <cell r="E327">
            <v>800</v>
          </cell>
        </row>
        <row r="328">
          <cell r="D328">
            <v>5000</v>
          </cell>
          <cell r="E328">
            <v>6240.8</v>
          </cell>
          <cell r="F328">
            <v>5000</v>
          </cell>
          <cell r="G328">
            <v>5000</v>
          </cell>
          <cell r="H328">
            <v>5000</v>
          </cell>
          <cell r="I328">
            <v>5000</v>
          </cell>
          <cell r="J328">
            <v>5000</v>
          </cell>
        </row>
        <row r="329">
          <cell r="D329">
            <v>500</v>
          </cell>
          <cell r="E329">
            <v>966.38</v>
          </cell>
          <cell r="F329">
            <v>500</v>
          </cell>
          <cell r="G329">
            <v>4100</v>
          </cell>
          <cell r="H329">
            <v>1000</v>
          </cell>
          <cell r="I329">
            <v>1000</v>
          </cell>
          <cell r="J329">
            <v>1000</v>
          </cell>
        </row>
        <row r="330">
          <cell r="D330">
            <v>1000</v>
          </cell>
          <cell r="E330">
            <v>1786.76</v>
          </cell>
          <cell r="F330">
            <v>1000</v>
          </cell>
          <cell r="G330">
            <v>7000</v>
          </cell>
          <cell r="H330">
            <v>1000</v>
          </cell>
          <cell r="I330">
            <v>1000</v>
          </cell>
          <cell r="J330">
            <v>1000</v>
          </cell>
        </row>
        <row r="331">
          <cell r="E331">
            <v>0</v>
          </cell>
        </row>
        <row r="333">
          <cell r="D333">
            <v>15000</v>
          </cell>
          <cell r="E333">
            <v>29174.9</v>
          </cell>
          <cell r="F333">
            <v>25000</v>
          </cell>
          <cell r="G333">
            <v>35000</v>
          </cell>
          <cell r="H333">
            <v>25000</v>
          </cell>
          <cell r="I333">
            <v>25000</v>
          </cell>
          <cell r="J333">
            <v>26000</v>
          </cell>
        </row>
        <row r="335">
          <cell r="D335">
            <v>1000</v>
          </cell>
          <cell r="E335">
            <v>500</v>
          </cell>
          <cell r="F335">
            <v>1000</v>
          </cell>
          <cell r="G335">
            <v>500</v>
          </cell>
          <cell r="H335">
            <v>1000</v>
          </cell>
          <cell r="I335">
            <v>1000</v>
          </cell>
          <cell r="J335">
            <v>1000</v>
          </cell>
        </row>
        <row r="339">
          <cell r="D339">
            <v>18500</v>
          </cell>
          <cell r="E339">
            <v>19284.48</v>
          </cell>
          <cell r="F339">
            <v>18800</v>
          </cell>
          <cell r="G339">
            <v>20000</v>
          </cell>
          <cell r="H339">
            <v>20000</v>
          </cell>
          <cell r="I339">
            <v>20000</v>
          </cell>
          <cell r="J339">
            <v>20000</v>
          </cell>
        </row>
        <row r="340">
          <cell r="D340">
            <v>7800</v>
          </cell>
          <cell r="E340">
            <v>7026.26</v>
          </cell>
          <cell r="F340">
            <v>6300</v>
          </cell>
          <cell r="G340">
            <v>6900</v>
          </cell>
          <cell r="H340">
            <v>8000</v>
          </cell>
          <cell r="I340">
            <v>8000</v>
          </cell>
          <cell r="J340">
            <v>8000</v>
          </cell>
        </row>
        <row r="342">
          <cell r="D342">
            <v>100</v>
          </cell>
          <cell r="E342">
            <v>0</v>
          </cell>
          <cell r="F342">
            <v>100</v>
          </cell>
          <cell r="G342">
            <v>100</v>
          </cell>
          <cell r="H342">
            <v>100</v>
          </cell>
          <cell r="I342">
            <v>100</v>
          </cell>
          <cell r="J342">
            <v>100</v>
          </cell>
        </row>
        <row r="343">
          <cell r="D343">
            <v>18000</v>
          </cell>
          <cell r="E343">
            <v>10504.83</v>
          </cell>
          <cell r="F343">
            <v>11000</v>
          </cell>
          <cell r="G343">
            <v>17000</v>
          </cell>
          <cell r="H343">
            <v>15000</v>
          </cell>
          <cell r="I343">
            <v>10000</v>
          </cell>
          <cell r="J343">
            <v>10000</v>
          </cell>
        </row>
        <row r="344">
          <cell r="D344">
            <v>500</v>
          </cell>
          <cell r="E344">
            <v>513.77</v>
          </cell>
          <cell r="F344">
            <v>500</v>
          </cell>
          <cell r="G344">
            <v>500</v>
          </cell>
          <cell r="H344">
            <v>500</v>
          </cell>
          <cell r="I344">
            <v>500</v>
          </cell>
          <cell r="J344">
            <v>500</v>
          </cell>
        </row>
        <row r="345">
          <cell r="D345">
            <v>300</v>
          </cell>
          <cell r="E345">
            <v>0</v>
          </cell>
          <cell r="F345">
            <v>0</v>
          </cell>
          <cell r="G345">
            <v>350</v>
          </cell>
          <cell r="H345">
            <v>300</v>
          </cell>
          <cell r="I345">
            <v>300</v>
          </cell>
        </row>
        <row r="346">
          <cell r="D346">
            <v>500</v>
          </cell>
          <cell r="E346">
            <v>25.7</v>
          </cell>
          <cell r="F346">
            <v>500</v>
          </cell>
          <cell r="G346">
            <v>500</v>
          </cell>
          <cell r="H346">
            <v>500</v>
          </cell>
          <cell r="I346">
            <v>500</v>
          </cell>
          <cell r="J346">
            <v>500</v>
          </cell>
        </row>
        <row r="347">
          <cell r="E347">
            <v>0</v>
          </cell>
          <cell r="F347">
            <v>0</v>
          </cell>
        </row>
        <row r="348">
          <cell r="D348">
            <v>1000</v>
          </cell>
          <cell r="E348">
            <v>1156.42</v>
          </cell>
          <cell r="F348">
            <v>1000</v>
          </cell>
          <cell r="G348">
            <v>1000</v>
          </cell>
          <cell r="H348">
            <v>1000</v>
          </cell>
          <cell r="I348">
            <v>1000</v>
          </cell>
          <cell r="J348">
            <v>1000</v>
          </cell>
        </row>
        <row r="349">
          <cell r="D349">
            <v>0</v>
          </cell>
          <cell r="E349">
            <v>280</v>
          </cell>
          <cell r="F349">
            <v>0</v>
          </cell>
          <cell r="G349">
            <v>1069</v>
          </cell>
        </row>
        <row r="351">
          <cell r="D351">
            <v>200</v>
          </cell>
          <cell r="E351">
            <v>0</v>
          </cell>
          <cell r="F351">
            <v>200</v>
          </cell>
          <cell r="G351">
            <v>200</v>
          </cell>
          <cell r="H351">
            <v>200</v>
          </cell>
          <cell r="I351">
            <v>200</v>
          </cell>
          <cell r="J351">
            <v>200</v>
          </cell>
        </row>
        <row r="352">
          <cell r="D352">
            <v>1500</v>
          </cell>
          <cell r="E352">
            <v>0</v>
          </cell>
          <cell r="F352">
            <v>1500</v>
          </cell>
          <cell r="G352">
            <v>1500</v>
          </cell>
          <cell r="H352">
            <v>1500</v>
          </cell>
          <cell r="I352">
            <v>1500</v>
          </cell>
          <cell r="J352">
            <v>1500</v>
          </cell>
        </row>
        <row r="353">
          <cell r="D353">
            <v>1000</v>
          </cell>
          <cell r="E353">
            <v>0</v>
          </cell>
          <cell r="F353">
            <v>1000</v>
          </cell>
          <cell r="G353">
            <v>1000</v>
          </cell>
          <cell r="H353">
            <v>1000</v>
          </cell>
          <cell r="I353">
            <v>1000</v>
          </cell>
          <cell r="J353">
            <v>1000</v>
          </cell>
        </row>
        <row r="356">
          <cell r="D356">
            <v>500</v>
          </cell>
          <cell r="E356">
            <v>186</v>
          </cell>
          <cell r="F356">
            <v>700</v>
          </cell>
          <cell r="G356">
            <v>3500</v>
          </cell>
          <cell r="H356">
            <v>5000</v>
          </cell>
          <cell r="I356">
            <v>500</v>
          </cell>
          <cell r="J356">
            <v>500</v>
          </cell>
        </row>
        <row r="357">
          <cell r="D357">
            <v>3000</v>
          </cell>
          <cell r="E357">
            <v>13433.65</v>
          </cell>
          <cell r="F357">
            <v>13000</v>
          </cell>
          <cell r="G357">
            <v>8000</v>
          </cell>
          <cell r="H357">
            <v>10000</v>
          </cell>
          <cell r="I357">
            <v>10000</v>
          </cell>
          <cell r="J357">
            <v>5000</v>
          </cell>
        </row>
        <row r="359">
          <cell r="F359">
            <v>0</v>
          </cell>
          <cell r="J359">
            <v>0</v>
          </cell>
        </row>
        <row r="360">
          <cell r="D360">
            <v>500</v>
          </cell>
          <cell r="E360">
            <v>464.55</v>
          </cell>
          <cell r="F360">
            <v>500</v>
          </cell>
          <cell r="G360">
            <v>1590</v>
          </cell>
          <cell r="H360">
            <v>1500</v>
          </cell>
          <cell r="I360">
            <v>1500</v>
          </cell>
          <cell r="J360">
            <v>1500</v>
          </cell>
        </row>
        <row r="363">
          <cell r="D363">
            <v>1470</v>
          </cell>
          <cell r="E363">
            <v>1655.69</v>
          </cell>
          <cell r="F363">
            <v>1650</v>
          </cell>
          <cell r="G363">
            <v>1650</v>
          </cell>
          <cell r="H363">
            <v>1650</v>
          </cell>
          <cell r="I363">
            <v>1650</v>
          </cell>
          <cell r="J363">
            <v>1500</v>
          </cell>
        </row>
        <row r="374">
          <cell r="D374">
            <v>1100</v>
          </cell>
          <cell r="E374">
            <v>866.1</v>
          </cell>
          <cell r="F374">
            <v>1000</v>
          </cell>
          <cell r="G374">
            <v>1000</v>
          </cell>
          <cell r="H374">
            <v>1000</v>
          </cell>
          <cell r="I374">
            <v>1000</v>
          </cell>
          <cell r="J374">
            <v>1000</v>
          </cell>
        </row>
        <row r="377">
          <cell r="D377">
            <v>2350</v>
          </cell>
          <cell r="E377">
            <v>0</v>
          </cell>
          <cell r="F377">
            <v>0</v>
          </cell>
          <cell r="G377">
            <v>230</v>
          </cell>
          <cell r="H377">
            <v>0</v>
          </cell>
          <cell r="I377">
            <v>0</v>
          </cell>
          <cell r="J377">
            <v>0</v>
          </cell>
        </row>
        <row r="378">
          <cell r="D378">
            <v>10000</v>
          </cell>
          <cell r="E378">
            <v>9614.65</v>
          </cell>
          <cell r="F378">
            <v>10000</v>
          </cell>
          <cell r="G378">
            <v>10000</v>
          </cell>
          <cell r="H378">
            <v>10000</v>
          </cell>
          <cell r="I378">
            <v>10000</v>
          </cell>
          <cell r="J378">
            <v>10000</v>
          </cell>
        </row>
        <row r="380">
          <cell r="D380">
            <v>3000</v>
          </cell>
          <cell r="E380">
            <v>3324.79</v>
          </cell>
          <cell r="F380">
            <v>2000</v>
          </cell>
          <cell r="G380">
            <v>2000</v>
          </cell>
          <cell r="H380">
            <v>2000</v>
          </cell>
          <cell r="I380">
            <v>2000</v>
          </cell>
          <cell r="J380">
            <v>2000</v>
          </cell>
        </row>
        <row r="381">
          <cell r="D381">
            <v>1000</v>
          </cell>
          <cell r="E381">
            <v>6170</v>
          </cell>
          <cell r="F381">
            <v>3000</v>
          </cell>
          <cell r="G381">
            <v>1500</v>
          </cell>
          <cell r="H381">
            <v>1000</v>
          </cell>
          <cell r="J381">
            <v>1000</v>
          </cell>
        </row>
        <row r="382">
          <cell r="D382">
            <v>5250</v>
          </cell>
          <cell r="E382">
            <v>1651</v>
          </cell>
          <cell r="F382">
            <v>0</v>
          </cell>
          <cell r="H382">
            <v>0</v>
          </cell>
          <cell r="I382">
            <v>0</v>
          </cell>
          <cell r="J382">
            <v>0</v>
          </cell>
        </row>
        <row r="752">
          <cell r="D752">
            <v>0</v>
          </cell>
          <cell r="E752">
            <v>4996.3599999999997</v>
          </cell>
          <cell r="F752">
            <v>0</v>
          </cell>
          <cell r="G752">
            <v>6660</v>
          </cell>
          <cell r="H752">
            <v>0</v>
          </cell>
          <cell r="I752">
            <v>0</v>
          </cell>
          <cell r="J752">
            <v>0</v>
          </cell>
        </row>
        <row r="757">
          <cell r="D757">
            <v>0</v>
          </cell>
          <cell r="H757">
            <v>50000</v>
          </cell>
        </row>
        <row r="758">
          <cell r="D758">
            <v>0</v>
          </cell>
        </row>
        <row r="759">
          <cell r="G759">
            <v>6890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Červenofialová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532E-D113-4F9B-BFF3-990D92116332}">
  <dimension ref="A10:J50"/>
  <sheetViews>
    <sheetView tabSelected="1" topLeftCell="A22" zoomScaleNormal="100" workbookViewId="0">
      <selection activeCell="G32" sqref="G32"/>
    </sheetView>
  </sheetViews>
  <sheetFormatPr defaultRowHeight="12.75" x14ac:dyDescent="0.2"/>
  <cols>
    <col min="7" max="7" width="5.28515625" customWidth="1"/>
  </cols>
  <sheetData>
    <row r="10" s="2103" customFormat="1" x14ac:dyDescent="0.2"/>
    <row r="11" s="2103" customFormat="1" x14ac:dyDescent="0.2"/>
    <row r="12" s="2103" customFormat="1" x14ac:dyDescent="0.2"/>
    <row r="13" s="2103" customFormat="1" x14ac:dyDescent="0.2"/>
    <row r="14" s="2103" customFormat="1" x14ac:dyDescent="0.2"/>
    <row r="22" spans="1:9" ht="21" x14ac:dyDescent="0.2">
      <c r="A22" s="2208" t="s">
        <v>1399</v>
      </c>
      <c r="B22" s="2208"/>
      <c r="C22" s="2208"/>
      <c r="D22" s="2208"/>
      <c r="E22" s="2208"/>
      <c r="F22" s="2208"/>
      <c r="G22" s="2208"/>
      <c r="H22" s="2208"/>
      <c r="I22" s="2208"/>
    </row>
    <row r="23" spans="1:9" ht="21" x14ac:dyDescent="0.35">
      <c r="A23" s="2209" t="s">
        <v>1398</v>
      </c>
      <c r="B23" s="2209"/>
      <c r="C23" s="2209"/>
      <c r="D23" s="2209"/>
      <c r="E23" s="2209"/>
      <c r="F23" s="2209"/>
      <c r="G23" s="2209"/>
      <c r="H23" s="2209"/>
      <c r="I23" s="2209"/>
    </row>
    <row r="46" spans="1:10" ht="15.75" customHeight="1" x14ac:dyDescent="0.2">
      <c r="A46" s="2205" t="s">
        <v>1400</v>
      </c>
      <c r="B46" s="2205"/>
      <c r="C46" s="2205"/>
      <c r="D46" s="2205"/>
      <c r="E46" s="2205"/>
      <c r="F46" s="2205"/>
      <c r="G46" s="2205"/>
      <c r="H46" s="2207" t="s">
        <v>1454</v>
      </c>
      <c r="I46" s="2207"/>
      <c r="J46" s="2207"/>
    </row>
    <row r="47" spans="1:10" x14ac:dyDescent="0.2">
      <c r="A47" s="2205" t="s">
        <v>1401</v>
      </c>
      <c r="B47" s="2205"/>
      <c r="C47" s="2205"/>
      <c r="D47" s="2205"/>
      <c r="E47" s="2205"/>
      <c r="F47" s="2205"/>
      <c r="G47" s="2205"/>
      <c r="H47" s="2206">
        <v>45637</v>
      </c>
      <c r="I47" s="2207"/>
      <c r="J47" s="2207"/>
    </row>
    <row r="48" spans="1:10" x14ac:dyDescent="0.2">
      <c r="A48" s="2205" t="s">
        <v>1402</v>
      </c>
      <c r="B48" s="2205"/>
      <c r="C48" s="2205"/>
      <c r="D48" s="2205"/>
      <c r="E48" s="2205"/>
      <c r="F48" s="2205"/>
      <c r="G48" s="2205"/>
      <c r="H48" s="2204" t="s">
        <v>1473</v>
      </c>
      <c r="I48" s="2204"/>
      <c r="J48" s="2204"/>
    </row>
    <row r="49" spans="1:10" x14ac:dyDescent="0.2">
      <c r="A49" s="2205" t="s">
        <v>1403</v>
      </c>
      <c r="B49" s="2205"/>
      <c r="C49" s="2205"/>
      <c r="D49" s="2205"/>
      <c r="E49" s="2205"/>
      <c r="F49" s="2205"/>
      <c r="G49" s="2205"/>
      <c r="H49" s="2206">
        <v>45638</v>
      </c>
      <c r="I49" s="2207"/>
      <c r="J49" s="2207"/>
    </row>
    <row r="50" spans="1:10" x14ac:dyDescent="0.2">
      <c r="A50" s="2205" t="s">
        <v>1404</v>
      </c>
      <c r="B50" s="2205"/>
      <c r="C50" s="2205"/>
      <c r="D50" s="2205"/>
      <c r="E50" s="2205"/>
      <c r="F50" s="2205"/>
      <c r="G50" s="2205"/>
      <c r="H50" s="2206">
        <v>45658</v>
      </c>
      <c r="I50" s="2207"/>
      <c r="J50" s="2207"/>
    </row>
  </sheetData>
  <mergeCells count="12">
    <mergeCell ref="A22:I22"/>
    <mergeCell ref="A23:I23"/>
    <mergeCell ref="A46:G46"/>
    <mergeCell ref="H46:J46"/>
    <mergeCell ref="A47:G47"/>
    <mergeCell ref="H47:J47"/>
    <mergeCell ref="H48:J48"/>
    <mergeCell ref="A48:G48"/>
    <mergeCell ref="A49:G49"/>
    <mergeCell ref="H49:J49"/>
    <mergeCell ref="A50:G50"/>
    <mergeCell ref="H50:J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96EC-AF41-4F7B-965B-FE53276BAE23}">
  <dimension ref="A1:I106"/>
  <sheetViews>
    <sheetView topLeftCell="A40" workbookViewId="0">
      <selection activeCell="A60" sqref="A60:I60"/>
    </sheetView>
  </sheetViews>
  <sheetFormatPr defaultRowHeight="12.75" x14ac:dyDescent="0.2"/>
  <sheetData>
    <row r="1" spans="1:9" s="2103" customFormat="1" ht="18.75" x14ac:dyDescent="0.2">
      <c r="A1" s="2215" t="s">
        <v>1416</v>
      </c>
      <c r="B1" s="2215"/>
      <c r="C1" s="2215"/>
      <c r="D1" s="2215"/>
      <c r="E1" s="2215"/>
      <c r="F1" s="2215"/>
      <c r="G1" s="2215"/>
      <c r="H1" s="2215"/>
      <c r="I1" s="2215"/>
    </row>
    <row r="2" spans="1:9" s="2103" customFormat="1" x14ac:dyDescent="0.2"/>
    <row r="3" spans="1:9" s="2103" customFormat="1" ht="132.75" customHeight="1" x14ac:dyDescent="0.2">
      <c r="A3" s="2211" t="s">
        <v>1417</v>
      </c>
      <c r="B3" s="2211"/>
      <c r="C3" s="2211"/>
      <c r="D3" s="2211"/>
      <c r="E3" s="2211"/>
      <c r="F3" s="2211"/>
      <c r="G3" s="2211"/>
      <c r="H3" s="2211"/>
      <c r="I3" s="2211"/>
    </row>
    <row r="4" spans="1:9" s="2103" customFormat="1" ht="31.5" customHeight="1" x14ac:dyDescent="0.2">
      <c r="A4" s="2211" t="s">
        <v>1418</v>
      </c>
      <c r="B4" s="2211"/>
      <c r="C4" s="2211"/>
      <c r="D4" s="2211"/>
      <c r="E4" s="2211"/>
      <c r="F4" s="2211"/>
      <c r="G4" s="2211"/>
      <c r="H4" s="2211"/>
      <c r="I4" s="2211"/>
    </row>
    <row r="5" spans="1:9" s="2103" customFormat="1" ht="15" customHeight="1" x14ac:dyDescent="0.2">
      <c r="A5" s="2139"/>
      <c r="B5" s="2139"/>
      <c r="C5" s="2139"/>
      <c r="D5" s="2139"/>
      <c r="E5" s="2139"/>
      <c r="F5" s="2139"/>
      <c r="G5" s="2139"/>
      <c r="H5" s="2139"/>
      <c r="I5" s="2139"/>
    </row>
    <row r="6" spans="1:9" s="2103" customFormat="1" ht="15.75" x14ac:dyDescent="0.2">
      <c r="A6" s="2138" t="s">
        <v>1419</v>
      </c>
    </row>
    <row r="7" spans="1:9" s="2103" customFormat="1" ht="15.75" x14ac:dyDescent="0.2">
      <c r="A7" s="2138" t="s">
        <v>1420</v>
      </c>
    </row>
    <row r="8" spans="1:9" s="2103" customFormat="1" ht="15.75" x14ac:dyDescent="0.2">
      <c r="A8" s="2138" t="s">
        <v>1421</v>
      </c>
    </row>
    <row r="9" spans="1:9" s="2103" customFormat="1" ht="15.75" x14ac:dyDescent="0.2">
      <c r="A9" s="2138" t="s">
        <v>1422</v>
      </c>
    </row>
    <row r="10" spans="1:9" s="2103" customFormat="1" ht="15.75" x14ac:dyDescent="0.2">
      <c r="A10" s="2138" t="s">
        <v>1423</v>
      </c>
    </row>
    <row r="11" spans="1:9" s="2103" customFormat="1" ht="15.75" x14ac:dyDescent="0.2">
      <c r="A11" s="2138" t="s">
        <v>1424</v>
      </c>
    </row>
    <row r="12" spans="1:9" s="2103" customFormat="1" ht="15.75" x14ac:dyDescent="0.2">
      <c r="A12" s="2138" t="s">
        <v>1425</v>
      </c>
    </row>
    <row r="13" spans="1:9" s="2103" customFormat="1" ht="15.75" x14ac:dyDescent="0.2">
      <c r="A13" s="2138" t="s">
        <v>1426</v>
      </c>
    </row>
    <row r="14" spans="1:9" s="2103" customFormat="1" ht="15.75" x14ac:dyDescent="0.2">
      <c r="A14" s="2138" t="s">
        <v>1427</v>
      </c>
    </row>
    <row r="15" spans="1:9" s="2103" customFormat="1" ht="15.75" x14ac:dyDescent="0.2">
      <c r="A15" s="2138" t="s">
        <v>1428</v>
      </c>
    </row>
    <row r="16" spans="1:9" s="2103" customFormat="1" x14ac:dyDescent="0.2"/>
    <row r="17" spans="1:9" s="2103" customFormat="1" ht="42" customHeight="1" x14ac:dyDescent="0.2">
      <c r="A17" s="2211" t="s">
        <v>1429</v>
      </c>
      <c r="B17" s="2211"/>
      <c r="C17" s="2211"/>
      <c r="D17" s="2211"/>
      <c r="E17" s="2211"/>
      <c r="F17" s="2211"/>
      <c r="G17" s="2211"/>
      <c r="H17" s="2211"/>
      <c r="I17" s="2211"/>
    </row>
    <row r="18" spans="1:9" s="2103" customFormat="1" ht="34.5" customHeight="1" x14ac:dyDescent="0.2">
      <c r="A18" s="2211" t="s">
        <v>1430</v>
      </c>
      <c r="B18" s="2211"/>
      <c r="C18" s="2211"/>
      <c r="D18" s="2211"/>
      <c r="E18" s="2211"/>
      <c r="F18" s="2211"/>
      <c r="G18" s="2211"/>
      <c r="H18" s="2211"/>
      <c r="I18" s="2211"/>
    </row>
    <row r="19" spans="1:9" s="2103" customFormat="1" ht="47.25" customHeight="1" x14ac:dyDescent="0.2">
      <c r="A19" s="2211" t="s">
        <v>1431</v>
      </c>
      <c r="B19" s="2211"/>
      <c r="C19" s="2211"/>
      <c r="D19" s="2211"/>
      <c r="E19" s="2211"/>
      <c r="F19" s="2211"/>
      <c r="G19" s="2211"/>
      <c r="H19" s="2211"/>
      <c r="I19" s="2211"/>
    </row>
    <row r="20" spans="1:9" s="2103" customFormat="1" ht="68.25" customHeight="1" x14ac:dyDescent="0.2">
      <c r="A20" s="2211" t="s">
        <v>1432</v>
      </c>
      <c r="B20" s="2211"/>
      <c r="C20" s="2211"/>
      <c r="D20" s="2211"/>
      <c r="E20" s="2211"/>
      <c r="F20" s="2211"/>
      <c r="G20" s="2211"/>
      <c r="H20" s="2211"/>
      <c r="I20" s="2211"/>
    </row>
    <row r="21" spans="1:9" s="2103" customFormat="1" ht="48" customHeight="1" x14ac:dyDescent="0.2">
      <c r="A21" s="2211" t="s">
        <v>1433</v>
      </c>
      <c r="B21" s="2211"/>
      <c r="C21" s="2211"/>
      <c r="D21" s="2211"/>
      <c r="E21" s="2211"/>
      <c r="F21" s="2211"/>
      <c r="G21" s="2211"/>
      <c r="H21" s="2211"/>
      <c r="I21" s="2211"/>
    </row>
    <row r="22" spans="1:9" s="2103" customFormat="1" ht="34.5" customHeight="1" x14ac:dyDescent="0.2">
      <c r="A22" s="2139"/>
      <c r="B22" s="2139"/>
      <c r="C22" s="2139"/>
      <c r="D22" s="2139"/>
      <c r="E22" s="2139"/>
      <c r="F22" s="2139"/>
      <c r="G22" s="2139"/>
      <c r="H22" s="2139"/>
      <c r="I22" s="2139"/>
    </row>
    <row r="23" spans="1:9" s="2103" customFormat="1" ht="34.5" customHeight="1" x14ac:dyDescent="0.2">
      <c r="A23" s="2139"/>
      <c r="B23" s="2139"/>
      <c r="C23" s="2139"/>
      <c r="D23" s="2139"/>
      <c r="E23" s="2139"/>
      <c r="F23" s="2139"/>
      <c r="G23" s="2139"/>
      <c r="H23" s="2139"/>
      <c r="I23" s="2139"/>
    </row>
    <row r="24" spans="1:9" s="2103" customFormat="1" ht="34.5" customHeight="1" x14ac:dyDescent="0.2">
      <c r="A24" s="2139"/>
      <c r="B24" s="2139"/>
      <c r="C24" s="2139"/>
      <c r="D24" s="2139"/>
      <c r="E24" s="2139"/>
      <c r="F24" s="2139"/>
      <c r="G24" s="2139"/>
      <c r="H24" s="2139"/>
      <c r="I24" s="2139"/>
    </row>
    <row r="25" spans="1:9" ht="18.75" customHeight="1" x14ac:dyDescent="0.2">
      <c r="A25" s="2134"/>
    </row>
    <row r="26" spans="1:9" ht="18.75" customHeight="1" x14ac:dyDescent="0.2">
      <c r="A26" s="2214" t="s">
        <v>1405</v>
      </c>
      <c r="B26" s="2214"/>
      <c r="C26" s="2214"/>
      <c r="D26" s="2214"/>
      <c r="E26" s="2214"/>
      <c r="F26" s="2214"/>
      <c r="G26" s="2214"/>
      <c r="H26" s="2214"/>
      <c r="I26" s="2214"/>
    </row>
    <row r="27" spans="1:9" ht="21" customHeight="1" x14ac:dyDescent="0.2">
      <c r="A27" s="2214" t="s">
        <v>1406</v>
      </c>
      <c r="B27" s="2214"/>
      <c r="C27" s="2214"/>
      <c r="D27" s="2214"/>
      <c r="E27" s="2214"/>
      <c r="F27" s="2214"/>
      <c r="G27" s="2214"/>
      <c r="H27" s="2214"/>
      <c r="I27" s="2214"/>
    </row>
    <row r="28" spans="1:9" ht="15.75" customHeight="1" x14ac:dyDescent="0.2">
      <c r="A28" s="2135"/>
    </row>
    <row r="29" spans="1:9" ht="42.75" customHeight="1" x14ac:dyDescent="0.2">
      <c r="A29" s="2211" t="s">
        <v>1407</v>
      </c>
      <c r="B29" s="2211"/>
      <c r="C29" s="2211"/>
      <c r="D29" s="2211"/>
      <c r="E29" s="2211"/>
      <c r="F29" s="2211"/>
      <c r="G29" s="2211"/>
      <c r="H29" s="2211"/>
      <c r="I29" s="2211"/>
    </row>
    <row r="30" spans="1:9" ht="33" customHeight="1" x14ac:dyDescent="0.2">
      <c r="A30" s="2211" t="s">
        <v>1434</v>
      </c>
      <c r="B30" s="2211"/>
      <c r="C30" s="2211"/>
      <c r="D30" s="2211"/>
      <c r="E30" s="2211"/>
      <c r="F30" s="2211"/>
      <c r="G30" s="2211"/>
      <c r="H30" s="2211"/>
      <c r="I30" s="2211"/>
    </row>
    <row r="31" spans="1:9" ht="31.5" customHeight="1" x14ac:dyDescent="0.2">
      <c r="A31" s="2211" t="s">
        <v>1435</v>
      </c>
      <c r="B31" s="2211"/>
      <c r="C31" s="2211"/>
      <c r="D31" s="2211"/>
      <c r="E31" s="2211"/>
      <c r="F31" s="2211"/>
      <c r="G31" s="2211"/>
      <c r="H31" s="2211"/>
      <c r="I31" s="2211"/>
    </row>
    <row r="32" spans="1:9" ht="30.75" customHeight="1" x14ac:dyDescent="0.2">
      <c r="A32" s="2211" t="s">
        <v>1436</v>
      </c>
      <c r="B32" s="2211"/>
      <c r="C32" s="2211"/>
      <c r="D32" s="2211"/>
      <c r="E32" s="2211"/>
      <c r="F32" s="2211"/>
      <c r="G32" s="2211"/>
      <c r="H32" s="2211"/>
      <c r="I32" s="2211"/>
    </row>
    <row r="33" spans="1:9" ht="15.75" customHeight="1" x14ac:dyDescent="0.2">
      <c r="A33" s="2211" t="s">
        <v>1437</v>
      </c>
      <c r="B33" s="2211"/>
      <c r="C33" s="2211"/>
      <c r="D33" s="2211"/>
      <c r="E33" s="2211"/>
      <c r="F33" s="2211"/>
      <c r="G33" s="2211"/>
      <c r="H33" s="2211"/>
      <c r="I33" s="2211"/>
    </row>
    <row r="34" spans="1:9" ht="30.75" customHeight="1" x14ac:dyDescent="0.2">
      <c r="A34" s="2211" t="s">
        <v>1438</v>
      </c>
      <c r="B34" s="2211"/>
      <c r="C34" s="2211"/>
      <c r="D34" s="2211"/>
      <c r="E34" s="2211"/>
      <c r="F34" s="2211"/>
      <c r="G34" s="2211"/>
      <c r="H34" s="2211"/>
      <c r="I34" s="2211"/>
    </row>
    <row r="35" spans="1:9" ht="30.75" customHeight="1" x14ac:dyDescent="0.2">
      <c r="A35" s="2211" t="s">
        <v>1439</v>
      </c>
      <c r="B35" s="2211"/>
      <c r="C35" s="2211"/>
      <c r="D35" s="2211"/>
      <c r="E35" s="2211"/>
      <c r="F35" s="2211"/>
      <c r="G35" s="2211"/>
      <c r="H35" s="2211"/>
      <c r="I35" s="2211"/>
    </row>
    <row r="36" spans="1:9" ht="31.5" customHeight="1" x14ac:dyDescent="0.2">
      <c r="A36" s="2211" t="s">
        <v>1440</v>
      </c>
      <c r="B36" s="2211"/>
      <c r="C36" s="2211"/>
      <c r="D36" s="2211"/>
      <c r="E36" s="2211"/>
      <c r="F36" s="2211"/>
      <c r="G36" s="2211"/>
      <c r="H36" s="2211"/>
      <c r="I36" s="2211"/>
    </row>
    <row r="37" spans="1:9" ht="47.25" customHeight="1" x14ac:dyDescent="0.2">
      <c r="A37" s="2211" t="s">
        <v>1441</v>
      </c>
      <c r="B37" s="2211"/>
      <c r="C37" s="2211"/>
      <c r="D37" s="2211"/>
      <c r="E37" s="2211"/>
      <c r="F37" s="2211"/>
      <c r="G37" s="2211"/>
      <c r="H37" s="2211"/>
      <c r="I37" s="2211"/>
    </row>
    <row r="38" spans="1:9" ht="15.75" customHeight="1" x14ac:dyDescent="0.2">
      <c r="A38" s="2136"/>
      <c r="B38" s="2140"/>
      <c r="C38" s="2140"/>
      <c r="D38" s="2140"/>
      <c r="E38" s="2140"/>
      <c r="F38" s="2140"/>
      <c r="G38" s="2140"/>
      <c r="H38" s="2140"/>
      <c r="I38" s="2140"/>
    </row>
    <row r="39" spans="1:9" ht="15.75" customHeight="1" x14ac:dyDescent="0.2">
      <c r="A39" s="2214" t="s">
        <v>1408</v>
      </c>
      <c r="B39" s="2214"/>
      <c r="C39" s="2214"/>
      <c r="D39" s="2214"/>
      <c r="E39" s="2214"/>
      <c r="F39" s="2214"/>
      <c r="G39" s="2214"/>
      <c r="H39" s="2214"/>
      <c r="I39" s="2214"/>
    </row>
    <row r="40" spans="1:9" ht="15.75" customHeight="1" x14ac:dyDescent="0.2">
      <c r="A40" s="2135"/>
      <c r="B40" s="2140"/>
      <c r="C40" s="2140"/>
      <c r="D40" s="2140"/>
      <c r="E40" s="2140"/>
      <c r="F40" s="2140"/>
      <c r="G40" s="2140"/>
      <c r="H40" s="2140"/>
      <c r="I40" s="2140"/>
    </row>
    <row r="41" spans="1:9" ht="46.5" customHeight="1" x14ac:dyDescent="0.2">
      <c r="A41" s="2211" t="s">
        <v>1409</v>
      </c>
      <c r="B41" s="2211"/>
      <c r="C41" s="2211"/>
      <c r="D41" s="2211"/>
      <c r="E41" s="2211"/>
      <c r="F41" s="2211"/>
      <c r="G41" s="2211"/>
      <c r="H41" s="2211"/>
      <c r="I41" s="2211"/>
    </row>
    <row r="42" spans="1:9" ht="15.75" customHeight="1" x14ac:dyDescent="0.2">
      <c r="A42" s="2135"/>
      <c r="B42" s="2140"/>
      <c r="C42" s="2140"/>
      <c r="D42" s="2140"/>
      <c r="E42" s="2140"/>
      <c r="F42" s="2140"/>
      <c r="G42" s="2140"/>
      <c r="H42" s="2140"/>
      <c r="I42" s="2140"/>
    </row>
    <row r="43" spans="1:9" ht="30.75" customHeight="1" x14ac:dyDescent="0.2">
      <c r="A43" s="2211" t="s">
        <v>1442</v>
      </c>
      <c r="B43" s="2211"/>
      <c r="C43" s="2211"/>
      <c r="D43" s="2211"/>
      <c r="E43" s="2211"/>
      <c r="F43" s="2211"/>
      <c r="G43" s="2211"/>
      <c r="H43" s="2211"/>
      <c r="I43" s="2211"/>
    </row>
    <row r="44" spans="1:9" ht="15.75" customHeight="1" x14ac:dyDescent="0.2">
      <c r="A44" s="2211" t="s">
        <v>1443</v>
      </c>
      <c r="B44" s="2211"/>
      <c r="C44" s="2211"/>
      <c r="D44" s="2211"/>
      <c r="E44" s="2211"/>
      <c r="F44" s="2211"/>
      <c r="G44" s="2211"/>
      <c r="H44" s="2211"/>
      <c r="I44" s="2211"/>
    </row>
    <row r="45" spans="1:9" ht="15.75" customHeight="1" x14ac:dyDescent="0.2">
      <c r="A45" s="2211" t="s">
        <v>1444</v>
      </c>
      <c r="B45" s="2211"/>
      <c r="C45" s="2211"/>
      <c r="D45" s="2211"/>
      <c r="E45" s="2211"/>
      <c r="F45" s="2211"/>
      <c r="G45" s="2211"/>
      <c r="H45" s="2211"/>
      <c r="I45" s="2211"/>
    </row>
    <row r="46" spans="1:9" ht="15.75" customHeight="1" x14ac:dyDescent="0.2">
      <c r="A46" s="2211" t="s">
        <v>1445</v>
      </c>
      <c r="B46" s="2211"/>
      <c r="C46" s="2211"/>
      <c r="D46" s="2211"/>
      <c r="E46" s="2211"/>
      <c r="F46" s="2211"/>
      <c r="G46" s="2211"/>
      <c r="H46" s="2211"/>
      <c r="I46" s="2211"/>
    </row>
    <row r="47" spans="1:9" ht="15.75" customHeight="1" x14ac:dyDescent="0.2">
      <c r="A47" s="2211" t="s">
        <v>1446</v>
      </c>
      <c r="B47" s="2212"/>
      <c r="C47" s="2212"/>
      <c r="D47" s="2212"/>
      <c r="E47" s="2212"/>
      <c r="F47" s="2212"/>
      <c r="G47" s="2212"/>
      <c r="H47" s="2212"/>
      <c r="I47" s="2212"/>
    </row>
    <row r="48" spans="1:9" ht="28.5" customHeight="1" x14ac:dyDescent="0.25">
      <c r="A48" s="2210" t="s">
        <v>1447</v>
      </c>
      <c r="B48" s="2210"/>
      <c r="C48" s="2210"/>
      <c r="D48" s="2210"/>
      <c r="E48" s="2210"/>
      <c r="F48" s="2210"/>
      <c r="G48" s="2210"/>
      <c r="H48" s="2210"/>
      <c r="I48" s="2210"/>
    </row>
    <row r="49" spans="1:9" ht="32.25" customHeight="1" x14ac:dyDescent="0.25">
      <c r="A49" s="2210" t="s">
        <v>1449</v>
      </c>
      <c r="B49" s="2210"/>
      <c r="C49" s="2210"/>
      <c r="D49" s="2210"/>
      <c r="E49" s="2210"/>
      <c r="F49" s="2210"/>
      <c r="G49" s="2210"/>
      <c r="H49" s="2210"/>
      <c r="I49" s="2210"/>
    </row>
    <row r="50" spans="1:9" ht="31.5" customHeight="1" x14ac:dyDescent="0.2">
      <c r="A50" s="2211" t="s">
        <v>1448</v>
      </c>
      <c r="B50" s="2212"/>
      <c r="C50" s="2212"/>
      <c r="D50" s="2212"/>
      <c r="E50" s="2212"/>
      <c r="F50" s="2212"/>
      <c r="G50" s="2212"/>
      <c r="H50" s="2212"/>
      <c r="I50" s="2212"/>
    </row>
    <row r="51" spans="1:9" ht="15.75" customHeight="1" x14ac:dyDescent="0.2">
      <c r="A51" s="2137"/>
      <c r="B51" s="2140"/>
      <c r="C51" s="2140"/>
      <c r="D51" s="2140"/>
      <c r="E51" s="2140"/>
      <c r="F51" s="2140"/>
      <c r="G51" s="2140"/>
      <c r="H51" s="2140"/>
      <c r="I51" s="2140"/>
    </row>
    <row r="52" spans="1:9" ht="15.75" customHeight="1" x14ac:dyDescent="0.2">
      <c r="A52" s="2137"/>
      <c r="B52" s="2140"/>
      <c r="C52" s="2140"/>
      <c r="D52" s="2140"/>
      <c r="E52" s="2140"/>
      <c r="F52" s="2140"/>
      <c r="G52" s="2140"/>
      <c r="H52" s="2140"/>
      <c r="I52" s="2140"/>
    </row>
    <row r="53" spans="1:9" ht="15.75" customHeight="1" x14ac:dyDescent="0.2">
      <c r="A53" s="2137"/>
      <c r="B53" s="2140"/>
      <c r="C53" s="2140"/>
      <c r="D53" s="2140"/>
      <c r="E53" s="2140"/>
      <c r="F53" s="2140"/>
      <c r="G53" s="2140"/>
      <c r="H53" s="2140"/>
      <c r="I53" s="2140"/>
    </row>
    <row r="54" spans="1:9" ht="15.75" customHeight="1" x14ac:dyDescent="0.2">
      <c r="A54" s="2137"/>
      <c r="B54" s="2140"/>
      <c r="C54" s="2140"/>
      <c r="D54" s="2140"/>
      <c r="E54" s="2140"/>
      <c r="F54" s="2140"/>
      <c r="G54" s="2140"/>
      <c r="H54" s="2140"/>
      <c r="I54" s="2140"/>
    </row>
    <row r="55" spans="1:9" ht="15.75" customHeight="1" x14ac:dyDescent="0.2">
      <c r="A55" s="2137"/>
      <c r="B55" s="2140"/>
      <c r="C55" s="2140"/>
      <c r="D55" s="2140"/>
      <c r="E55" s="2140"/>
      <c r="F55" s="2140"/>
      <c r="G55" s="2140"/>
      <c r="H55" s="2140"/>
      <c r="I55" s="2140"/>
    </row>
    <row r="56" spans="1:9" ht="15.75" customHeight="1" x14ac:dyDescent="0.2">
      <c r="A56" s="2137"/>
      <c r="B56" s="2140"/>
      <c r="C56" s="2140"/>
      <c r="D56" s="2140"/>
      <c r="E56" s="2140"/>
      <c r="F56" s="2140"/>
      <c r="G56" s="2140"/>
      <c r="H56" s="2140"/>
      <c r="I56" s="2140"/>
    </row>
    <row r="57" spans="1:9" ht="15.75" customHeight="1" x14ac:dyDescent="0.2">
      <c r="A57" s="2136"/>
      <c r="B57" s="2140"/>
      <c r="C57" s="2140"/>
      <c r="D57" s="2140"/>
      <c r="E57" s="2140"/>
      <c r="F57" s="2140"/>
      <c r="G57" s="2140"/>
      <c r="H57" s="2140"/>
      <c r="I57" s="2140"/>
    </row>
    <row r="58" spans="1:9" ht="15.75" customHeight="1" x14ac:dyDescent="0.2">
      <c r="A58" s="2213" t="s">
        <v>1410</v>
      </c>
      <c r="B58" s="2213"/>
      <c r="C58" s="2213"/>
      <c r="D58" s="2213"/>
      <c r="E58" s="2213"/>
      <c r="F58" s="2213"/>
      <c r="G58" s="2213"/>
      <c r="H58" s="2213"/>
      <c r="I58" s="2213"/>
    </row>
    <row r="59" spans="1:9" ht="15.75" customHeight="1" x14ac:dyDescent="0.2">
      <c r="A59" s="2135"/>
      <c r="B59" s="2140"/>
      <c r="C59" s="2140"/>
      <c r="D59" s="2140"/>
      <c r="E59" s="2140"/>
      <c r="F59" s="2140"/>
      <c r="G59" s="2140"/>
      <c r="H59" s="2140"/>
      <c r="I59" s="2140"/>
    </row>
    <row r="60" spans="1:9" ht="30.75" customHeight="1" x14ac:dyDescent="0.2">
      <c r="A60" s="2211" t="s">
        <v>1470</v>
      </c>
      <c r="B60" s="2211"/>
      <c r="C60" s="2211"/>
      <c r="D60" s="2211"/>
      <c r="E60" s="2211"/>
      <c r="F60" s="2211"/>
      <c r="G60" s="2211"/>
      <c r="H60" s="2211"/>
      <c r="I60" s="2211"/>
    </row>
    <row r="61" spans="1:9" ht="63.75" customHeight="1" x14ac:dyDescent="0.2">
      <c r="A61" s="2211" t="s">
        <v>1471</v>
      </c>
      <c r="B61" s="2211"/>
      <c r="C61" s="2211"/>
      <c r="D61" s="2211"/>
      <c r="E61" s="2211"/>
      <c r="F61" s="2211"/>
      <c r="G61" s="2211"/>
      <c r="H61" s="2211"/>
      <c r="I61" s="2211"/>
    </row>
    <row r="62" spans="1:9" ht="47.25" customHeight="1" x14ac:dyDescent="0.2">
      <c r="A62" s="2211" t="s">
        <v>1411</v>
      </c>
      <c r="B62" s="2211"/>
      <c r="C62" s="2211"/>
      <c r="D62" s="2211"/>
      <c r="E62" s="2211"/>
      <c r="F62" s="2211"/>
      <c r="G62" s="2211"/>
      <c r="H62" s="2211"/>
      <c r="I62" s="2211"/>
    </row>
    <row r="63" spans="1:9" ht="63.75" customHeight="1" x14ac:dyDescent="0.2">
      <c r="A63" s="2211" t="s">
        <v>1412</v>
      </c>
      <c r="B63" s="2211"/>
      <c r="C63" s="2211"/>
      <c r="D63" s="2211"/>
      <c r="E63" s="2211"/>
      <c r="F63" s="2211"/>
      <c r="G63" s="2211"/>
      <c r="H63" s="2211"/>
      <c r="I63" s="2211"/>
    </row>
    <row r="64" spans="1:9" ht="96" customHeight="1" x14ac:dyDescent="0.2">
      <c r="A64" s="2211" t="s">
        <v>1413</v>
      </c>
      <c r="B64" s="2211"/>
      <c r="C64" s="2211"/>
      <c r="D64" s="2211"/>
      <c r="E64" s="2211"/>
      <c r="F64" s="2211"/>
      <c r="G64" s="2211"/>
      <c r="H64" s="2211"/>
      <c r="I64" s="2211"/>
    </row>
    <row r="65" spans="1:9" ht="48" customHeight="1" x14ac:dyDescent="0.2">
      <c r="A65" s="2211" t="s">
        <v>1414</v>
      </c>
      <c r="B65" s="2211"/>
      <c r="C65" s="2211"/>
      <c r="D65" s="2211"/>
      <c r="E65" s="2211"/>
      <c r="F65" s="2211"/>
      <c r="G65" s="2211"/>
      <c r="H65" s="2211"/>
      <c r="I65" s="2211"/>
    </row>
    <row r="66" spans="1:9" ht="55.5" customHeight="1" x14ac:dyDescent="0.2">
      <c r="A66" s="2211" t="s">
        <v>1415</v>
      </c>
      <c r="B66" s="2211"/>
      <c r="C66" s="2211"/>
      <c r="D66" s="2211"/>
      <c r="E66" s="2211"/>
      <c r="F66" s="2211"/>
      <c r="G66" s="2211"/>
      <c r="H66" s="2211"/>
      <c r="I66" s="2211"/>
    </row>
    <row r="67" spans="1:9" x14ac:dyDescent="0.2">
      <c r="A67" s="2140"/>
      <c r="B67" s="2140"/>
      <c r="C67" s="2140"/>
      <c r="D67" s="2140"/>
      <c r="E67" s="2140"/>
      <c r="F67" s="2140"/>
      <c r="G67" s="2140"/>
      <c r="H67" s="2140"/>
      <c r="I67" s="2140"/>
    </row>
    <row r="68" spans="1:9" x14ac:dyDescent="0.2">
      <c r="A68" s="2140"/>
      <c r="B68" s="2140"/>
      <c r="C68" s="2140"/>
      <c r="D68" s="2140"/>
      <c r="E68" s="2140"/>
      <c r="F68" s="2140"/>
      <c r="G68" s="2140"/>
      <c r="H68" s="2140"/>
      <c r="I68" s="2140"/>
    </row>
    <row r="69" spans="1:9" x14ac:dyDescent="0.2">
      <c r="A69" s="2140"/>
      <c r="B69" s="2140"/>
      <c r="C69" s="2140"/>
      <c r="D69" s="2140"/>
      <c r="E69" s="2140"/>
      <c r="F69" s="2140"/>
      <c r="G69" s="2140"/>
      <c r="H69" s="2140"/>
      <c r="I69" s="2140"/>
    </row>
    <row r="70" spans="1:9" x14ac:dyDescent="0.2">
      <c r="A70" s="2140"/>
      <c r="B70" s="2140"/>
      <c r="C70" s="2140"/>
      <c r="D70" s="2140"/>
      <c r="E70" s="2140"/>
      <c r="F70" s="2140"/>
      <c r="G70" s="2140"/>
      <c r="H70" s="2140"/>
      <c r="I70" s="2140"/>
    </row>
    <row r="71" spans="1:9" x14ac:dyDescent="0.2">
      <c r="A71" s="2140"/>
      <c r="B71" s="2140"/>
      <c r="C71" s="2140"/>
      <c r="D71" s="2140"/>
      <c r="E71" s="2140"/>
      <c r="F71" s="2140"/>
      <c r="G71" s="2140"/>
      <c r="H71" s="2140"/>
      <c r="I71" s="2140"/>
    </row>
    <row r="72" spans="1:9" x14ac:dyDescent="0.2">
      <c r="A72" s="2140"/>
      <c r="B72" s="2140"/>
      <c r="C72" s="2140"/>
      <c r="D72" s="2140"/>
      <c r="E72" s="2140"/>
      <c r="F72" s="2140"/>
      <c r="G72" s="2140"/>
      <c r="H72" s="2140"/>
      <c r="I72" s="2140"/>
    </row>
    <row r="73" spans="1:9" x14ac:dyDescent="0.2">
      <c r="A73" s="2140"/>
      <c r="B73" s="2140"/>
      <c r="C73" s="2140"/>
      <c r="D73" s="2140"/>
      <c r="E73" s="2140"/>
      <c r="F73" s="2140"/>
      <c r="G73" s="2140"/>
      <c r="H73" s="2140"/>
      <c r="I73" s="2140"/>
    </row>
    <row r="74" spans="1:9" x14ac:dyDescent="0.2">
      <c r="A74" s="2140"/>
      <c r="B74" s="2140"/>
      <c r="C74" s="2140"/>
      <c r="D74" s="2140"/>
      <c r="E74" s="2140"/>
      <c r="F74" s="2140"/>
      <c r="G74" s="2140"/>
      <c r="H74" s="2140"/>
      <c r="I74" s="2140"/>
    </row>
    <row r="75" spans="1:9" x14ac:dyDescent="0.2">
      <c r="A75" s="2140"/>
      <c r="B75" s="2140"/>
      <c r="C75" s="2140"/>
      <c r="D75" s="2140"/>
      <c r="E75" s="2140"/>
      <c r="F75" s="2140"/>
      <c r="G75" s="2140"/>
      <c r="H75" s="2140"/>
      <c r="I75" s="2140"/>
    </row>
    <row r="76" spans="1:9" x14ac:dyDescent="0.2">
      <c r="A76" s="2140"/>
      <c r="B76" s="2140"/>
      <c r="C76" s="2140"/>
      <c r="D76" s="2140"/>
      <c r="E76" s="2140"/>
      <c r="F76" s="2140"/>
      <c r="G76" s="2140"/>
      <c r="H76" s="2140"/>
      <c r="I76" s="2140"/>
    </row>
    <row r="77" spans="1:9" x14ac:dyDescent="0.2">
      <c r="A77" s="2140"/>
      <c r="B77" s="2140"/>
      <c r="C77" s="2140"/>
      <c r="D77" s="2140"/>
      <c r="E77" s="2140"/>
      <c r="F77" s="2140"/>
      <c r="G77" s="2140"/>
      <c r="H77" s="2140"/>
      <c r="I77" s="2140"/>
    </row>
    <row r="78" spans="1:9" x14ac:dyDescent="0.2">
      <c r="A78" s="2140"/>
      <c r="B78" s="2140"/>
      <c r="C78" s="2140"/>
      <c r="D78" s="2140"/>
      <c r="E78" s="2140"/>
      <c r="F78" s="2140"/>
      <c r="G78" s="2140"/>
      <c r="H78" s="2140"/>
      <c r="I78" s="2140"/>
    </row>
    <row r="79" spans="1:9" x14ac:dyDescent="0.2">
      <c r="A79" s="2140"/>
      <c r="B79" s="2140"/>
      <c r="C79" s="2140"/>
      <c r="D79" s="2140"/>
      <c r="E79" s="2140"/>
      <c r="F79" s="2140"/>
      <c r="G79" s="2140"/>
      <c r="H79" s="2140"/>
      <c r="I79" s="2140"/>
    </row>
    <row r="80" spans="1:9" x14ac:dyDescent="0.2">
      <c r="A80" s="2140"/>
      <c r="B80" s="2140"/>
      <c r="C80" s="2140"/>
      <c r="D80" s="2140"/>
      <c r="E80" s="2140"/>
      <c r="F80" s="2140"/>
      <c r="G80" s="2140"/>
      <c r="H80" s="2140"/>
      <c r="I80" s="2140"/>
    </row>
    <row r="81" spans="1:9" x14ac:dyDescent="0.2">
      <c r="A81" s="2140"/>
      <c r="B81" s="2140"/>
      <c r="C81" s="2140"/>
      <c r="D81" s="2140"/>
      <c r="E81" s="2140"/>
      <c r="F81" s="2140"/>
      <c r="G81" s="2140"/>
      <c r="H81" s="2140"/>
      <c r="I81" s="2140"/>
    </row>
    <row r="82" spans="1:9" x14ac:dyDescent="0.2">
      <c r="A82" s="2140"/>
      <c r="B82" s="2140"/>
      <c r="C82" s="2140"/>
      <c r="D82" s="2140"/>
      <c r="E82" s="2140"/>
      <c r="F82" s="2140"/>
      <c r="G82" s="2140"/>
      <c r="H82" s="2140"/>
      <c r="I82" s="2140"/>
    </row>
    <row r="83" spans="1:9" x14ac:dyDescent="0.2">
      <c r="A83" s="2140"/>
      <c r="B83" s="2140"/>
      <c r="C83" s="2140"/>
      <c r="D83" s="2140"/>
      <c r="E83" s="2140"/>
      <c r="F83" s="2140"/>
      <c r="G83" s="2140"/>
      <c r="H83" s="2140"/>
      <c r="I83" s="2140"/>
    </row>
    <row r="84" spans="1:9" x14ac:dyDescent="0.2">
      <c r="A84" s="2140"/>
      <c r="B84" s="2140"/>
      <c r="C84" s="2140"/>
      <c r="D84" s="2140"/>
      <c r="E84" s="2140"/>
      <c r="F84" s="2140"/>
      <c r="G84" s="2140"/>
      <c r="H84" s="2140"/>
      <c r="I84" s="2140"/>
    </row>
    <row r="85" spans="1:9" x14ac:dyDescent="0.2">
      <c r="A85" s="2140"/>
      <c r="B85" s="2140"/>
      <c r="C85" s="2140"/>
      <c r="D85" s="2140"/>
      <c r="E85" s="2140"/>
      <c r="F85" s="2140"/>
      <c r="G85" s="2140"/>
      <c r="H85" s="2140"/>
      <c r="I85" s="2140"/>
    </row>
    <row r="86" spans="1:9" x14ac:dyDescent="0.2">
      <c r="A86" s="2140"/>
      <c r="B86" s="2140"/>
      <c r="C86" s="2140"/>
      <c r="D86" s="2140"/>
      <c r="E86" s="2140"/>
      <c r="F86" s="2140"/>
      <c r="G86" s="2140"/>
      <c r="H86" s="2140"/>
      <c r="I86" s="2140"/>
    </row>
    <row r="87" spans="1:9" x14ac:dyDescent="0.2">
      <c r="A87" s="2140"/>
      <c r="B87" s="2140"/>
      <c r="C87" s="2140"/>
      <c r="D87" s="2140"/>
      <c r="E87" s="2140"/>
      <c r="F87" s="2140"/>
      <c r="G87" s="2140"/>
      <c r="H87" s="2140"/>
      <c r="I87" s="2140"/>
    </row>
    <row r="88" spans="1:9" x14ac:dyDescent="0.2">
      <c r="A88" s="2140"/>
      <c r="B88" s="2140"/>
      <c r="C88" s="2140"/>
      <c r="D88" s="2140"/>
      <c r="E88" s="2140"/>
      <c r="F88" s="2140"/>
      <c r="G88" s="2140"/>
      <c r="H88" s="2140"/>
      <c r="I88" s="2140"/>
    </row>
    <row r="89" spans="1:9" x14ac:dyDescent="0.2">
      <c r="A89" s="2140"/>
      <c r="B89" s="2140"/>
      <c r="C89" s="2140"/>
      <c r="D89" s="2140"/>
      <c r="E89" s="2140"/>
      <c r="F89" s="2140"/>
      <c r="G89" s="2140"/>
      <c r="H89" s="2140"/>
      <c r="I89" s="2140"/>
    </row>
    <row r="90" spans="1:9" x14ac:dyDescent="0.2">
      <c r="A90" s="2140"/>
      <c r="B90" s="2140"/>
      <c r="C90" s="2140"/>
      <c r="D90" s="2140"/>
      <c r="E90" s="2140"/>
      <c r="F90" s="2140"/>
      <c r="G90" s="2140"/>
      <c r="H90" s="2140"/>
      <c r="I90" s="2140"/>
    </row>
    <row r="91" spans="1:9" x14ac:dyDescent="0.2">
      <c r="A91" s="2140"/>
      <c r="B91" s="2140"/>
      <c r="C91" s="2140"/>
      <c r="D91" s="2140"/>
      <c r="E91" s="2140"/>
      <c r="F91" s="2140"/>
      <c r="G91" s="2140"/>
      <c r="H91" s="2140"/>
      <c r="I91" s="2140"/>
    </row>
    <row r="92" spans="1:9" x14ac:dyDescent="0.2">
      <c r="A92" s="2140"/>
      <c r="B92" s="2140"/>
      <c r="C92" s="2140"/>
      <c r="D92" s="2140"/>
      <c r="E92" s="2140"/>
      <c r="F92" s="2140"/>
      <c r="G92" s="2140"/>
      <c r="H92" s="2140"/>
      <c r="I92" s="2140"/>
    </row>
    <row r="93" spans="1:9" x14ac:dyDescent="0.2">
      <c r="A93" s="2140"/>
      <c r="B93" s="2140"/>
      <c r="C93" s="2140"/>
      <c r="D93" s="2140"/>
      <c r="E93" s="2140"/>
      <c r="F93" s="2140"/>
      <c r="G93" s="2140"/>
      <c r="H93" s="2140"/>
      <c r="I93" s="2140"/>
    </row>
    <row r="94" spans="1:9" x14ac:dyDescent="0.2">
      <c r="A94" s="2140"/>
      <c r="B94" s="2140"/>
      <c r="C94" s="2140"/>
      <c r="D94" s="2140"/>
      <c r="E94" s="2140"/>
      <c r="F94" s="2140"/>
      <c r="G94" s="2140"/>
      <c r="H94" s="2140"/>
      <c r="I94" s="2140"/>
    </row>
    <row r="95" spans="1:9" x14ac:dyDescent="0.2">
      <c r="A95" s="2140"/>
      <c r="B95" s="2140"/>
      <c r="C95" s="2140"/>
      <c r="D95" s="2140"/>
      <c r="E95" s="2140"/>
      <c r="F95" s="2140"/>
      <c r="G95" s="2140"/>
      <c r="H95" s="2140"/>
      <c r="I95" s="2140"/>
    </row>
    <row r="96" spans="1:9" x14ac:dyDescent="0.2">
      <c r="A96" s="2140"/>
      <c r="B96" s="2140"/>
      <c r="C96" s="2140"/>
      <c r="D96" s="2140"/>
      <c r="E96" s="2140"/>
      <c r="F96" s="2140"/>
      <c r="G96" s="2140"/>
      <c r="H96" s="2140"/>
      <c r="I96" s="2140"/>
    </row>
    <row r="97" spans="1:9" x14ac:dyDescent="0.2">
      <c r="A97" s="2140"/>
      <c r="B97" s="2140"/>
      <c r="C97" s="2140"/>
      <c r="D97" s="2140"/>
      <c r="E97" s="2140"/>
      <c r="F97" s="2140"/>
      <c r="G97" s="2140"/>
      <c r="H97" s="2140"/>
      <c r="I97" s="2140"/>
    </row>
    <row r="98" spans="1:9" x14ac:dyDescent="0.2">
      <c r="A98" s="2140"/>
      <c r="B98" s="2140"/>
      <c r="C98" s="2140"/>
      <c r="D98" s="2140"/>
      <c r="E98" s="2140"/>
      <c r="F98" s="2140"/>
      <c r="G98" s="2140"/>
      <c r="H98" s="2140"/>
      <c r="I98" s="2140"/>
    </row>
    <row r="99" spans="1:9" x14ac:dyDescent="0.2">
      <c r="A99" s="2140"/>
      <c r="B99" s="2140"/>
      <c r="C99" s="2140"/>
      <c r="D99" s="2140"/>
      <c r="E99" s="2140"/>
      <c r="F99" s="2140"/>
      <c r="G99" s="2140"/>
      <c r="H99" s="2140"/>
      <c r="I99" s="2140"/>
    </row>
    <row r="100" spans="1:9" x14ac:dyDescent="0.2">
      <c r="A100" s="2140"/>
      <c r="B100" s="2140"/>
      <c r="C100" s="2140"/>
      <c r="D100" s="2140"/>
      <c r="E100" s="2140"/>
      <c r="F100" s="2140"/>
      <c r="G100" s="2140"/>
      <c r="H100" s="2140"/>
      <c r="I100" s="2140"/>
    </row>
    <row r="101" spans="1:9" x14ac:dyDescent="0.2">
      <c r="A101" s="2140"/>
      <c r="B101" s="2140"/>
      <c r="C101" s="2140"/>
      <c r="D101" s="2140"/>
      <c r="E101" s="2140"/>
      <c r="F101" s="2140"/>
      <c r="G101" s="2140"/>
      <c r="H101" s="2140"/>
      <c r="I101" s="2140"/>
    </row>
    <row r="102" spans="1:9" x14ac:dyDescent="0.2">
      <c r="A102" s="2140"/>
      <c r="B102" s="2140"/>
      <c r="C102" s="2140"/>
      <c r="D102" s="2140"/>
      <c r="E102" s="2140"/>
      <c r="F102" s="2140"/>
      <c r="G102" s="2140"/>
      <c r="H102" s="2140"/>
      <c r="I102" s="2140"/>
    </row>
    <row r="103" spans="1:9" x14ac:dyDescent="0.2">
      <c r="A103" s="2140"/>
      <c r="B103" s="2140"/>
      <c r="C103" s="2140"/>
      <c r="D103" s="2140"/>
      <c r="E103" s="2140"/>
      <c r="F103" s="2140"/>
      <c r="G103" s="2140"/>
      <c r="H103" s="2140"/>
      <c r="I103" s="2140"/>
    </row>
    <row r="104" spans="1:9" x14ac:dyDescent="0.2">
      <c r="A104" s="2140"/>
      <c r="B104" s="2140"/>
      <c r="C104" s="2140"/>
      <c r="D104" s="2140"/>
      <c r="E104" s="2140"/>
      <c r="F104" s="2140"/>
      <c r="G104" s="2140"/>
      <c r="H104" s="2140"/>
      <c r="I104" s="2140"/>
    </row>
    <row r="105" spans="1:9" x14ac:dyDescent="0.2">
      <c r="A105" s="2140"/>
      <c r="B105" s="2140"/>
      <c r="C105" s="2140"/>
      <c r="D105" s="2140"/>
      <c r="E105" s="2140"/>
      <c r="F105" s="2140"/>
      <c r="G105" s="2140"/>
      <c r="H105" s="2140"/>
      <c r="I105" s="2140"/>
    </row>
    <row r="106" spans="1:9" x14ac:dyDescent="0.2">
      <c r="A106" s="2140"/>
      <c r="B106" s="2140"/>
      <c r="C106" s="2140"/>
      <c r="D106" s="2140"/>
      <c r="E106" s="2140"/>
      <c r="F106" s="2140"/>
      <c r="G106" s="2140"/>
      <c r="H106" s="2140"/>
      <c r="I106" s="2140"/>
    </row>
  </sheetData>
  <mergeCells count="37">
    <mergeCell ref="A36:I36"/>
    <mergeCell ref="A37:I37"/>
    <mergeCell ref="A30:I30"/>
    <mergeCell ref="A31:I31"/>
    <mergeCell ref="A19:I19"/>
    <mergeCell ref="A20:I20"/>
    <mergeCell ref="A26:I26"/>
    <mergeCell ref="A27:I27"/>
    <mergeCell ref="A29:I29"/>
    <mergeCell ref="A32:I32"/>
    <mergeCell ref="A33:I33"/>
    <mergeCell ref="A34:I34"/>
    <mergeCell ref="A35:I35"/>
    <mergeCell ref="A21:I21"/>
    <mergeCell ref="A1:I1"/>
    <mergeCell ref="A3:I3"/>
    <mergeCell ref="A4:I4"/>
    <mergeCell ref="A17:I17"/>
    <mergeCell ref="A18:I18"/>
    <mergeCell ref="A39:I39"/>
    <mergeCell ref="A41:I41"/>
    <mergeCell ref="A43:I43"/>
    <mergeCell ref="A44:I44"/>
    <mergeCell ref="A47:I47"/>
    <mergeCell ref="A46:I46"/>
    <mergeCell ref="A45:I45"/>
    <mergeCell ref="A48:I48"/>
    <mergeCell ref="A49:I49"/>
    <mergeCell ref="A50:I50"/>
    <mergeCell ref="A66:I66"/>
    <mergeCell ref="A60:I60"/>
    <mergeCell ref="A61:I61"/>
    <mergeCell ref="A62:I62"/>
    <mergeCell ref="A63:I63"/>
    <mergeCell ref="A64:I64"/>
    <mergeCell ref="A65:I65"/>
    <mergeCell ref="A58:I5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0"/>
  <sheetViews>
    <sheetView topLeftCell="A126" zoomScaleNormal="100" workbookViewId="0">
      <selection activeCell="M149" sqref="M149"/>
    </sheetView>
  </sheetViews>
  <sheetFormatPr defaultColWidth="8.42578125" defaultRowHeight="12.75" x14ac:dyDescent="0.2"/>
  <cols>
    <col min="1" max="1" width="4.140625" style="1" customWidth="1"/>
    <col min="2" max="8" width="4.140625" customWidth="1"/>
    <col min="9" max="9" width="9.5703125" style="2" customWidth="1"/>
    <col min="10" max="11" width="10" bestFit="1" customWidth="1"/>
    <col min="12" max="12" width="10.42578125" bestFit="1" customWidth="1"/>
    <col min="13" max="13" width="11.28515625" bestFit="1" customWidth="1"/>
    <col min="14" max="15" width="10" bestFit="1" customWidth="1"/>
  </cols>
  <sheetData>
    <row r="1" spans="1:15" ht="18" x14ac:dyDescent="0.25">
      <c r="A1" s="2218" t="s">
        <v>0</v>
      </c>
      <c r="B1" s="2218"/>
      <c r="C1" s="2218"/>
      <c r="D1" s="2218"/>
      <c r="E1" s="2218"/>
      <c r="F1" s="2218"/>
      <c r="G1" s="2218"/>
      <c r="H1" s="2218"/>
      <c r="I1" s="2218"/>
      <c r="J1" s="2218"/>
      <c r="K1" s="2218"/>
      <c r="L1" s="2218"/>
      <c r="M1" s="2218"/>
      <c r="N1" s="2218"/>
      <c r="O1" s="2218"/>
    </row>
    <row r="2" spans="1:15" ht="13.5" thickBot="1" x14ac:dyDescent="0.25"/>
    <row r="3" spans="1:15" ht="15.75" thickBot="1" x14ac:dyDescent="0.25">
      <c r="A3" s="2233" t="s">
        <v>1</v>
      </c>
      <c r="B3" s="2234"/>
      <c r="C3" s="2234"/>
      <c r="D3" s="2234"/>
      <c r="E3" s="2234"/>
      <c r="F3" s="2234"/>
      <c r="G3" s="2234"/>
      <c r="H3" s="2235"/>
      <c r="I3" s="2017">
        <f t="shared" ref="I3:O3" si="0">I5+I27+I67</f>
        <v>1610786</v>
      </c>
      <c r="J3" s="2018">
        <f t="shared" si="0"/>
        <v>1879494.7799999998</v>
      </c>
      <c r="K3" s="2018">
        <f t="shared" si="0"/>
        <v>1763829</v>
      </c>
      <c r="L3" s="2019">
        <f t="shared" si="0"/>
        <v>1796470.08</v>
      </c>
      <c r="M3" s="2020">
        <f t="shared" si="0"/>
        <v>1584419</v>
      </c>
      <c r="N3" s="2021">
        <f t="shared" si="0"/>
        <v>1710543</v>
      </c>
      <c r="O3" s="2018">
        <f t="shared" si="0"/>
        <v>1765383</v>
      </c>
    </row>
    <row r="4" spans="1:15" ht="15.75" thickBot="1" x14ac:dyDescent="0.25">
      <c r="A4" s="3"/>
      <c r="B4" s="4"/>
      <c r="C4" s="4"/>
      <c r="D4" s="4"/>
      <c r="E4" s="4"/>
      <c r="F4" s="4"/>
      <c r="G4" s="4"/>
      <c r="H4" s="4"/>
      <c r="I4" s="5"/>
    </row>
    <row r="5" spans="1:15" ht="15.75" thickBot="1" x14ac:dyDescent="0.25">
      <c r="A5" s="2236" t="s">
        <v>2</v>
      </c>
      <c r="B5" s="2236"/>
      <c r="C5" s="2236"/>
      <c r="D5" s="2236"/>
      <c r="E5" s="2236"/>
      <c r="F5" s="2236"/>
      <c r="G5" s="2236"/>
      <c r="H5" s="2236"/>
      <c r="I5" s="1994">
        <f t="shared" ref="I5:O5" si="1">I8+I10+I12+I14+I16+I18+I20</f>
        <v>1300537</v>
      </c>
      <c r="J5" s="1995">
        <f>J8+J10+J12+J14+J16+J18+J20</f>
        <v>1394396.0099999998</v>
      </c>
      <c r="K5" s="1995">
        <f t="shared" si="1"/>
        <v>1412299</v>
      </c>
      <c r="L5" s="1996">
        <f>L8+L10+L12+L14+L16+L18+L20</f>
        <v>1384178</v>
      </c>
      <c r="M5" s="1997">
        <f t="shared" si="1"/>
        <v>1204319</v>
      </c>
      <c r="N5" s="1998">
        <f t="shared" si="1"/>
        <v>1318243</v>
      </c>
      <c r="O5" s="1995">
        <f t="shared" si="1"/>
        <v>1373133</v>
      </c>
    </row>
    <row r="6" spans="1:15" ht="15" x14ac:dyDescent="0.2">
      <c r="A6" s="989"/>
      <c r="B6" s="990"/>
      <c r="C6" s="990"/>
      <c r="D6" s="990"/>
      <c r="E6" s="990"/>
      <c r="F6" s="990"/>
      <c r="G6" s="990"/>
      <c r="H6" s="991"/>
      <c r="I6" s="1989">
        <v>2022</v>
      </c>
      <c r="J6" s="1989">
        <v>2023</v>
      </c>
      <c r="K6" s="1989">
        <v>2024</v>
      </c>
      <c r="L6" s="1990" t="s">
        <v>1024</v>
      </c>
      <c r="M6" s="1991">
        <v>2025</v>
      </c>
      <c r="N6" s="1992">
        <v>2026</v>
      </c>
      <c r="O6" s="1993">
        <v>2027</v>
      </c>
    </row>
    <row r="7" spans="1:15" x14ac:dyDescent="0.2">
      <c r="A7" s="968" t="s">
        <v>3</v>
      </c>
      <c r="B7" s="957" t="s">
        <v>4</v>
      </c>
      <c r="C7" s="957"/>
      <c r="D7" s="957"/>
      <c r="E7" s="957"/>
      <c r="F7" s="957"/>
      <c r="G7" s="957"/>
      <c r="H7" s="957"/>
      <c r="I7" s="958"/>
      <c r="J7" s="959"/>
      <c r="K7" s="960"/>
      <c r="L7" s="960"/>
      <c r="M7" s="966"/>
      <c r="N7" s="960"/>
      <c r="O7" s="969"/>
    </row>
    <row r="8" spans="1:15" ht="45.2" customHeight="1" x14ac:dyDescent="0.2">
      <c r="A8" s="2228" t="s">
        <v>5</v>
      </c>
      <c r="B8" s="2229"/>
      <c r="C8" s="2229"/>
      <c r="D8" s="2229"/>
      <c r="E8" s="2229"/>
      <c r="F8" s="2229"/>
      <c r="G8" s="2229"/>
      <c r="H8" s="2229"/>
      <c r="I8" s="1003">
        <f>príjmy!M10</f>
        <v>1057646</v>
      </c>
      <c r="J8" s="1003">
        <f>príjmy!O10</f>
        <v>1149112.24</v>
      </c>
      <c r="K8" s="1003">
        <f>príjmy!P10</f>
        <v>1158608</v>
      </c>
      <c r="L8" s="1004">
        <f>príjmy!Q10</f>
        <v>1121985</v>
      </c>
      <c r="M8" s="2036">
        <f>príjmy!R10</f>
        <v>944458</v>
      </c>
      <c r="N8" s="1005">
        <f>príjmy!S10</f>
        <v>1058382</v>
      </c>
      <c r="O8" s="1006">
        <f>príjmy!T10</f>
        <v>1113272</v>
      </c>
    </row>
    <row r="9" spans="1:15" x14ac:dyDescent="0.2">
      <c r="A9" s="968" t="s">
        <v>6</v>
      </c>
      <c r="B9" s="957" t="s">
        <v>7</v>
      </c>
      <c r="C9" s="957"/>
      <c r="D9" s="957"/>
      <c r="E9" s="957"/>
      <c r="F9" s="957"/>
      <c r="G9" s="957"/>
      <c r="H9" s="957"/>
      <c r="I9" s="961"/>
      <c r="J9" s="960"/>
      <c r="K9" s="960"/>
      <c r="L9" s="960"/>
      <c r="M9" s="967"/>
      <c r="N9" s="960"/>
      <c r="O9" s="969"/>
    </row>
    <row r="10" spans="1:15" ht="119.1" customHeight="1" x14ac:dyDescent="0.2">
      <c r="A10" s="2228" t="s">
        <v>8</v>
      </c>
      <c r="B10" s="2229"/>
      <c r="C10" s="2229"/>
      <c r="D10" s="2229"/>
      <c r="E10" s="2229"/>
      <c r="F10" s="2229"/>
      <c r="G10" s="2229"/>
      <c r="H10" s="2229"/>
      <c r="I10" s="1003">
        <f>príjmy!M16</f>
        <v>211200</v>
      </c>
      <c r="J10" s="1003">
        <f>príjmy!O16+príjmy!O31</f>
        <v>215055.91</v>
      </c>
      <c r="K10" s="1003">
        <f>príjmy!P16+príjmy!P31</f>
        <v>223300</v>
      </c>
      <c r="L10" s="1004">
        <f>príjmy!Q16+príjmy!Q31</f>
        <v>231272</v>
      </c>
      <c r="M10" s="2036">
        <f>príjmy!R16+príjmy!R31</f>
        <v>228000</v>
      </c>
      <c r="N10" s="1007">
        <f>príjmy!S16+príjmy!S31</f>
        <v>228000</v>
      </c>
      <c r="O10" s="1008">
        <f>príjmy!T16+príjmy!T31</f>
        <v>228000</v>
      </c>
    </row>
    <row r="11" spans="1:15" x14ac:dyDescent="0.2">
      <c r="A11" s="968" t="s">
        <v>9</v>
      </c>
      <c r="B11" s="957" t="s">
        <v>10</v>
      </c>
      <c r="C11" s="957"/>
      <c r="D11" s="957"/>
      <c r="E11" s="957"/>
      <c r="F11" s="957"/>
      <c r="G11" s="957"/>
      <c r="H11" s="957"/>
      <c r="I11" s="962"/>
      <c r="J11" s="960"/>
      <c r="K11" s="960"/>
      <c r="L11" s="960"/>
      <c r="M11" s="967"/>
      <c r="N11" s="960"/>
      <c r="O11" s="969"/>
    </row>
    <row r="12" spans="1:15" ht="99.2" customHeight="1" x14ac:dyDescent="0.2">
      <c r="A12" s="2240" t="s">
        <v>11</v>
      </c>
      <c r="B12" s="2241"/>
      <c r="C12" s="2241"/>
      <c r="D12" s="2241"/>
      <c r="E12" s="2241"/>
      <c r="F12" s="2241"/>
      <c r="G12" s="2241"/>
      <c r="H12" s="2241"/>
      <c r="I12" s="1009">
        <f>príjmy!M27+príjmy!M31</f>
        <v>600</v>
      </c>
      <c r="J12" s="1010">
        <f>príjmy!O27</f>
        <v>799.67</v>
      </c>
      <c r="K12" s="1010">
        <f>príjmy!P27</f>
        <v>500</v>
      </c>
      <c r="L12" s="1011">
        <f>príjmy!Q27</f>
        <v>560</v>
      </c>
      <c r="M12" s="2037">
        <f>príjmy!R27</f>
        <v>1400</v>
      </c>
      <c r="N12" s="1012">
        <f>príjmy!S27</f>
        <v>1400</v>
      </c>
      <c r="O12" s="1013">
        <f>príjmy!T27</f>
        <v>1400</v>
      </c>
    </row>
    <row r="13" spans="1:15" x14ac:dyDescent="0.2">
      <c r="A13" s="968" t="s">
        <v>12</v>
      </c>
      <c r="B13" s="2242" t="s">
        <v>13</v>
      </c>
      <c r="C13" s="2242"/>
      <c r="D13" s="2242"/>
      <c r="E13" s="2242"/>
      <c r="F13" s="2242"/>
      <c r="G13" s="2242"/>
      <c r="H13" s="2242"/>
      <c r="I13" s="961"/>
      <c r="J13" s="960"/>
      <c r="K13" s="960"/>
      <c r="L13" s="960"/>
      <c r="M13" s="967"/>
      <c r="N13" s="960"/>
      <c r="O13" s="969"/>
    </row>
    <row r="14" spans="1:15" ht="56.85" customHeight="1" x14ac:dyDescent="0.2">
      <c r="A14" s="2243" t="s">
        <v>14</v>
      </c>
      <c r="B14" s="2244"/>
      <c r="C14" s="2244"/>
      <c r="D14" s="2244"/>
      <c r="E14" s="2244"/>
      <c r="F14" s="2244"/>
      <c r="G14" s="2244"/>
      <c r="H14" s="2244"/>
      <c r="I14" s="1009">
        <f>príjmy!M24+príjmy!M25</f>
        <v>2530</v>
      </c>
      <c r="J14" s="1016">
        <f>príjmy!O24+príjmy!O25</f>
        <v>2275.9899999999998</v>
      </c>
      <c r="K14" s="1016">
        <f>príjmy!P24+príjmy!P25</f>
        <v>2530</v>
      </c>
      <c r="L14" s="1017">
        <f>príjmy!Q24+príjmy!Q25</f>
        <v>2650</v>
      </c>
      <c r="M14" s="2037">
        <f>príjmy!R24+príjmy!R25</f>
        <v>3100</v>
      </c>
      <c r="N14" s="1012">
        <f>príjmy!S24+príjmy!S25</f>
        <v>3100</v>
      </c>
      <c r="O14" s="1013">
        <f>príjmy!T24+príjmy!T25</f>
        <v>3100</v>
      </c>
    </row>
    <row r="15" spans="1:15" x14ac:dyDescent="0.2">
      <c r="A15" s="968" t="s">
        <v>15</v>
      </c>
      <c r="B15" s="2242" t="s">
        <v>16</v>
      </c>
      <c r="C15" s="2242"/>
      <c r="D15" s="2242"/>
      <c r="E15" s="2242"/>
      <c r="F15" s="2242"/>
      <c r="G15" s="2242"/>
      <c r="H15" s="2242"/>
      <c r="I15" s="961"/>
      <c r="J15" s="960"/>
      <c r="K15" s="960"/>
      <c r="L15" s="960"/>
      <c r="M15" s="967"/>
      <c r="N15" s="956"/>
      <c r="O15" s="970"/>
    </row>
    <row r="16" spans="1:15" ht="48.2" customHeight="1" x14ac:dyDescent="0.2">
      <c r="A16" s="2243" t="s">
        <v>17</v>
      </c>
      <c r="B16" s="2244"/>
      <c r="C16" s="2244"/>
      <c r="D16" s="2244"/>
      <c r="E16" s="2244"/>
      <c r="F16" s="2244"/>
      <c r="G16" s="2244"/>
      <c r="H16" s="2244"/>
      <c r="I16" s="1009">
        <f>príjmy!M26</f>
        <v>0</v>
      </c>
      <c r="J16" s="1016">
        <f>príjmy!O26</f>
        <v>0</v>
      </c>
      <c r="K16" s="1016">
        <f>príjmy!P26</f>
        <v>0</v>
      </c>
      <c r="L16" s="1017">
        <f>príjmy!Q26</f>
        <v>0</v>
      </c>
      <c r="M16" s="2037">
        <f>príjmy!R26</f>
        <v>0</v>
      </c>
      <c r="N16" s="1012">
        <f>príjmy!S26</f>
        <v>0</v>
      </c>
      <c r="O16" s="1013">
        <f>príjmy!T26</f>
        <v>0</v>
      </c>
    </row>
    <row r="17" spans="1:15" x14ac:dyDescent="0.2">
      <c r="A17" s="968" t="s">
        <v>18</v>
      </c>
      <c r="B17" s="963" t="s">
        <v>19</v>
      </c>
      <c r="C17" s="963"/>
      <c r="D17" s="963"/>
      <c r="E17" s="963"/>
      <c r="F17" s="963"/>
      <c r="G17" s="963"/>
      <c r="H17" s="963"/>
      <c r="I17" s="962"/>
      <c r="J17" s="960"/>
      <c r="K17" s="960"/>
      <c r="L17" s="960"/>
      <c r="M17" s="967"/>
      <c r="N17" s="960"/>
      <c r="O17" s="969"/>
    </row>
    <row r="18" spans="1:15" ht="130.35" customHeight="1" x14ac:dyDescent="0.2">
      <c r="A18" s="2237" t="s">
        <v>666</v>
      </c>
      <c r="B18" s="2238"/>
      <c r="C18" s="2238"/>
      <c r="D18" s="2238"/>
      <c r="E18" s="2238"/>
      <c r="F18" s="2238"/>
      <c r="G18" s="2238"/>
      <c r="H18" s="2239"/>
      <c r="I18" s="1018">
        <f>príjmy!M30</f>
        <v>26361</v>
      </c>
      <c r="J18" s="1018">
        <f>príjmy!O30</f>
        <v>26361.31</v>
      </c>
      <c r="K18" s="1018">
        <f>príjmy!P30</f>
        <v>26361</v>
      </c>
      <c r="L18" s="1019">
        <f>príjmy!Q30</f>
        <v>26361</v>
      </c>
      <c r="M18" s="2037">
        <f>príjmy!R30</f>
        <v>26361</v>
      </c>
      <c r="N18" s="1012">
        <f>príjmy!S30</f>
        <v>26361</v>
      </c>
      <c r="O18" s="1013">
        <f>príjmy!T30</f>
        <v>26361</v>
      </c>
    </row>
    <row r="19" spans="1:15" x14ac:dyDescent="0.2">
      <c r="A19" s="971" t="s">
        <v>20</v>
      </c>
      <c r="B19" s="964" t="s">
        <v>21</v>
      </c>
      <c r="C19" s="957"/>
      <c r="D19" s="957"/>
      <c r="E19" s="957"/>
      <c r="F19" s="957"/>
      <c r="G19" s="957"/>
      <c r="H19" s="957"/>
      <c r="I19" s="965"/>
      <c r="J19" s="960"/>
      <c r="K19" s="960"/>
      <c r="L19" s="960"/>
      <c r="M19" s="967"/>
      <c r="N19" s="960"/>
      <c r="O19" s="969"/>
    </row>
    <row r="20" spans="1:15" ht="79.349999999999994" customHeight="1" thickBot="1" x14ac:dyDescent="0.25">
      <c r="A20" s="2251" t="s">
        <v>22</v>
      </c>
      <c r="B20" s="2252"/>
      <c r="C20" s="2252"/>
      <c r="D20" s="2252"/>
      <c r="E20" s="2252"/>
      <c r="F20" s="2252"/>
      <c r="G20" s="2252"/>
      <c r="H20" s="2252"/>
      <c r="I20" s="1020">
        <f>príjmy!M28+príjmy!M29</f>
        <v>2200</v>
      </c>
      <c r="J20" s="1021">
        <f>príjmy!O28+príjmy!O29</f>
        <v>790.89</v>
      </c>
      <c r="K20" s="1021">
        <f>príjmy!P28+príjmy!P29</f>
        <v>1000</v>
      </c>
      <c r="L20" s="1022">
        <f>príjmy!Q28+príjmy!Q29</f>
        <v>1350</v>
      </c>
      <c r="M20" s="2038">
        <f>príjmy!R28+príjmy!R29</f>
        <v>1000</v>
      </c>
      <c r="N20" s="1023">
        <f>príjmy!S28+príjmy!S29</f>
        <v>1000</v>
      </c>
      <c r="O20" s="1024">
        <f>príjmy!T28+príjmy!T29</f>
        <v>1000</v>
      </c>
    </row>
    <row r="21" spans="1:15" ht="15" x14ac:dyDescent="0.2">
      <c r="A21" s="6"/>
      <c r="B21" s="7"/>
      <c r="C21" s="7"/>
      <c r="D21" s="7"/>
      <c r="E21" s="7"/>
      <c r="F21" s="7"/>
      <c r="G21" s="7"/>
      <c r="H21" s="7"/>
      <c r="I21" s="8"/>
    </row>
    <row r="22" spans="1:15" ht="15" x14ac:dyDescent="0.2">
      <c r="A22" s="6"/>
      <c r="B22" s="7"/>
      <c r="C22" s="7"/>
      <c r="D22" s="7"/>
      <c r="E22" s="7"/>
      <c r="F22" s="7"/>
      <c r="G22" s="7"/>
      <c r="H22" s="7"/>
      <c r="I22" s="8"/>
    </row>
    <row r="23" spans="1:15" ht="15" x14ac:dyDescent="0.2">
      <c r="A23" s="6"/>
      <c r="B23" s="7"/>
      <c r="C23" s="7"/>
      <c r="D23" s="7"/>
      <c r="E23" s="7"/>
      <c r="F23" s="7"/>
      <c r="G23" s="7"/>
      <c r="H23" s="7"/>
      <c r="I23" s="8"/>
    </row>
    <row r="24" spans="1:15" ht="15" x14ac:dyDescent="0.2">
      <c r="A24" s="6"/>
      <c r="B24" s="7"/>
      <c r="C24" s="7"/>
      <c r="D24" s="7"/>
      <c r="E24" s="7"/>
      <c r="F24" s="7"/>
      <c r="G24" s="7"/>
      <c r="H24" s="7"/>
      <c r="I24" s="8"/>
    </row>
    <row r="25" spans="1:15" ht="15" x14ac:dyDescent="0.2">
      <c r="A25" s="6"/>
      <c r="B25" s="7"/>
      <c r="C25" s="7"/>
      <c r="D25" s="7"/>
      <c r="E25" s="7"/>
      <c r="F25" s="7"/>
      <c r="G25" s="7"/>
      <c r="H25" s="7"/>
      <c r="I25" s="8"/>
    </row>
    <row r="26" spans="1:15" ht="15.75" thickBot="1" x14ac:dyDescent="0.25">
      <c r="A26" s="6"/>
      <c r="B26" s="7"/>
      <c r="C26" s="7"/>
      <c r="D26" s="7"/>
      <c r="E26" s="7"/>
      <c r="F26" s="7"/>
      <c r="G26" s="7"/>
      <c r="H26" s="7"/>
      <c r="I26" s="8"/>
    </row>
    <row r="27" spans="1:15" ht="15.75" thickBot="1" x14ac:dyDescent="0.25">
      <c r="A27" s="2253" t="s">
        <v>23</v>
      </c>
      <c r="B27" s="2254"/>
      <c r="C27" s="2254"/>
      <c r="D27" s="2254"/>
      <c r="E27" s="2254"/>
      <c r="F27" s="2254"/>
      <c r="G27" s="2254"/>
      <c r="H27" s="2255"/>
      <c r="I27" s="1999">
        <f>I30+I32+I34+I36+I38+I40+I42+I44+I48+I50+I52+I54+I46</f>
        <v>184535</v>
      </c>
      <c r="J27" s="1995">
        <f t="shared" ref="J27:O27" si="2">J30+J32+J34+J36+J38+J40+J42+J44+J48+J50+J52+J54+J46</f>
        <v>225002.56</v>
      </c>
      <c r="K27" s="1995">
        <f t="shared" si="2"/>
        <v>172580</v>
      </c>
      <c r="L27" s="1996">
        <f t="shared" si="2"/>
        <v>194389</v>
      </c>
      <c r="M27" s="1997">
        <f t="shared" si="2"/>
        <v>194850</v>
      </c>
      <c r="N27" s="1998">
        <f t="shared" si="2"/>
        <v>201850</v>
      </c>
      <c r="O27" s="1995">
        <f t="shared" si="2"/>
        <v>201800</v>
      </c>
    </row>
    <row r="28" spans="1:15" ht="15" x14ac:dyDescent="0.2">
      <c r="A28" s="989"/>
      <c r="B28" s="990"/>
      <c r="C28" s="990"/>
      <c r="D28" s="990"/>
      <c r="E28" s="990"/>
      <c r="F28" s="990"/>
      <c r="G28" s="990"/>
      <c r="H28" s="991"/>
      <c r="I28" s="1989">
        <v>2022</v>
      </c>
      <c r="J28" s="1989">
        <v>2023</v>
      </c>
      <c r="K28" s="1989">
        <v>2024</v>
      </c>
      <c r="L28" s="1990" t="s">
        <v>1024</v>
      </c>
      <c r="M28" s="1991">
        <v>2025</v>
      </c>
      <c r="N28" s="1992">
        <v>2026</v>
      </c>
      <c r="O28" s="1993">
        <v>2027</v>
      </c>
    </row>
    <row r="29" spans="1:15" x14ac:dyDescent="0.2">
      <c r="A29" s="968" t="s">
        <v>24</v>
      </c>
      <c r="B29" s="2242" t="s">
        <v>25</v>
      </c>
      <c r="C29" s="2242"/>
      <c r="D29" s="2242"/>
      <c r="E29" s="2242"/>
      <c r="F29" s="2242"/>
      <c r="G29" s="2242"/>
      <c r="H29" s="2242"/>
      <c r="I29" s="975"/>
      <c r="J29" s="1025"/>
      <c r="K29" s="1025"/>
      <c r="L29" s="1026"/>
      <c r="M29" s="1027"/>
      <c r="N29" s="1025"/>
      <c r="O29" s="1026"/>
    </row>
    <row r="30" spans="1:15" ht="22.5" customHeight="1" x14ac:dyDescent="0.2">
      <c r="A30" s="2256" t="s">
        <v>26</v>
      </c>
      <c r="B30" s="2257"/>
      <c r="C30" s="2257"/>
      <c r="D30" s="2257"/>
      <c r="E30" s="2257"/>
      <c r="F30" s="2257"/>
      <c r="G30" s="2257"/>
      <c r="H30" s="2258"/>
      <c r="I30" s="1032">
        <f>príjmy!M40</f>
        <v>14000</v>
      </c>
      <c r="J30" s="1033">
        <f>príjmy!O40</f>
        <v>13800.46</v>
      </c>
      <c r="K30" s="1034">
        <f>príjmy!P40</f>
        <v>14000</v>
      </c>
      <c r="L30" s="1033">
        <f>príjmy!Q40</f>
        <v>14000</v>
      </c>
      <c r="M30" s="2039">
        <f>príjmy!R40</f>
        <v>14000</v>
      </c>
      <c r="N30" s="1033">
        <f>príjmy!S40</f>
        <v>14000</v>
      </c>
      <c r="O30" s="1015">
        <f>príjmy!T40</f>
        <v>14000</v>
      </c>
    </row>
    <row r="31" spans="1:15" x14ac:dyDescent="0.2">
      <c r="A31" s="971" t="s">
        <v>27</v>
      </c>
      <c r="B31" s="2242" t="s">
        <v>28</v>
      </c>
      <c r="C31" s="2242"/>
      <c r="D31" s="2242"/>
      <c r="E31" s="2242"/>
      <c r="F31" s="2242"/>
      <c r="G31" s="2242"/>
      <c r="H31" s="2242"/>
      <c r="I31" s="975"/>
      <c r="J31" s="1025"/>
      <c r="K31" s="1025"/>
      <c r="L31" s="1025"/>
      <c r="M31" s="1027"/>
      <c r="N31" s="1025"/>
      <c r="O31" s="1026"/>
    </row>
    <row r="32" spans="1:15" s="977" customFormat="1" ht="22.5" customHeight="1" x14ac:dyDescent="0.2">
      <c r="A32" s="2259" t="s">
        <v>29</v>
      </c>
      <c r="B32" s="2260"/>
      <c r="C32" s="2260"/>
      <c r="D32" s="2260"/>
      <c r="E32" s="2260"/>
      <c r="F32" s="2260"/>
      <c r="G32" s="2260"/>
      <c r="H32" s="2260"/>
      <c r="I32" s="1035">
        <f>príjmy!M41</f>
        <v>24000</v>
      </c>
      <c r="J32" s="1036">
        <f>príjmy!O41</f>
        <v>24997.71</v>
      </c>
      <c r="K32" s="1037">
        <f>príjmy!P41</f>
        <v>24000</v>
      </c>
      <c r="L32" s="1036">
        <f>príjmy!Q41</f>
        <v>24000</v>
      </c>
      <c r="M32" s="2040">
        <f>príjmy!R41</f>
        <v>24000</v>
      </c>
      <c r="N32" s="1036">
        <f>príjmy!S41</f>
        <v>24000</v>
      </c>
      <c r="O32" s="1038">
        <f>príjmy!T41</f>
        <v>24000</v>
      </c>
    </row>
    <row r="33" spans="1:15" x14ac:dyDescent="0.2">
      <c r="A33" s="968" t="s">
        <v>30</v>
      </c>
      <c r="B33" s="963" t="s">
        <v>31</v>
      </c>
      <c r="C33" s="963"/>
      <c r="D33" s="963"/>
      <c r="E33" s="963"/>
      <c r="F33" s="963"/>
      <c r="G33" s="963"/>
      <c r="H33" s="963"/>
      <c r="I33" s="975"/>
      <c r="J33" s="1025"/>
      <c r="K33" s="1025"/>
      <c r="L33" s="1025"/>
      <c r="M33" s="1027"/>
      <c r="N33" s="1025"/>
      <c r="O33" s="1026"/>
    </row>
    <row r="34" spans="1:15" ht="15" customHeight="1" x14ac:dyDescent="0.2">
      <c r="A34" s="2245" t="s">
        <v>32</v>
      </c>
      <c r="B34" s="2246"/>
      <c r="C34" s="2246"/>
      <c r="D34" s="2246"/>
      <c r="E34" s="2246"/>
      <c r="F34" s="2246"/>
      <c r="G34" s="2246"/>
      <c r="H34" s="2246"/>
      <c r="I34" s="1028">
        <f>príjmy!M42</f>
        <v>2600</v>
      </c>
      <c r="J34" s="1030">
        <f>príjmy!O42</f>
        <v>2325.5</v>
      </c>
      <c r="K34" s="1031">
        <f>príjmy!P42</f>
        <v>3000</v>
      </c>
      <c r="L34" s="1030">
        <f>príjmy!Q42</f>
        <v>2000</v>
      </c>
      <c r="M34" s="2041">
        <f>príjmy!R42</f>
        <v>3000</v>
      </c>
      <c r="N34" s="1030">
        <f>príjmy!S42</f>
        <v>3000</v>
      </c>
      <c r="O34" s="1014">
        <f>príjmy!T42</f>
        <v>3000</v>
      </c>
    </row>
    <row r="35" spans="1:15" ht="15" customHeight="1" x14ac:dyDescent="0.2">
      <c r="A35" s="972">
        <v>42096</v>
      </c>
      <c r="B35" s="973" t="s">
        <v>31</v>
      </c>
      <c r="C35" s="973"/>
      <c r="D35" s="973"/>
      <c r="E35" s="973"/>
      <c r="F35" s="973"/>
      <c r="G35" s="973"/>
      <c r="H35" s="973"/>
      <c r="I35" s="1029"/>
      <c r="J35" s="1025"/>
      <c r="K35" s="1025"/>
      <c r="L35" s="1025"/>
      <c r="M35" s="1027"/>
      <c r="N35" s="1025"/>
      <c r="O35" s="1026"/>
    </row>
    <row r="36" spans="1:15" ht="15" customHeight="1" x14ac:dyDescent="0.2">
      <c r="A36" s="978" t="s">
        <v>660</v>
      </c>
      <c r="B36" s="974"/>
      <c r="C36" s="974"/>
      <c r="D36" s="974"/>
      <c r="E36" s="974"/>
      <c r="F36" s="974"/>
      <c r="G36" s="974"/>
      <c r="H36" s="974"/>
      <c r="I36" s="1028">
        <f>príjmy!M43</f>
        <v>17500</v>
      </c>
      <c r="J36" s="1030">
        <f>príjmy!O43</f>
        <v>8389.07</v>
      </c>
      <c r="K36" s="1031">
        <f>príjmy!P43+príjmy!P54</f>
        <v>12000</v>
      </c>
      <c r="L36" s="1030">
        <f>príjmy!Q43+príjmy!Q54</f>
        <v>12000</v>
      </c>
      <c r="M36" s="2041">
        <f>príjmy!R43</f>
        <v>12000</v>
      </c>
      <c r="N36" s="1030">
        <f>príjmy!S43</f>
        <v>12000</v>
      </c>
      <c r="O36" s="1014">
        <f>príjmy!T43</f>
        <v>12000</v>
      </c>
    </row>
    <row r="37" spans="1:15" x14ac:dyDescent="0.2">
      <c r="A37" s="968" t="s">
        <v>36</v>
      </c>
      <c r="B37" s="2242" t="s">
        <v>34</v>
      </c>
      <c r="C37" s="2242"/>
      <c r="D37" s="2242"/>
      <c r="E37" s="2242"/>
      <c r="F37" s="2242"/>
      <c r="G37" s="2242"/>
      <c r="H37" s="2242"/>
      <c r="I37" s="975"/>
      <c r="J37" s="1025"/>
      <c r="K37" s="1025"/>
      <c r="L37" s="1025"/>
      <c r="M37" s="1027"/>
      <c r="N37" s="1025"/>
      <c r="O37" s="1026"/>
    </row>
    <row r="38" spans="1:15" ht="99.2" customHeight="1" x14ac:dyDescent="0.2">
      <c r="A38" s="2249" t="s">
        <v>35</v>
      </c>
      <c r="B38" s="2250"/>
      <c r="C38" s="2250"/>
      <c r="D38" s="2250"/>
      <c r="E38" s="2250"/>
      <c r="F38" s="2250"/>
      <c r="G38" s="2250"/>
      <c r="H38" s="2250"/>
      <c r="I38" s="1032">
        <f>príjmy!M47+príjmy!M59</f>
        <v>10300</v>
      </c>
      <c r="J38" s="1033">
        <f>príjmy!O47+príjmy!O59</f>
        <v>18466.97</v>
      </c>
      <c r="K38" s="1034">
        <f>príjmy!P47+príjmy!P59</f>
        <v>10300</v>
      </c>
      <c r="L38" s="1033">
        <f>príjmy!Q47+príjmy!Q59</f>
        <v>10300</v>
      </c>
      <c r="M38" s="2039">
        <f>príjmy!R47+príjmy!R59</f>
        <v>10300</v>
      </c>
      <c r="N38" s="1033">
        <f>príjmy!S47+príjmy!S59</f>
        <v>10300</v>
      </c>
      <c r="O38" s="1015">
        <f>príjmy!T47+príjmy!T59</f>
        <v>10300</v>
      </c>
    </row>
    <row r="39" spans="1:15" x14ac:dyDescent="0.2">
      <c r="A39" s="968" t="s">
        <v>39</v>
      </c>
      <c r="B39" s="963" t="s">
        <v>37</v>
      </c>
      <c r="C39" s="963"/>
      <c r="D39" s="963"/>
      <c r="E39" s="963"/>
      <c r="F39" s="963"/>
      <c r="G39" s="963"/>
      <c r="H39" s="963"/>
      <c r="I39" s="975"/>
      <c r="J39" s="1025"/>
      <c r="K39" s="1025"/>
      <c r="L39" s="1025"/>
      <c r="M39" s="1027"/>
      <c r="N39" s="1025"/>
      <c r="O39" s="1026"/>
    </row>
    <row r="40" spans="1:15" ht="45.2" customHeight="1" x14ac:dyDescent="0.2">
      <c r="A40" s="2237" t="s">
        <v>38</v>
      </c>
      <c r="B40" s="2265"/>
      <c r="C40" s="2265"/>
      <c r="D40" s="2265"/>
      <c r="E40" s="2265"/>
      <c r="F40" s="2265"/>
      <c r="G40" s="2265"/>
      <c r="H40" s="2265"/>
      <c r="I40" s="1032">
        <f>príjmy!M48</f>
        <v>6400</v>
      </c>
      <c r="J40" s="1033">
        <f>príjmy!O48</f>
        <v>4846</v>
      </c>
      <c r="K40" s="1034">
        <f>príjmy!P48+príjmy!P50</f>
        <v>5000</v>
      </c>
      <c r="L40" s="1033">
        <f>príjmy!Q48</f>
        <v>6500</v>
      </c>
      <c r="M40" s="2039">
        <f>príjmy!R48</f>
        <v>5000</v>
      </c>
      <c r="N40" s="1033">
        <f>príjmy!S48</f>
        <v>5000</v>
      </c>
      <c r="O40" s="1015">
        <f>príjmy!T48</f>
        <v>5000</v>
      </c>
    </row>
    <row r="41" spans="1:15" x14ac:dyDescent="0.2">
      <c r="A41" s="968" t="s">
        <v>41</v>
      </c>
      <c r="B41" s="979" t="s">
        <v>31</v>
      </c>
      <c r="C41" s="979"/>
      <c r="D41" s="979"/>
      <c r="E41" s="979"/>
      <c r="F41" s="979"/>
      <c r="G41" s="979"/>
      <c r="H41" s="979"/>
      <c r="I41" s="975"/>
      <c r="J41" s="1025"/>
      <c r="K41" s="1025"/>
      <c r="L41" s="1025"/>
      <c r="M41" s="1027"/>
      <c r="N41" s="1025"/>
      <c r="O41" s="1026"/>
    </row>
    <row r="42" spans="1:15" x14ac:dyDescent="0.2">
      <c r="A42" s="2266" t="s">
        <v>40</v>
      </c>
      <c r="B42" s="2267"/>
      <c r="C42" s="2267"/>
      <c r="D42" s="2267"/>
      <c r="E42" s="2267"/>
      <c r="F42" s="2267"/>
      <c r="G42" s="2267"/>
      <c r="H42" s="2267"/>
      <c r="I42" s="1028">
        <f>príjmy!M52</f>
        <v>7000</v>
      </c>
      <c r="J42" s="1030">
        <f>príjmy!O52</f>
        <v>7139</v>
      </c>
      <c r="K42" s="1031">
        <f>príjmy!P52</f>
        <v>7000</v>
      </c>
      <c r="L42" s="1030">
        <f>príjmy!Q52</f>
        <v>7500</v>
      </c>
      <c r="M42" s="2041">
        <f>príjmy!R52</f>
        <v>7000</v>
      </c>
      <c r="N42" s="1030">
        <f>príjmy!S52</f>
        <v>7000</v>
      </c>
      <c r="O42" s="1014">
        <f>príjmy!T52</f>
        <v>7000</v>
      </c>
    </row>
    <row r="43" spans="1:15" x14ac:dyDescent="0.2">
      <c r="A43" s="968" t="s">
        <v>44</v>
      </c>
      <c r="B43" s="2263" t="s">
        <v>42</v>
      </c>
      <c r="C43" s="2263"/>
      <c r="D43" s="2263"/>
      <c r="E43" s="2263"/>
      <c r="F43" s="2263"/>
      <c r="G43" s="2263"/>
      <c r="H43" s="2263"/>
      <c r="I43" s="975"/>
      <c r="J43" s="1025"/>
      <c r="K43" s="1025"/>
      <c r="L43" s="1025"/>
      <c r="M43" s="1027"/>
      <c r="N43" s="1025"/>
      <c r="O43" s="1026"/>
    </row>
    <row r="44" spans="1:15" ht="22.5" customHeight="1" x14ac:dyDescent="0.2">
      <c r="A44" s="2245" t="s">
        <v>43</v>
      </c>
      <c r="B44" s="2246"/>
      <c r="C44" s="2246"/>
      <c r="D44" s="2246"/>
      <c r="E44" s="2246"/>
      <c r="F44" s="2246"/>
      <c r="G44" s="2246"/>
      <c r="H44" s="2246"/>
      <c r="I44" s="1032">
        <f>príjmy!M51</f>
        <v>230</v>
      </c>
      <c r="J44" s="1033">
        <f>príjmy!O51</f>
        <v>621.5</v>
      </c>
      <c r="K44" s="1034">
        <f>príjmy!P51</f>
        <v>230</v>
      </c>
      <c r="L44" s="1033">
        <f>príjmy!Q51</f>
        <v>500</v>
      </c>
      <c r="M44" s="2039">
        <f>príjmy!R51</f>
        <v>500</v>
      </c>
      <c r="N44" s="1033">
        <f>príjmy!S51</f>
        <v>500</v>
      </c>
      <c r="O44" s="1015">
        <f>príjmy!T51</f>
        <v>500</v>
      </c>
    </row>
    <row r="45" spans="1:15" s="1361" customFormat="1" ht="22.5" customHeight="1" x14ac:dyDescent="0.2">
      <c r="A45" s="968" t="s">
        <v>46</v>
      </c>
      <c r="B45" s="2263" t="s">
        <v>42</v>
      </c>
      <c r="C45" s="2263"/>
      <c r="D45" s="2263"/>
      <c r="E45" s="2263"/>
      <c r="F45" s="2263"/>
      <c r="G45" s="2263"/>
      <c r="H45" s="2263"/>
      <c r="I45" s="975"/>
      <c r="J45" s="1025"/>
      <c r="K45" s="1025"/>
      <c r="L45" s="1025"/>
      <c r="M45" s="1027"/>
      <c r="N45" s="1025"/>
      <c r="O45" s="1026"/>
    </row>
    <row r="46" spans="1:15" s="1361" customFormat="1" ht="22.5" customHeight="1" x14ac:dyDescent="0.2">
      <c r="A46" s="2245" t="s">
        <v>910</v>
      </c>
      <c r="B46" s="2216"/>
      <c r="C46" s="2216"/>
      <c r="D46" s="2216"/>
      <c r="E46" s="2216"/>
      <c r="F46" s="2216"/>
      <c r="G46" s="2216"/>
      <c r="H46" s="2216"/>
      <c r="I46" s="1363">
        <f>príjmy!M49+príjmy!M50</f>
        <v>60000</v>
      </c>
      <c r="J46" s="1034">
        <f>príjmy!O49+príjmy!O50</f>
        <v>60025</v>
      </c>
      <c r="K46" s="1034">
        <f>príjmy!P49</f>
        <v>60000</v>
      </c>
      <c r="L46" s="1033">
        <f>príjmy!Q49+príjmy!Q50</f>
        <v>63000</v>
      </c>
      <c r="M46" s="2039">
        <f>príjmy!R49</f>
        <v>80000</v>
      </c>
      <c r="N46" s="1033">
        <f>príjmy!S49</f>
        <v>85000</v>
      </c>
      <c r="O46" s="1015">
        <f>príjmy!T49</f>
        <v>85000</v>
      </c>
    </row>
    <row r="47" spans="1:15" x14ac:dyDescent="0.2">
      <c r="A47" s="968" t="s">
        <v>49</v>
      </c>
      <c r="B47" s="2263" t="s">
        <v>45</v>
      </c>
      <c r="C47" s="2263"/>
      <c r="D47" s="2263"/>
      <c r="E47" s="2263"/>
      <c r="F47" s="2263"/>
      <c r="G47" s="2263"/>
      <c r="H47" s="2263"/>
      <c r="I47" s="975"/>
      <c r="J47" s="1025"/>
      <c r="K47" s="1025"/>
      <c r="L47" s="1025"/>
      <c r="M47" s="1027"/>
      <c r="N47" s="1025"/>
      <c r="O47" s="1026"/>
    </row>
    <row r="48" spans="1:15" ht="15" x14ac:dyDescent="0.2">
      <c r="A48" s="976"/>
      <c r="B48" s="2275"/>
      <c r="C48" s="2275"/>
      <c r="D48" s="2275"/>
      <c r="E48" s="2275"/>
      <c r="F48" s="2275"/>
      <c r="G48" s="2275"/>
      <c r="H48" s="2275"/>
      <c r="I48" s="1032">
        <f>príjmy!M62+príjmy!M63</f>
        <v>0</v>
      </c>
      <c r="J48" s="1033">
        <f>príjmy!O62+príjmy!O63</f>
        <v>0</v>
      </c>
      <c r="K48" s="1034">
        <f>príjmy!P62+príjmy!P63</f>
        <v>0</v>
      </c>
      <c r="L48" s="1033">
        <f>príjmy!Q62+príjmy!Q63</f>
        <v>0</v>
      </c>
      <c r="M48" s="2039">
        <f>príjmy!R62+príjmy!R63</f>
        <v>0</v>
      </c>
      <c r="N48" s="1033">
        <f>príjmy!S62+príjmy!S63</f>
        <v>0</v>
      </c>
      <c r="O48" s="1015">
        <f>príjmy!T62+príjmy!T63</f>
        <v>0</v>
      </c>
    </row>
    <row r="49" spans="1:15" x14ac:dyDescent="0.2">
      <c r="A49" s="968" t="s">
        <v>52</v>
      </c>
      <c r="B49" s="2263" t="s">
        <v>47</v>
      </c>
      <c r="C49" s="2263"/>
      <c r="D49" s="2263"/>
      <c r="E49" s="2263"/>
      <c r="F49" s="2263"/>
      <c r="G49" s="2263"/>
      <c r="H49" s="2263"/>
      <c r="I49" s="975"/>
      <c r="J49" s="1025"/>
      <c r="K49" s="1025"/>
      <c r="L49" s="1025"/>
      <c r="M49" s="1027"/>
      <c r="N49" s="1025"/>
      <c r="O49" s="1026"/>
    </row>
    <row r="50" spans="1:15" ht="24.95" customHeight="1" x14ac:dyDescent="0.2">
      <c r="A50" s="2237" t="s">
        <v>48</v>
      </c>
      <c r="B50" s="2265"/>
      <c r="C50" s="2265"/>
      <c r="D50" s="2265"/>
      <c r="E50" s="2265"/>
      <c r="F50" s="2265"/>
      <c r="G50" s="2265"/>
      <c r="H50" s="2265"/>
      <c r="I50" s="1032">
        <f>príjmy!M55+príjmy!M56+príjmy!M58+príjmy!M53</f>
        <v>34000</v>
      </c>
      <c r="J50" s="1033">
        <f>príjmy!O55+príjmy!O56+príjmy!O58+príjmy!O53</f>
        <v>41220.28</v>
      </c>
      <c r="K50" s="1034">
        <f>príjmy!P55+príjmy!P56+príjmy!P58+príjmy!P53</f>
        <v>37000</v>
      </c>
      <c r="L50" s="1033">
        <f>príjmy!Q55+príjmy!Q56+príjmy!Q58+príjmy!Q53</f>
        <v>37000</v>
      </c>
      <c r="M50" s="2039">
        <f>príjmy!R55+príjmy!R56+príjmy!R58+príjmy!R53</f>
        <v>39000</v>
      </c>
      <c r="N50" s="1033">
        <f>príjmy!S55+príjmy!S56+príjmy!S58+príjmy!S53</f>
        <v>41000</v>
      </c>
      <c r="O50" s="1015">
        <f>príjmy!T55+príjmy!T56+príjmy!T58+príjmy!T53</f>
        <v>41000</v>
      </c>
    </row>
    <row r="51" spans="1:15" x14ac:dyDescent="0.2">
      <c r="A51" s="971" t="s">
        <v>661</v>
      </c>
      <c r="B51" s="2263" t="s">
        <v>50</v>
      </c>
      <c r="C51" s="2263"/>
      <c r="D51" s="2263"/>
      <c r="E51" s="2263"/>
      <c r="F51" s="2263"/>
      <c r="G51" s="2263"/>
      <c r="H51" s="2263"/>
      <c r="I51" s="975"/>
      <c r="J51" s="1025"/>
      <c r="K51" s="1025"/>
      <c r="L51" s="1025"/>
      <c r="M51" s="1027"/>
      <c r="N51" s="1025"/>
      <c r="O51" s="1026"/>
    </row>
    <row r="52" spans="1:15" x14ac:dyDescent="0.2">
      <c r="A52" s="2261" t="s">
        <v>51</v>
      </c>
      <c r="B52" s="2262"/>
      <c r="C52" s="2262"/>
      <c r="D52" s="2262"/>
      <c r="E52" s="2262"/>
      <c r="F52" s="2262"/>
      <c r="G52" s="2262"/>
      <c r="H52" s="2262"/>
      <c r="I52" s="1041">
        <f>príjmy!M57</f>
        <v>0</v>
      </c>
      <c r="J52" s="1042">
        <f>príjmy!O57</f>
        <v>0</v>
      </c>
      <c r="K52" s="1031">
        <f>príjmy!P57</f>
        <v>0</v>
      </c>
      <c r="L52" s="1042">
        <f>príjmy!Q57</f>
        <v>0</v>
      </c>
      <c r="M52" s="2042">
        <f>príjmy!R57</f>
        <v>0</v>
      </c>
      <c r="N52" s="1042">
        <f>príjmy!S57</f>
        <v>0</v>
      </c>
      <c r="O52" s="1014">
        <f>príjmy!T57</f>
        <v>0</v>
      </c>
    </row>
    <row r="53" spans="1:15" x14ac:dyDescent="0.2">
      <c r="A53" s="968" t="s">
        <v>911</v>
      </c>
      <c r="B53" s="2263" t="s">
        <v>53</v>
      </c>
      <c r="C53" s="2263"/>
      <c r="D53" s="2263"/>
      <c r="E53" s="2263"/>
      <c r="F53" s="2263"/>
      <c r="G53" s="2263"/>
      <c r="H53" s="2263"/>
      <c r="I53" s="975"/>
      <c r="J53" s="1025"/>
      <c r="K53" s="1025"/>
      <c r="L53" s="1025"/>
      <c r="M53" s="1027"/>
      <c r="N53" s="1025"/>
      <c r="O53" s="1026"/>
    </row>
    <row r="54" spans="1:15" ht="33.950000000000003" customHeight="1" thickBot="1" x14ac:dyDescent="0.25">
      <c r="A54" s="2247" t="s">
        <v>54</v>
      </c>
      <c r="B54" s="2248"/>
      <c r="C54" s="2248"/>
      <c r="D54" s="2248"/>
      <c r="E54" s="2248"/>
      <c r="F54" s="2248"/>
      <c r="G54" s="2248"/>
      <c r="H54" s="2248"/>
      <c r="I54" s="1043">
        <f>príjmy!M64+príjmy!M65+príjmy!M66+príjmy!M68+príjmy!M67</f>
        <v>8505</v>
      </c>
      <c r="J54" s="1044">
        <f>príjmy!O64+príjmy!O65+príjmy!O66+príjmy!O68+príjmy!O67</f>
        <v>43171.07</v>
      </c>
      <c r="K54" s="1045">
        <f>príjmy!P64+príjmy!P65+príjmy!P66+príjmy!P68+príjmy!P67</f>
        <v>50</v>
      </c>
      <c r="L54" s="1044">
        <f>príjmy!Q64+príjmy!Q65+príjmy!Q66+príjmy!Q68+príjmy!Q67</f>
        <v>17589</v>
      </c>
      <c r="M54" s="2043">
        <f>príjmy!R64+príjmy!R65+príjmy!R66+príjmy!R68</f>
        <v>50</v>
      </c>
      <c r="N54" s="1044">
        <f>príjmy!S64+príjmy!S65+príjmy!S66+príjmy!S68</f>
        <v>50</v>
      </c>
      <c r="O54" s="1046">
        <f>príjmy!T64+príjmy!T65+príjmy!T66+príjmy!T68</f>
        <v>0</v>
      </c>
    </row>
    <row r="55" spans="1:15" ht="24.95" customHeight="1" x14ac:dyDescent="0.2">
      <c r="A55" s="583"/>
      <c r="B55" s="583"/>
      <c r="C55" s="583"/>
      <c r="D55" s="583"/>
      <c r="E55" s="583"/>
      <c r="F55" s="583"/>
      <c r="G55" s="583"/>
      <c r="H55" s="583"/>
      <c r="I55" s="584"/>
    </row>
    <row r="56" spans="1:15" ht="24.95" customHeight="1" x14ac:dyDescent="0.2">
      <c r="A56" s="583"/>
      <c r="B56" s="583"/>
      <c r="C56" s="583"/>
      <c r="D56" s="583"/>
      <c r="E56" s="583"/>
      <c r="F56" s="583"/>
      <c r="G56" s="583"/>
      <c r="H56" s="583"/>
      <c r="I56" s="584"/>
    </row>
    <row r="57" spans="1:15" ht="24.95" customHeight="1" x14ac:dyDescent="0.2">
      <c r="A57" s="583"/>
      <c r="B57" s="583"/>
      <c r="C57" s="583"/>
      <c r="D57" s="583"/>
      <c r="E57" s="583"/>
      <c r="F57" s="583"/>
      <c r="G57" s="583"/>
      <c r="H57" s="583"/>
      <c r="I57" s="584"/>
    </row>
    <row r="58" spans="1:15" ht="24.95" customHeight="1" x14ac:dyDescent="0.2">
      <c r="A58" s="583"/>
      <c r="B58" s="583"/>
      <c r="C58" s="583"/>
      <c r="D58" s="583"/>
      <c r="E58" s="583"/>
      <c r="F58" s="583"/>
      <c r="G58" s="583"/>
      <c r="H58" s="583"/>
      <c r="I58" s="584"/>
    </row>
    <row r="59" spans="1:15" ht="24.95" customHeight="1" x14ac:dyDescent="0.2">
      <c r="A59" s="583"/>
      <c r="B59" s="583"/>
      <c r="C59" s="583"/>
      <c r="D59" s="583"/>
      <c r="E59" s="583"/>
      <c r="F59" s="583"/>
      <c r="G59" s="583"/>
      <c r="H59" s="583"/>
      <c r="I59" s="584"/>
    </row>
    <row r="60" spans="1:15" ht="24.95" customHeight="1" x14ac:dyDescent="0.2">
      <c r="A60" s="583"/>
      <c r="B60" s="583"/>
      <c r="C60" s="583"/>
      <c r="D60" s="583"/>
      <c r="E60" s="583"/>
      <c r="F60" s="583"/>
      <c r="G60" s="583"/>
      <c r="H60" s="583"/>
      <c r="I60" s="584"/>
    </row>
    <row r="61" spans="1:15" ht="24.95" customHeight="1" x14ac:dyDescent="0.2">
      <c r="A61" s="583"/>
      <c r="B61" s="583"/>
      <c r="C61" s="583"/>
      <c r="D61" s="583"/>
      <c r="E61" s="583"/>
      <c r="F61" s="583"/>
      <c r="G61" s="583"/>
      <c r="H61" s="583"/>
      <c r="I61" s="584"/>
    </row>
    <row r="62" spans="1:15" ht="24.95" customHeight="1" x14ac:dyDescent="0.2">
      <c r="A62" s="583"/>
      <c r="B62" s="583"/>
      <c r="C62" s="583"/>
      <c r="D62" s="583"/>
      <c r="E62" s="583"/>
      <c r="F62" s="583"/>
      <c r="G62" s="583"/>
      <c r="H62" s="583"/>
      <c r="I62" s="584"/>
    </row>
    <row r="63" spans="1:15" ht="24.95" customHeight="1" x14ac:dyDescent="0.2">
      <c r="A63" s="583"/>
      <c r="B63" s="583"/>
      <c r="C63" s="583"/>
      <c r="D63" s="583"/>
      <c r="E63" s="583"/>
      <c r="F63" s="583"/>
      <c r="G63" s="583"/>
      <c r="H63" s="583"/>
      <c r="I63" s="584"/>
    </row>
    <row r="64" spans="1:15" ht="24.95" customHeight="1" x14ac:dyDescent="0.2">
      <c r="A64" s="583"/>
      <c r="B64" s="583"/>
      <c r="C64" s="583"/>
      <c r="D64" s="583"/>
      <c r="E64" s="583"/>
      <c r="F64" s="583"/>
      <c r="G64" s="583"/>
      <c r="H64" s="583"/>
      <c r="I64" s="584"/>
    </row>
    <row r="65" spans="1:15" ht="24.95" customHeight="1" x14ac:dyDescent="0.2">
      <c r="A65" s="583"/>
      <c r="B65" s="583"/>
      <c r="C65" s="583"/>
      <c r="D65" s="583"/>
      <c r="E65" s="583"/>
      <c r="F65" s="583"/>
      <c r="G65" s="583"/>
      <c r="H65" s="583"/>
      <c r="I65" s="584"/>
    </row>
    <row r="66" spans="1:15" ht="8.4499999999999993" customHeight="1" thickBot="1" x14ac:dyDescent="0.25">
      <c r="A66" s="583"/>
      <c r="B66" s="583"/>
      <c r="C66" s="583"/>
      <c r="D66" s="583"/>
      <c r="E66" s="583"/>
      <c r="F66" s="583"/>
      <c r="G66" s="583"/>
      <c r="H66" s="583"/>
      <c r="I66" s="584"/>
    </row>
    <row r="67" spans="1:15" ht="15.75" thickBot="1" x14ac:dyDescent="0.25">
      <c r="A67" s="2268" t="s">
        <v>55</v>
      </c>
      <c r="B67" s="2269"/>
      <c r="C67" s="2269"/>
      <c r="D67" s="2269"/>
      <c r="E67" s="2269"/>
      <c r="F67" s="2269"/>
      <c r="G67" s="2269"/>
      <c r="H67" s="2269"/>
      <c r="I67" s="2000">
        <f>I69+I70+I71+I72+I73+I74+I75+I76+I77+I78+I79+I80+I81+I82+I83+I84+I85+I86+I87+I88+I89+I90+I92+I93</f>
        <v>125714</v>
      </c>
      <c r="J67" s="2001">
        <f>SUM(J69:J90)+J91+J92+J93</f>
        <v>260096.21000000002</v>
      </c>
      <c r="K67" s="2001">
        <f>SUM(K69:K90)+K93</f>
        <v>178950</v>
      </c>
      <c r="L67" s="2002">
        <f>SUM(L69:L90)+L92+L93</f>
        <v>217903.08000000002</v>
      </c>
      <c r="M67" s="1997">
        <f>SUM(M69:M90)+M92+M93</f>
        <v>185250</v>
      </c>
      <c r="N67" s="2003">
        <f>SUM(N69:N90)</f>
        <v>190450</v>
      </c>
      <c r="O67" s="2004">
        <f>SUM(O69:O90)</f>
        <v>190450</v>
      </c>
    </row>
    <row r="68" spans="1:15" ht="15" x14ac:dyDescent="0.2">
      <c r="A68" s="1073"/>
      <c r="B68" s="1085"/>
      <c r="C68" s="1085"/>
      <c r="D68" s="1085"/>
      <c r="E68" s="1085"/>
      <c r="F68" s="1085"/>
      <c r="G68" s="1085"/>
      <c r="H68" s="1086"/>
      <c r="I68" s="1989">
        <v>2022</v>
      </c>
      <c r="J68" s="1989">
        <v>2023</v>
      </c>
      <c r="K68" s="1989">
        <v>2024</v>
      </c>
      <c r="L68" s="1990" t="s">
        <v>1024</v>
      </c>
      <c r="M68" s="1991">
        <v>2025</v>
      </c>
      <c r="N68" s="1992">
        <v>2026</v>
      </c>
      <c r="O68" s="1993">
        <v>2027</v>
      </c>
    </row>
    <row r="69" spans="1:15" ht="22.5" customHeight="1" x14ac:dyDescent="0.2">
      <c r="A69" s="983" t="s">
        <v>56</v>
      </c>
      <c r="B69" s="2230" t="s">
        <v>57</v>
      </c>
      <c r="C69" s="2230"/>
      <c r="D69" s="2230"/>
      <c r="E69" s="2230"/>
      <c r="F69" s="2230"/>
      <c r="G69" s="2230"/>
      <c r="H69" s="2231"/>
      <c r="I69" s="999">
        <f>príjmy!M86</f>
        <v>0</v>
      </c>
      <c r="J69" s="1039">
        <f>príjmy!O86</f>
        <v>0</v>
      </c>
      <c r="K69" s="1039">
        <f>príjmy!P86</f>
        <v>0</v>
      </c>
      <c r="L69" s="1040">
        <f>príjmy!Q86</f>
        <v>0</v>
      </c>
      <c r="M69" s="2044">
        <f>príjmy!R86</f>
        <v>0</v>
      </c>
      <c r="N69" s="1087">
        <f>príjmy!S86</f>
        <v>0</v>
      </c>
      <c r="O69" s="1051">
        <f>príjmy!T86</f>
        <v>0</v>
      </c>
    </row>
    <row r="70" spans="1:15" ht="22.5" customHeight="1" x14ac:dyDescent="0.2">
      <c r="A70" s="983" t="s">
        <v>58</v>
      </c>
      <c r="B70" s="980" t="s">
        <v>622</v>
      </c>
      <c r="C70" s="980"/>
      <c r="D70" s="980"/>
      <c r="E70" s="980"/>
      <c r="F70" s="980"/>
      <c r="G70" s="980"/>
      <c r="H70" s="980"/>
      <c r="I70" s="999">
        <f>príjmy!M87</f>
        <v>0</v>
      </c>
      <c r="J70" s="1039">
        <f>príjmy!O87</f>
        <v>0</v>
      </c>
      <c r="K70" s="1039">
        <f>príjmy!P87</f>
        <v>0</v>
      </c>
      <c r="L70" s="1040">
        <f>príjmy!Q87</f>
        <v>0</v>
      </c>
      <c r="M70" s="2044">
        <f>príjmy!R87</f>
        <v>0</v>
      </c>
      <c r="N70" s="1087">
        <f>príjmy!S87</f>
        <v>0</v>
      </c>
      <c r="O70" s="1051">
        <f>príjmy!T87</f>
        <v>0</v>
      </c>
    </row>
    <row r="71" spans="1:15" ht="22.5" customHeight="1" x14ac:dyDescent="0.2">
      <c r="A71" s="983" t="s">
        <v>60</v>
      </c>
      <c r="B71" s="980" t="s">
        <v>617</v>
      </c>
      <c r="C71" s="980"/>
      <c r="D71" s="980"/>
      <c r="E71" s="980"/>
      <c r="F71" s="980"/>
      <c r="G71" s="980"/>
      <c r="H71" s="980"/>
      <c r="I71" s="999">
        <f>príjmy!M88+príjmy!M119</f>
        <v>0</v>
      </c>
      <c r="J71" s="1039">
        <f>príjmy!O88</f>
        <v>0</v>
      </c>
      <c r="K71" s="1039">
        <f>príjmy!P88</f>
        <v>0</v>
      </c>
      <c r="L71" s="1040">
        <f>príjmy!Q88</f>
        <v>0</v>
      </c>
      <c r="M71" s="2044">
        <f>príjmy!R88</f>
        <v>0</v>
      </c>
      <c r="N71" s="1087">
        <f>príjmy!S88</f>
        <v>0</v>
      </c>
      <c r="O71" s="1051">
        <f>príjmy!T88</f>
        <v>0</v>
      </c>
    </row>
    <row r="72" spans="1:15" ht="22.5" customHeight="1" x14ac:dyDescent="0.2">
      <c r="A72" s="984" t="s">
        <v>62</v>
      </c>
      <c r="B72" s="981" t="s">
        <v>59</v>
      </c>
      <c r="C72" s="981"/>
      <c r="D72" s="981"/>
      <c r="E72" s="981"/>
      <c r="F72" s="981"/>
      <c r="G72" s="981"/>
      <c r="H72" s="981"/>
      <c r="I72" s="1000">
        <f>príjmy!M89</f>
        <v>0</v>
      </c>
      <c r="J72" s="1039">
        <f>príjmy!O89</f>
        <v>0</v>
      </c>
      <c r="K72" s="1039">
        <f>príjmy!P89</f>
        <v>0</v>
      </c>
      <c r="L72" s="1040">
        <f>príjmy!Q89</f>
        <v>0</v>
      </c>
      <c r="M72" s="2044">
        <f>príjmy!R89</f>
        <v>0</v>
      </c>
      <c r="N72" s="1087">
        <f>príjmy!S89</f>
        <v>0</v>
      </c>
      <c r="O72" s="1051">
        <f>príjmy!T89</f>
        <v>0</v>
      </c>
    </row>
    <row r="73" spans="1:15" ht="22.5" customHeight="1" x14ac:dyDescent="0.2">
      <c r="A73" s="985" t="s">
        <v>64</v>
      </c>
      <c r="B73" s="982" t="s">
        <v>61</v>
      </c>
      <c r="C73" s="982"/>
      <c r="D73" s="982"/>
      <c r="E73" s="982"/>
      <c r="F73" s="982"/>
      <c r="G73" s="982"/>
      <c r="H73" s="982"/>
      <c r="I73" s="1001">
        <f>príjmy!M90</f>
        <v>6638</v>
      </c>
      <c r="J73" s="1039">
        <f>príjmy!O90</f>
        <v>7051.85</v>
      </c>
      <c r="K73" s="1039">
        <f>príjmy!P90</f>
        <v>7500</v>
      </c>
      <c r="L73" s="1040">
        <f>príjmy!Q90</f>
        <v>7666</v>
      </c>
      <c r="M73" s="2044">
        <f>príjmy!R90</f>
        <v>7800</v>
      </c>
      <c r="N73" s="1087">
        <f>príjmy!S90</f>
        <v>8000</v>
      </c>
      <c r="O73" s="1051">
        <f>príjmy!T90</f>
        <v>8000</v>
      </c>
    </row>
    <row r="74" spans="1:15" ht="22.5" customHeight="1" x14ac:dyDescent="0.2">
      <c r="A74" s="984" t="s">
        <v>65</v>
      </c>
      <c r="B74" s="2230" t="s">
        <v>63</v>
      </c>
      <c r="C74" s="2230"/>
      <c r="D74" s="2230"/>
      <c r="E74" s="2230"/>
      <c r="F74" s="2230"/>
      <c r="G74" s="2230"/>
      <c r="H74" s="2231"/>
      <c r="I74" s="1000">
        <f>príjmy!M91</f>
        <v>0</v>
      </c>
      <c r="J74" s="1039">
        <f>príjmy!O91+príjmy!O93+príjmy!O95</f>
        <v>0</v>
      </c>
      <c r="K74" s="1039">
        <f>príjmy!P91</f>
        <v>0</v>
      </c>
      <c r="L74" s="1040">
        <f>príjmy!Q91+príjmy!Q92</f>
        <v>0</v>
      </c>
      <c r="M74" s="2044">
        <f>príjmy!R91</f>
        <v>0</v>
      </c>
      <c r="N74" s="1087">
        <f>príjmy!S91</f>
        <v>0</v>
      </c>
      <c r="O74" s="1051">
        <f>príjmy!T91</f>
        <v>0</v>
      </c>
    </row>
    <row r="75" spans="1:15" ht="22.5" customHeight="1" x14ac:dyDescent="0.2">
      <c r="A75" s="984" t="s">
        <v>67</v>
      </c>
      <c r="B75" s="2230" t="s">
        <v>1025</v>
      </c>
      <c r="C75" s="2230"/>
      <c r="D75" s="2230"/>
      <c r="E75" s="2230"/>
      <c r="F75" s="2230"/>
      <c r="G75" s="2230"/>
      <c r="H75" s="2231"/>
      <c r="I75" s="1000">
        <f>príjmy!M97</f>
        <v>0</v>
      </c>
      <c r="J75" s="1039">
        <f>príjmy!O97+príjmy!O98</f>
        <v>75021.16</v>
      </c>
      <c r="K75" s="1039">
        <f>príjmy!P97+príjmy!P98</f>
        <v>0</v>
      </c>
      <c r="L75" s="1040">
        <f>príjmy!Q97</f>
        <v>0</v>
      </c>
      <c r="M75" s="2044">
        <f>príjmy!R97</f>
        <v>0</v>
      </c>
      <c r="N75" s="1087">
        <f>príjmy!S97</f>
        <v>0</v>
      </c>
      <c r="O75" s="1051">
        <f>príjmy!T97</f>
        <v>0</v>
      </c>
    </row>
    <row r="76" spans="1:15" ht="22.5" customHeight="1" x14ac:dyDescent="0.2">
      <c r="A76" s="984" t="s">
        <v>69</v>
      </c>
      <c r="B76" s="981" t="s">
        <v>663</v>
      </c>
      <c r="C76" s="981"/>
      <c r="D76" s="981"/>
      <c r="E76" s="981"/>
      <c r="F76" s="981"/>
      <c r="G76" s="981"/>
      <c r="H76" s="981"/>
      <c r="I76" s="1000">
        <f>príjmy!M118</f>
        <v>3000</v>
      </c>
      <c r="J76" s="1039">
        <f>príjmy!O118</f>
        <v>3000</v>
      </c>
      <c r="K76" s="1039">
        <f>príjmy!P118</f>
        <v>3000</v>
      </c>
      <c r="L76" s="1040">
        <f>príjmy!Q118</f>
        <v>3000</v>
      </c>
      <c r="M76" s="2044">
        <f>príjmy!R118</f>
        <v>3000</v>
      </c>
      <c r="N76" s="1087">
        <f>príjmy!S118</f>
        <v>3000</v>
      </c>
      <c r="O76" s="1051">
        <f>príjmy!T118</f>
        <v>3000</v>
      </c>
    </row>
    <row r="77" spans="1:15" ht="22.5" customHeight="1" x14ac:dyDescent="0.2">
      <c r="A77" s="984" t="s">
        <v>70</v>
      </c>
      <c r="B77" s="981" t="s">
        <v>66</v>
      </c>
      <c r="C77" s="981"/>
      <c r="D77" s="981"/>
      <c r="E77" s="981"/>
      <c r="F77" s="981"/>
      <c r="G77" s="981"/>
      <c r="H77" s="981"/>
      <c r="I77" s="1000">
        <f>príjmy!M100</f>
        <v>0</v>
      </c>
      <c r="J77" s="1039">
        <f>príjmy!O100</f>
        <v>0</v>
      </c>
      <c r="K77" s="1039">
        <f>príjmy!P100</f>
        <v>0</v>
      </c>
      <c r="L77" s="1040">
        <f>príjmy!Q100+príjmy!Q98</f>
        <v>21078</v>
      </c>
      <c r="M77" s="2044">
        <f>príjmy!R100</f>
        <v>0</v>
      </c>
      <c r="N77" s="1087">
        <f>príjmy!S100</f>
        <v>0</v>
      </c>
      <c r="O77" s="1051">
        <f>príjmy!T100</f>
        <v>0</v>
      </c>
    </row>
    <row r="78" spans="1:15" ht="22.5" customHeight="1" x14ac:dyDescent="0.2">
      <c r="A78" s="984" t="s">
        <v>71</v>
      </c>
      <c r="B78" s="981" t="s">
        <v>68</v>
      </c>
      <c r="C78" s="981"/>
      <c r="D78" s="981"/>
      <c r="E78" s="981"/>
      <c r="F78" s="981"/>
      <c r="G78" s="981"/>
      <c r="H78" s="981"/>
      <c r="I78" s="1000">
        <f>príjmy!M101</f>
        <v>0</v>
      </c>
      <c r="J78" s="1039">
        <v>0</v>
      </c>
      <c r="K78" s="1039">
        <f>príjmy!P101</f>
        <v>0</v>
      </c>
      <c r="L78" s="1040">
        <f>príjmy!Q101</f>
        <v>0</v>
      </c>
      <c r="M78" s="2044">
        <f>príjmy!R101</f>
        <v>0</v>
      </c>
      <c r="N78" s="1087">
        <f>príjmy!S101</f>
        <v>0</v>
      </c>
      <c r="O78" s="1051">
        <f>príjmy!T101</f>
        <v>0</v>
      </c>
    </row>
    <row r="79" spans="1:15" ht="22.5" customHeight="1" x14ac:dyDescent="0.2">
      <c r="A79" s="984" t="s">
        <v>73</v>
      </c>
      <c r="B79" s="981" t="s">
        <v>1026</v>
      </c>
      <c r="C79" s="981"/>
      <c r="D79" s="981"/>
      <c r="E79" s="981"/>
      <c r="F79" s="981"/>
      <c r="G79" s="981"/>
      <c r="H79" s="981"/>
      <c r="I79" s="1000">
        <f>príjmy!M106</f>
        <v>1820</v>
      </c>
      <c r="J79" s="1039">
        <f>príjmy!O106</f>
        <v>4860</v>
      </c>
      <c r="K79" s="1039">
        <f>príjmy!P106</f>
        <v>0</v>
      </c>
      <c r="L79" s="1040">
        <f>príjmy!Q106</f>
        <v>0</v>
      </c>
      <c r="M79" s="2044">
        <f>príjmy!R106</f>
        <v>0</v>
      </c>
      <c r="N79" s="1087">
        <f>príjmy!S106</f>
        <v>0</v>
      </c>
      <c r="O79" s="1051">
        <f>príjmy!T106</f>
        <v>0</v>
      </c>
    </row>
    <row r="80" spans="1:15" ht="22.5" customHeight="1" x14ac:dyDescent="0.2">
      <c r="A80" s="984" t="s">
        <v>75</v>
      </c>
      <c r="B80" s="981" t="s">
        <v>624</v>
      </c>
      <c r="C80" s="981"/>
      <c r="D80" s="981"/>
      <c r="E80" s="981"/>
      <c r="F80" s="981"/>
      <c r="G80" s="981"/>
      <c r="H80" s="981"/>
      <c r="I80" s="1000">
        <f>príjmy!M102</f>
        <v>7000</v>
      </c>
      <c r="J80" s="1039">
        <f>príjmy!O101</f>
        <v>4913.6000000000004</v>
      </c>
      <c r="K80" s="1039">
        <f>príjmy!P101</f>
        <v>0</v>
      </c>
      <c r="L80" s="1040">
        <f>príjmy!Q101</f>
        <v>0</v>
      </c>
      <c r="M80" s="2044">
        <f>príjmy!R101</f>
        <v>0</v>
      </c>
      <c r="N80" s="1087">
        <f>príjmy!S101</f>
        <v>0</v>
      </c>
      <c r="O80" s="1051">
        <f>príjmy!T101</f>
        <v>0</v>
      </c>
    </row>
    <row r="81" spans="1:15" ht="22.5" customHeight="1" x14ac:dyDescent="0.2">
      <c r="A81" s="984" t="s">
        <v>76</v>
      </c>
      <c r="B81" s="981" t="s">
        <v>625</v>
      </c>
      <c r="C81" s="981"/>
      <c r="D81" s="981"/>
      <c r="E81" s="981"/>
      <c r="F81" s="981"/>
      <c r="G81" s="981"/>
      <c r="H81" s="981"/>
      <c r="I81" s="1000">
        <f>príjmy!M103</f>
        <v>160</v>
      </c>
      <c r="J81" s="1039">
        <f>príjmy!O102</f>
        <v>0</v>
      </c>
      <c r="K81" s="1039">
        <f>príjmy!P102</f>
        <v>3000</v>
      </c>
      <c r="L81" s="1040">
        <f>príjmy!Q102</f>
        <v>4000</v>
      </c>
      <c r="M81" s="2044">
        <f>príjmy!R102</f>
        <v>5000</v>
      </c>
      <c r="N81" s="1087">
        <f>príjmy!S102</f>
        <v>5000</v>
      </c>
      <c r="O81" s="1051">
        <f>príjmy!T102</f>
        <v>5000</v>
      </c>
    </row>
    <row r="82" spans="1:15" ht="22.5" customHeight="1" x14ac:dyDescent="0.2">
      <c r="A82" s="984" t="s">
        <v>623</v>
      </c>
      <c r="B82" s="2230" t="s">
        <v>72</v>
      </c>
      <c r="C82" s="2230"/>
      <c r="D82" s="2230"/>
      <c r="E82" s="2230"/>
      <c r="F82" s="2230"/>
      <c r="G82" s="2230"/>
      <c r="H82" s="2231"/>
      <c r="I82" s="1000">
        <f>príjmy!M104</f>
        <v>5746</v>
      </c>
      <c r="J82" s="1039">
        <f>príjmy!O103</f>
        <v>30717</v>
      </c>
      <c r="K82" s="1039">
        <f>príjmy!P103</f>
        <v>54000</v>
      </c>
      <c r="L82" s="1040">
        <f>príjmy!Q103</f>
        <v>54000</v>
      </c>
      <c r="M82" s="2044">
        <f>príjmy!R103</f>
        <v>54000</v>
      </c>
      <c r="N82" s="1087">
        <f>príjmy!S103</f>
        <v>54000</v>
      </c>
      <c r="O82" s="1051">
        <f>príjmy!T103</f>
        <v>54000</v>
      </c>
    </row>
    <row r="83" spans="1:15" ht="22.5" customHeight="1" x14ac:dyDescent="0.2">
      <c r="A83" s="984" t="s">
        <v>626</v>
      </c>
      <c r="B83" s="981" t="s">
        <v>74</v>
      </c>
      <c r="C83" s="981"/>
      <c r="D83" s="981"/>
      <c r="E83" s="981"/>
      <c r="F83" s="981"/>
      <c r="G83" s="981"/>
      <c r="H83" s="981"/>
      <c r="I83" s="1000">
        <f>príjmy!M85</f>
        <v>0</v>
      </c>
      <c r="J83" s="1039">
        <f>príjmy!O85</f>
        <v>0</v>
      </c>
      <c r="K83" s="1039">
        <f>príjmy!P85</f>
        <v>0</v>
      </c>
      <c r="L83" s="1040">
        <f>príjmy!Q85</f>
        <v>0</v>
      </c>
      <c r="M83" s="2044">
        <f>príjmy!R85</f>
        <v>0</v>
      </c>
      <c r="N83" s="1087">
        <f>príjmy!S85</f>
        <v>0</v>
      </c>
      <c r="O83" s="1051">
        <f>príjmy!T85</f>
        <v>0</v>
      </c>
    </row>
    <row r="84" spans="1:15" ht="22.5" customHeight="1" x14ac:dyDescent="0.2">
      <c r="A84" s="984" t="s">
        <v>627</v>
      </c>
      <c r="B84" s="981" t="s">
        <v>760</v>
      </c>
      <c r="C84" s="981"/>
      <c r="D84" s="981"/>
      <c r="E84" s="981"/>
      <c r="F84" s="981"/>
      <c r="G84" s="981"/>
      <c r="H84" s="981"/>
      <c r="I84" s="1000">
        <f>príjmy!M107</f>
        <v>4000</v>
      </c>
      <c r="J84" s="1039">
        <f>príjmy!O107</f>
        <v>0</v>
      </c>
      <c r="K84" s="1039">
        <f>príjmy!P107</f>
        <v>0</v>
      </c>
      <c r="L84" s="1040">
        <f>príjmy!Q107</f>
        <v>0</v>
      </c>
      <c r="M84" s="2044">
        <f>príjmy!R107</f>
        <v>0</v>
      </c>
      <c r="N84" s="1087">
        <f>príjmy!S107</f>
        <v>0</v>
      </c>
      <c r="O84" s="1051">
        <f>príjmy!T107</f>
        <v>0</v>
      </c>
    </row>
    <row r="85" spans="1:15" ht="22.5" customHeight="1" x14ac:dyDescent="0.2">
      <c r="A85" s="984" t="s">
        <v>628</v>
      </c>
      <c r="B85" s="2270" t="s">
        <v>744</v>
      </c>
      <c r="C85" s="2270"/>
      <c r="D85" s="2270"/>
      <c r="E85" s="2270"/>
      <c r="F85" s="2270"/>
      <c r="G85" s="2270"/>
      <c r="H85" s="2271"/>
      <c r="I85" s="1001">
        <f>príjmy!M112</f>
        <v>400</v>
      </c>
      <c r="J85" s="1039">
        <f>príjmy!O111</f>
        <v>434.48</v>
      </c>
      <c r="K85" s="1039">
        <f>príjmy!P111</f>
        <v>450</v>
      </c>
      <c r="L85" s="1040">
        <f>príjmy!Q111</f>
        <v>465.48</v>
      </c>
      <c r="M85" s="2044">
        <f>príjmy!R111</f>
        <v>450</v>
      </c>
      <c r="N85" s="1087">
        <f>príjmy!S111</f>
        <v>450</v>
      </c>
      <c r="O85" s="1051">
        <f>príjmy!T111</f>
        <v>450</v>
      </c>
    </row>
    <row r="86" spans="1:15" ht="22.5" customHeight="1" x14ac:dyDescent="0.2">
      <c r="A86" s="986">
        <v>43160</v>
      </c>
      <c r="B86" s="980" t="s">
        <v>888</v>
      </c>
      <c r="C86" s="980"/>
      <c r="D86" s="980"/>
      <c r="E86" s="980"/>
      <c r="F86" s="980"/>
      <c r="G86" s="980"/>
      <c r="H86" s="980"/>
      <c r="I86" s="999">
        <f>príjmy!M109</f>
        <v>3000</v>
      </c>
      <c r="J86" s="1039">
        <f>príjmy!O108</f>
        <v>6064.01</v>
      </c>
      <c r="K86" s="1039">
        <f>príjmy!P108</f>
        <v>3000</v>
      </c>
      <c r="L86" s="1040">
        <f>príjmy!Q108</f>
        <v>14393.6</v>
      </c>
      <c r="M86" s="2044">
        <f>príjmy!R108</f>
        <v>0</v>
      </c>
      <c r="N86" s="1087">
        <f>príjmy!S109</f>
        <v>0</v>
      </c>
      <c r="O86" s="1051">
        <f>príjmy!T109</f>
        <v>0</v>
      </c>
    </row>
    <row r="87" spans="1:15" ht="22.5" customHeight="1" x14ac:dyDescent="0.2">
      <c r="A87" s="986">
        <v>43525</v>
      </c>
      <c r="B87" s="980" t="s">
        <v>948</v>
      </c>
      <c r="C87" s="980"/>
      <c r="D87" s="980"/>
      <c r="E87" s="980"/>
      <c r="F87" s="980"/>
      <c r="G87" s="980"/>
      <c r="H87" s="980"/>
      <c r="I87" s="999">
        <f>príjmy!M113</f>
        <v>0</v>
      </c>
      <c r="J87" s="1039">
        <v>0</v>
      </c>
      <c r="K87" s="1039">
        <f>príjmy!P112</f>
        <v>0</v>
      </c>
      <c r="L87" s="1040">
        <f>príjmy!Q106</f>
        <v>0</v>
      </c>
      <c r="M87" s="2044">
        <v>0</v>
      </c>
      <c r="N87" s="1087">
        <v>0</v>
      </c>
      <c r="O87" s="1051">
        <v>0</v>
      </c>
    </row>
    <row r="88" spans="1:15" ht="22.5" customHeight="1" x14ac:dyDescent="0.2">
      <c r="A88" s="986">
        <v>43891</v>
      </c>
      <c r="B88" s="980" t="s">
        <v>630</v>
      </c>
      <c r="C88" s="980"/>
      <c r="D88" s="980"/>
      <c r="E88" s="980"/>
      <c r="F88" s="980"/>
      <c r="G88" s="980"/>
      <c r="H88" s="980"/>
      <c r="I88" s="999">
        <f>príjmy!M111+príjmy!M120+príjmy!M110</f>
        <v>62950</v>
      </c>
      <c r="J88" s="1039">
        <f>príjmy!O110</f>
        <v>80162.67</v>
      </c>
      <c r="K88" s="1039">
        <f>príjmy!P110</f>
        <v>70000</v>
      </c>
      <c r="L88" s="1040">
        <f>príjmy!Q110</f>
        <v>70000</v>
      </c>
      <c r="M88" s="2044">
        <f>príjmy!R110</f>
        <v>75000</v>
      </c>
      <c r="N88" s="1087">
        <f>príjmy!S110</f>
        <v>75000</v>
      </c>
      <c r="O88" s="1051">
        <f>príjmy!T110</f>
        <v>75000</v>
      </c>
    </row>
    <row r="89" spans="1:15" ht="22.5" customHeight="1" x14ac:dyDescent="0.2">
      <c r="A89" s="986">
        <v>44256</v>
      </c>
      <c r="B89" s="980" t="s">
        <v>673</v>
      </c>
      <c r="C89" s="980"/>
      <c r="D89" s="980"/>
      <c r="E89" s="980"/>
      <c r="F89" s="980"/>
      <c r="G89" s="980"/>
      <c r="H89" s="980"/>
      <c r="I89" s="999">
        <v>0</v>
      </c>
      <c r="J89" s="1039">
        <f>príjmy!O119</f>
        <v>5232</v>
      </c>
      <c r="K89" s="1039">
        <f>príjmy!P119</f>
        <v>0</v>
      </c>
      <c r="L89" s="1040">
        <f>príjmy!Q120</f>
        <v>1000</v>
      </c>
      <c r="M89" s="2044">
        <f>príjmy!R120</f>
        <v>0</v>
      </c>
      <c r="N89" s="1087">
        <f>príjmy!S119</f>
        <v>0</v>
      </c>
      <c r="O89" s="1051">
        <f>príjmy!T119</f>
        <v>0</v>
      </c>
    </row>
    <row r="90" spans="1:15" ht="22.5" customHeight="1" x14ac:dyDescent="0.2">
      <c r="A90" s="1084" t="s">
        <v>629</v>
      </c>
      <c r="B90" s="1081" t="s">
        <v>671</v>
      </c>
      <c r="C90" s="1081"/>
      <c r="D90" s="1081"/>
      <c r="E90" s="1081"/>
      <c r="F90" s="1081"/>
      <c r="G90" s="1081"/>
      <c r="H90" s="1082"/>
      <c r="I90" s="1083">
        <f>príjmy!M115</f>
        <v>31000</v>
      </c>
      <c r="J90" s="1039">
        <f>príjmy!O115+príjmy!O113</f>
        <v>37144.54</v>
      </c>
      <c r="K90" s="1039">
        <f>príjmy!P115</f>
        <v>38000</v>
      </c>
      <c r="L90" s="1040">
        <f>príjmy!Q115</f>
        <v>42300</v>
      </c>
      <c r="M90" s="2044">
        <f>príjmy!R115</f>
        <v>40000</v>
      </c>
      <c r="N90" s="1087">
        <f>príjmy!S115</f>
        <v>45000</v>
      </c>
      <c r="O90" s="1051">
        <f>príjmy!T115</f>
        <v>45000</v>
      </c>
    </row>
    <row r="91" spans="1:15" ht="22.5" customHeight="1" x14ac:dyDescent="0.2">
      <c r="A91" s="1002" t="s">
        <v>686</v>
      </c>
      <c r="B91" s="988" t="s">
        <v>618</v>
      </c>
      <c r="C91" s="988"/>
      <c r="D91" s="988"/>
      <c r="E91" s="988"/>
      <c r="F91" s="988"/>
      <c r="G91" s="988"/>
      <c r="H91" s="1048"/>
      <c r="I91" s="996"/>
      <c r="J91" s="1039">
        <v>0</v>
      </c>
      <c r="K91" s="1039"/>
      <c r="L91" s="1040"/>
      <c r="M91" s="2044"/>
      <c r="N91" s="1087"/>
      <c r="O91" s="1040"/>
    </row>
    <row r="92" spans="1:15" ht="22.5" customHeight="1" x14ac:dyDescent="0.2">
      <c r="A92" s="1201" t="s">
        <v>687</v>
      </c>
      <c r="B92" s="1203" t="s">
        <v>1027</v>
      </c>
      <c r="C92" s="1203"/>
      <c r="D92" s="1203"/>
      <c r="E92" s="1203"/>
      <c r="F92" s="1203"/>
      <c r="G92" s="1203"/>
      <c r="H92" s="1204"/>
      <c r="I92" s="1056">
        <f>príjmy!M114</f>
        <v>0</v>
      </c>
      <c r="J92" s="1057">
        <f>príjmy!O112</f>
        <v>5494.9</v>
      </c>
      <c r="K92" s="1057">
        <f>príjmy!N114</f>
        <v>0</v>
      </c>
      <c r="L92" s="1060">
        <f>príjmy!Q114</f>
        <v>0</v>
      </c>
      <c r="M92" s="2045">
        <f>príjmy!R114</f>
        <v>0</v>
      </c>
      <c r="N92" s="1205"/>
      <c r="O92" s="1060"/>
    </row>
    <row r="93" spans="1:15" ht="22.5" customHeight="1" x14ac:dyDescent="0.2">
      <c r="A93" s="1202" t="s">
        <v>761</v>
      </c>
      <c r="B93" s="1047" t="s">
        <v>887</v>
      </c>
      <c r="C93" s="988"/>
      <c r="D93" s="988"/>
      <c r="E93" s="988"/>
      <c r="F93" s="988"/>
      <c r="G93" s="988"/>
      <c r="H93" s="1048"/>
      <c r="I93" s="996">
        <f>príjmy!L98</f>
        <v>0</v>
      </c>
      <c r="J93" s="1039">
        <v>0</v>
      </c>
      <c r="K93" s="1039">
        <f>príjmy!N98</f>
        <v>0</v>
      </c>
      <c r="L93" s="1039">
        <f>príjmy!Q119</f>
        <v>0</v>
      </c>
      <c r="M93" s="2046">
        <f>príjmy!R98</f>
        <v>0</v>
      </c>
      <c r="N93" s="1039">
        <f>príjmy!S98</f>
        <v>0</v>
      </c>
      <c r="O93" s="1039">
        <f>príjmy!T98</f>
        <v>0</v>
      </c>
    </row>
    <row r="94" spans="1:15" ht="22.5" customHeight="1" x14ac:dyDescent="0.2">
      <c r="A94" s="1078"/>
      <c r="B94" s="982"/>
      <c r="C94" s="982"/>
      <c r="D94" s="982"/>
      <c r="E94" s="982"/>
      <c r="F94" s="982"/>
      <c r="G94" s="982"/>
      <c r="H94" s="982"/>
      <c r="I94" s="1079"/>
      <c r="J94" s="1080"/>
      <c r="K94" s="1080"/>
      <c r="L94" s="1080"/>
      <c r="M94" s="1080"/>
      <c r="N94" s="1080"/>
      <c r="O94" s="1080"/>
    </row>
    <row r="95" spans="1:15" ht="22.5" customHeight="1" x14ac:dyDescent="0.2">
      <c r="A95" s="1078"/>
      <c r="B95" s="982"/>
      <c r="C95" s="982"/>
      <c r="D95" s="982"/>
      <c r="E95" s="982"/>
      <c r="F95" s="982"/>
      <c r="G95" s="982"/>
      <c r="H95" s="982"/>
      <c r="I95" s="1079"/>
      <c r="J95" s="1080"/>
      <c r="K95" s="1080"/>
      <c r="L95" s="1080"/>
      <c r="M95" s="1080"/>
      <c r="N95" s="1080"/>
      <c r="O95" s="1080"/>
    </row>
    <row r="96" spans="1:15" ht="22.5" customHeight="1" x14ac:dyDescent="0.2">
      <c r="A96" s="1078"/>
      <c r="B96" s="982"/>
      <c r="C96" s="982"/>
      <c r="D96" s="982"/>
      <c r="E96" s="982"/>
      <c r="F96" s="982"/>
      <c r="G96" s="982"/>
      <c r="H96" s="982"/>
      <c r="I96" s="1079"/>
      <c r="J96" s="1080"/>
      <c r="K96" s="1080"/>
      <c r="L96" s="1080"/>
      <c r="M96" s="1080"/>
      <c r="N96" s="1080"/>
      <c r="O96" s="1080"/>
    </row>
    <row r="97" spans="1:15" ht="22.5" customHeight="1" x14ac:dyDescent="0.2">
      <c r="A97" s="1078"/>
      <c r="B97" s="982"/>
      <c r="C97" s="982"/>
      <c r="D97" s="982"/>
      <c r="E97" s="982"/>
      <c r="F97" s="982"/>
      <c r="G97" s="982"/>
      <c r="H97" s="982"/>
      <c r="I97" s="1079"/>
      <c r="J97" s="1080"/>
      <c r="K97" s="1080"/>
      <c r="L97" s="1080"/>
      <c r="M97" s="1080"/>
      <c r="N97" s="1080"/>
      <c r="O97" s="1080"/>
    </row>
    <row r="98" spans="1:15" ht="22.5" customHeight="1" x14ac:dyDescent="0.2">
      <c r="A98" s="1078"/>
      <c r="B98" s="982"/>
      <c r="C98" s="982"/>
      <c r="D98" s="982"/>
      <c r="E98" s="982"/>
      <c r="F98" s="982"/>
      <c r="G98" s="982"/>
      <c r="H98" s="982"/>
      <c r="I98" s="1079"/>
      <c r="J98" s="1080"/>
      <c r="K98" s="1080"/>
      <c r="L98" s="1080"/>
      <c r="M98" s="1080"/>
      <c r="N98" s="1080"/>
      <c r="O98" s="1080"/>
    </row>
    <row r="99" spans="1:15" ht="22.5" customHeight="1" x14ac:dyDescent="0.2">
      <c r="A99" s="1078"/>
      <c r="B99" s="982"/>
      <c r="C99" s="982"/>
      <c r="D99" s="982"/>
      <c r="E99" s="982"/>
      <c r="F99" s="982"/>
      <c r="G99" s="982"/>
      <c r="H99" s="982"/>
      <c r="I99" s="1079"/>
      <c r="J99" s="1080"/>
      <c r="K99" s="1080"/>
      <c r="L99" s="1080"/>
      <c r="M99" s="1080"/>
      <c r="N99" s="1080"/>
      <c r="O99" s="1080"/>
    </row>
    <row r="100" spans="1:15" ht="22.5" customHeight="1" x14ac:dyDescent="0.2">
      <c r="A100" s="1078"/>
      <c r="B100" s="982"/>
      <c r="C100" s="982"/>
      <c r="D100" s="982"/>
      <c r="E100" s="982"/>
      <c r="F100" s="982"/>
      <c r="G100" s="982"/>
      <c r="H100" s="982"/>
      <c r="I100" s="1079"/>
      <c r="J100" s="1080"/>
      <c r="K100" s="1080"/>
      <c r="L100" s="1080"/>
      <c r="M100" s="1080"/>
      <c r="N100" s="1080"/>
      <c r="O100" s="1080"/>
    </row>
    <row r="101" spans="1:15" ht="22.5" customHeight="1" x14ac:dyDescent="0.2">
      <c r="A101" s="1078"/>
      <c r="B101" s="982"/>
      <c r="C101" s="982"/>
      <c r="D101" s="982"/>
      <c r="E101" s="982"/>
      <c r="F101" s="982"/>
      <c r="G101" s="982"/>
      <c r="H101" s="982"/>
      <c r="I101" s="1079"/>
      <c r="J101" s="1080"/>
      <c r="K101" s="1080"/>
      <c r="L101" s="1080"/>
      <c r="M101" s="1080"/>
      <c r="N101" s="1080"/>
      <c r="O101" s="1080"/>
    </row>
    <row r="102" spans="1:15" ht="22.5" customHeight="1" x14ac:dyDescent="0.2">
      <c r="A102" s="1078"/>
      <c r="B102" s="982"/>
      <c r="C102" s="982"/>
      <c r="D102" s="982"/>
      <c r="E102" s="982"/>
      <c r="F102" s="982"/>
      <c r="G102" s="982"/>
      <c r="H102" s="982"/>
      <c r="I102" s="1079"/>
      <c r="J102" s="1080"/>
      <c r="K102" s="1080"/>
      <c r="L102" s="1080"/>
      <c r="M102" s="1080"/>
      <c r="N102" s="1080"/>
      <c r="O102" s="1080"/>
    </row>
    <row r="103" spans="1:15" ht="22.5" hidden="1" customHeight="1" x14ac:dyDescent="0.2">
      <c r="A103" s="1078"/>
      <c r="B103" s="982"/>
      <c r="C103" s="982"/>
      <c r="D103" s="982"/>
      <c r="E103" s="982"/>
      <c r="F103" s="982"/>
      <c r="G103" s="982"/>
      <c r="H103" s="982"/>
      <c r="I103" s="1079"/>
      <c r="J103" s="1080"/>
      <c r="K103" s="1080"/>
      <c r="L103" s="1080"/>
      <c r="M103" s="1080"/>
      <c r="N103" s="1080"/>
      <c r="O103" s="1080"/>
    </row>
    <row r="104" spans="1:15" ht="22.5" hidden="1" customHeight="1" x14ac:dyDescent="0.2">
      <c r="A104" s="1078"/>
      <c r="B104" s="982"/>
      <c r="C104" s="982"/>
      <c r="D104" s="982"/>
      <c r="E104" s="982"/>
      <c r="F104" s="982"/>
      <c r="G104" s="982"/>
      <c r="H104" s="982"/>
      <c r="I104" s="1079"/>
      <c r="J104" s="1080"/>
      <c r="K104" s="1080"/>
      <c r="L104" s="1080"/>
      <c r="M104" s="1080"/>
      <c r="N104" s="1080"/>
      <c r="O104" s="1080"/>
    </row>
    <row r="105" spans="1:15" ht="15.75" thickBot="1" x14ac:dyDescent="0.25">
      <c r="A105" s="3"/>
      <c r="B105" s="4"/>
      <c r="C105" s="4"/>
      <c r="D105" s="4"/>
      <c r="E105" s="4"/>
      <c r="F105" s="4"/>
      <c r="G105" s="4"/>
      <c r="H105" s="4"/>
      <c r="I105" s="10"/>
    </row>
    <row r="106" spans="1:15" ht="15.75" thickBot="1" x14ac:dyDescent="0.25">
      <c r="A106" s="2233" t="s">
        <v>77</v>
      </c>
      <c r="B106" s="2234"/>
      <c r="C106" s="2234"/>
      <c r="D106" s="2234"/>
      <c r="E106" s="2234"/>
      <c r="F106" s="2234"/>
      <c r="G106" s="2234"/>
      <c r="H106" s="2235"/>
      <c r="I106" s="2022">
        <f>SUM(I108,I114)</f>
        <v>23000</v>
      </c>
      <c r="J106" s="2018">
        <f t="shared" ref="J106:O106" si="3">J108+J114</f>
        <v>25385</v>
      </c>
      <c r="K106" s="2023">
        <f t="shared" si="3"/>
        <v>55000</v>
      </c>
      <c r="L106" s="2019">
        <f t="shared" si="3"/>
        <v>28144</v>
      </c>
      <c r="M106" s="2020">
        <f t="shared" si="3"/>
        <v>570200</v>
      </c>
      <c r="N106" s="2021">
        <f t="shared" si="3"/>
        <v>5000</v>
      </c>
      <c r="O106" s="2018">
        <f t="shared" si="3"/>
        <v>5000</v>
      </c>
    </row>
    <row r="107" spans="1:15" ht="15.75" thickBot="1" x14ac:dyDescent="0.25">
      <c r="A107" s="3"/>
      <c r="B107" s="4"/>
      <c r="C107" s="4"/>
      <c r="D107" s="4"/>
      <c r="E107" s="4"/>
      <c r="F107" s="4"/>
      <c r="G107" s="4"/>
      <c r="H107" s="4"/>
      <c r="I107" s="13"/>
    </row>
    <row r="108" spans="1:15" ht="15" x14ac:dyDescent="0.2">
      <c r="A108" s="2272" t="s">
        <v>78</v>
      </c>
      <c r="B108" s="2273"/>
      <c r="C108" s="2273"/>
      <c r="D108" s="2273"/>
      <c r="E108" s="2273"/>
      <c r="F108" s="2273"/>
      <c r="G108" s="2273"/>
      <c r="H108" s="2274"/>
      <c r="I108" s="2005">
        <f>SUM(I110,I112)</f>
        <v>23000</v>
      </c>
      <c r="J108" s="2006">
        <f>J110+J112+J111</f>
        <v>6716</v>
      </c>
      <c r="K108" s="2006">
        <f t="shared" ref="K108:O108" si="4">K110+K112</f>
        <v>50000</v>
      </c>
      <c r="L108" s="2007">
        <f t="shared" si="4"/>
        <v>23144</v>
      </c>
      <c r="M108" s="2008">
        <f t="shared" si="4"/>
        <v>280000</v>
      </c>
      <c r="N108" s="2009">
        <f t="shared" si="4"/>
        <v>0</v>
      </c>
      <c r="O108" s="2007">
        <f t="shared" si="4"/>
        <v>0</v>
      </c>
    </row>
    <row r="109" spans="1:15" ht="15" x14ac:dyDescent="0.2">
      <c r="A109" s="989"/>
      <c r="B109" s="990"/>
      <c r="C109" s="990"/>
      <c r="D109" s="990"/>
      <c r="E109" s="990"/>
      <c r="F109" s="990"/>
      <c r="G109" s="990"/>
      <c r="H109" s="990"/>
      <c r="I109" s="1989">
        <v>2022</v>
      </c>
      <c r="J109" s="1989">
        <v>2023</v>
      </c>
      <c r="K109" s="1989">
        <v>2024</v>
      </c>
      <c r="L109" s="1990" t="s">
        <v>1024</v>
      </c>
      <c r="M109" s="1991">
        <v>2025</v>
      </c>
      <c r="N109" s="1992">
        <v>2026</v>
      </c>
      <c r="O109" s="1993">
        <v>2027</v>
      </c>
    </row>
    <row r="110" spans="1:15" ht="22.5" customHeight="1" x14ac:dyDescent="0.2">
      <c r="A110" s="983" t="s">
        <v>3</v>
      </c>
      <c r="B110" s="2264" t="s">
        <v>632</v>
      </c>
      <c r="C110" s="2264"/>
      <c r="D110" s="2264"/>
      <c r="E110" s="2264"/>
      <c r="F110" s="2264"/>
      <c r="G110" s="2264"/>
      <c r="H110" s="2264"/>
      <c r="I110" s="996">
        <f>príjmy!M134</f>
        <v>0</v>
      </c>
      <c r="J110" s="1039">
        <f>príjmy!O134</f>
        <v>0</v>
      </c>
      <c r="K110" s="1039">
        <f>príjmy!P134</f>
        <v>0</v>
      </c>
      <c r="L110" s="1040">
        <f>príjmy!Q134</f>
        <v>900</v>
      </c>
      <c r="M110" s="2044">
        <f>príjmy!R134</f>
        <v>0</v>
      </c>
      <c r="N110" s="1050">
        <f>príjmy!S134</f>
        <v>0</v>
      </c>
      <c r="O110" s="1040">
        <f>príjmy!T134</f>
        <v>0</v>
      </c>
    </row>
    <row r="111" spans="1:15" s="1700" customFormat="1" ht="22.5" customHeight="1" x14ac:dyDescent="0.2">
      <c r="A111" s="985" t="s">
        <v>6</v>
      </c>
      <c r="B111" s="2216" t="s">
        <v>131</v>
      </c>
      <c r="C111" s="2216"/>
      <c r="D111" s="2216"/>
      <c r="E111" s="2216"/>
      <c r="F111" s="2216"/>
      <c r="G111" s="2216"/>
      <c r="H111" s="2217"/>
      <c r="I111" s="1056"/>
      <c r="J111" s="1057">
        <f>príjmy!O139</f>
        <v>0</v>
      </c>
      <c r="K111" s="1057"/>
      <c r="L111" s="1060"/>
      <c r="M111" s="2045"/>
      <c r="N111" s="1059"/>
      <c r="O111" s="1060"/>
    </row>
    <row r="112" spans="1:15" ht="22.5" customHeight="1" thickBot="1" x14ac:dyDescent="0.25">
      <c r="A112" s="992" t="s">
        <v>9</v>
      </c>
      <c r="B112" s="993" t="s">
        <v>631</v>
      </c>
      <c r="C112" s="993"/>
      <c r="D112" s="993"/>
      <c r="E112" s="993"/>
      <c r="F112" s="993"/>
      <c r="G112" s="993"/>
      <c r="H112" s="993"/>
      <c r="I112" s="998">
        <f>príjmy!M135</f>
        <v>23000</v>
      </c>
      <c r="J112" s="1052">
        <f>príjmy!O135</f>
        <v>6716</v>
      </c>
      <c r="K112" s="1052">
        <f>príjmy!P135</f>
        <v>50000</v>
      </c>
      <c r="L112" s="1055">
        <f>príjmy!Q135</f>
        <v>22244</v>
      </c>
      <c r="M112" s="2047">
        <f>príjmy!R135</f>
        <v>280000</v>
      </c>
      <c r="N112" s="1054">
        <f>príjmy!S135</f>
        <v>0</v>
      </c>
      <c r="O112" s="1055">
        <f>príjmy!T135</f>
        <v>0</v>
      </c>
    </row>
    <row r="113" spans="1:15" ht="13.5" thickBot="1" x14ac:dyDescent="0.25">
      <c r="A113" s="11"/>
      <c r="B113" s="12"/>
      <c r="C113" s="12"/>
      <c r="D113" s="12"/>
      <c r="E113" s="12"/>
      <c r="F113" s="12"/>
      <c r="G113" s="12"/>
      <c r="H113" s="12"/>
      <c r="I113" s="13"/>
    </row>
    <row r="114" spans="1:15" ht="15" x14ac:dyDescent="0.2">
      <c r="A114" s="2272" t="s">
        <v>79</v>
      </c>
      <c r="B114" s="2273"/>
      <c r="C114" s="2273"/>
      <c r="D114" s="2273"/>
      <c r="E114" s="2273"/>
      <c r="F114" s="2273"/>
      <c r="G114" s="2273"/>
      <c r="H114" s="2273"/>
      <c r="I114" s="2005">
        <f>SUM(I116,I117,I118,I119,I120,I123,I125)+I124+I122</f>
        <v>0</v>
      </c>
      <c r="J114" s="2006">
        <f t="shared" ref="J114:O114" si="5">SUM(J116:J125)</f>
        <v>18669</v>
      </c>
      <c r="K114" s="2006">
        <f t="shared" si="5"/>
        <v>5000</v>
      </c>
      <c r="L114" s="2010">
        <f t="shared" si="5"/>
        <v>5000</v>
      </c>
      <c r="M114" s="2008">
        <f t="shared" si="5"/>
        <v>290200</v>
      </c>
      <c r="N114" s="2009">
        <f t="shared" si="5"/>
        <v>5000</v>
      </c>
      <c r="O114" s="2007">
        <f t="shared" si="5"/>
        <v>5000</v>
      </c>
    </row>
    <row r="115" spans="1:15" ht="15" x14ac:dyDescent="0.2">
      <c r="A115" s="989"/>
      <c r="B115" s="990"/>
      <c r="C115" s="990"/>
      <c r="D115" s="990"/>
      <c r="E115" s="990"/>
      <c r="F115" s="990"/>
      <c r="G115" s="990"/>
      <c r="H115" s="990"/>
      <c r="I115" s="1989">
        <v>2022</v>
      </c>
      <c r="J115" s="1989">
        <v>2023</v>
      </c>
      <c r="K115" s="1989">
        <v>2024</v>
      </c>
      <c r="L115" s="1990" t="s">
        <v>1024</v>
      </c>
      <c r="M115" s="1991">
        <v>2025</v>
      </c>
      <c r="N115" s="1992">
        <v>2026</v>
      </c>
      <c r="O115" s="1993">
        <v>2027</v>
      </c>
    </row>
    <row r="116" spans="1:15" x14ac:dyDescent="0.2">
      <c r="A116" s="994" t="s">
        <v>24</v>
      </c>
      <c r="B116" s="981" t="s">
        <v>80</v>
      </c>
      <c r="C116" s="981"/>
      <c r="D116" s="981"/>
      <c r="E116" s="981"/>
      <c r="F116" s="981"/>
      <c r="G116" s="981"/>
      <c r="H116" s="981"/>
      <c r="I116" s="996">
        <f>príjmy!M147</f>
        <v>0</v>
      </c>
      <c r="J116" s="1039">
        <f>príjmy!O150</f>
        <v>0</v>
      </c>
      <c r="K116" s="1039">
        <f>príjmy!P147</f>
        <v>0</v>
      </c>
      <c r="L116" s="1049">
        <f>príjmy!Q147</f>
        <v>0</v>
      </c>
      <c r="M116" s="2044">
        <f>príjmy!R147</f>
        <v>0</v>
      </c>
      <c r="N116" s="1050">
        <f>príjmy!S147</f>
        <v>0</v>
      </c>
      <c r="O116" s="1040">
        <f>príjmy!T147</f>
        <v>0</v>
      </c>
    </row>
    <row r="117" spans="1:15" x14ac:dyDescent="0.2">
      <c r="A117" s="994" t="s">
        <v>27</v>
      </c>
      <c r="B117" s="981" t="s">
        <v>779</v>
      </c>
      <c r="C117" s="981"/>
      <c r="D117" s="981"/>
      <c r="E117" s="981"/>
      <c r="F117" s="981"/>
      <c r="G117" s="981"/>
      <c r="H117" s="981"/>
      <c r="I117" s="996">
        <f>príjmy!M148</f>
        <v>0</v>
      </c>
      <c r="J117" s="1039">
        <f>príjmy!MO148</f>
        <v>0</v>
      </c>
      <c r="K117" s="1039">
        <f>príjmy!P148</f>
        <v>0</v>
      </c>
      <c r="L117" s="1049">
        <f>príjmy!Q148</f>
        <v>0</v>
      </c>
      <c r="M117" s="2044">
        <f>príjmy!R148</f>
        <v>0</v>
      </c>
      <c r="N117" s="1050">
        <f>príjmy!S148</f>
        <v>0</v>
      </c>
      <c r="O117" s="1040">
        <f>príjmy!T148</f>
        <v>0</v>
      </c>
    </row>
    <row r="118" spans="1:15" x14ac:dyDescent="0.2">
      <c r="A118" s="994" t="s">
        <v>30</v>
      </c>
      <c r="B118" s="981" t="s">
        <v>780</v>
      </c>
      <c r="C118" s="981"/>
      <c r="D118" s="981"/>
      <c r="E118" s="981"/>
      <c r="F118" s="981"/>
      <c r="G118" s="981"/>
      <c r="H118" s="981"/>
      <c r="I118" s="996">
        <f>príjmy!M150</f>
        <v>0</v>
      </c>
      <c r="J118" s="1039">
        <f>príjmy!O149</f>
        <v>13680</v>
      </c>
      <c r="K118" s="1039">
        <f>príjmy!P149</f>
        <v>0</v>
      </c>
      <c r="L118" s="1049">
        <f>príjmy!Q149</f>
        <v>0</v>
      </c>
      <c r="M118" s="2044">
        <f>príjmy!R150</f>
        <v>0</v>
      </c>
      <c r="N118" s="1050">
        <f>príjmy!S150</f>
        <v>0</v>
      </c>
      <c r="O118" s="1040">
        <f>príjmy!T149</f>
        <v>0</v>
      </c>
    </row>
    <row r="119" spans="1:15" x14ac:dyDescent="0.2">
      <c r="A119" s="994" t="s">
        <v>33</v>
      </c>
      <c r="B119" s="981" t="s">
        <v>1029</v>
      </c>
      <c r="C119" s="981"/>
      <c r="D119" s="981"/>
      <c r="E119" s="981"/>
      <c r="F119" s="981"/>
      <c r="G119" s="981"/>
      <c r="H119" s="981"/>
      <c r="I119" s="996">
        <f>príjmy!M139</f>
        <v>0</v>
      </c>
      <c r="J119" s="1039">
        <f>príjmy!O153</f>
        <v>4989</v>
      </c>
      <c r="K119" s="1039">
        <f>príjmy!P153</f>
        <v>5000</v>
      </c>
      <c r="L119" s="1049">
        <f>príjmy!Q153</f>
        <v>5000</v>
      </c>
      <c r="M119" s="2044">
        <f>príjmy!R153</f>
        <v>5000</v>
      </c>
      <c r="N119" s="1050">
        <f>príjmy!S153</f>
        <v>5000</v>
      </c>
      <c r="O119" s="1040">
        <f>príjmy!T153</f>
        <v>5000</v>
      </c>
    </row>
    <row r="120" spans="1:15" x14ac:dyDescent="0.2">
      <c r="A120" s="994" t="s">
        <v>36</v>
      </c>
      <c r="B120" s="981" t="s">
        <v>890</v>
      </c>
      <c r="C120" s="981"/>
      <c r="D120" s="981"/>
      <c r="E120" s="981"/>
      <c r="F120" s="981"/>
      <c r="G120" s="981"/>
      <c r="H120" s="981"/>
      <c r="I120" s="996">
        <f>príjmy!M151</f>
        <v>0</v>
      </c>
      <c r="J120" s="1039">
        <f>príjmy!O151</f>
        <v>0</v>
      </c>
      <c r="K120" s="1039">
        <f>príjmy!P151</f>
        <v>0</v>
      </c>
      <c r="L120" s="1049">
        <f>príjmy!Q149</f>
        <v>0</v>
      </c>
      <c r="M120" s="2044">
        <f>príjmy!R149</f>
        <v>0</v>
      </c>
      <c r="N120" s="1050">
        <f>príjmy!S151</f>
        <v>0</v>
      </c>
      <c r="O120" s="1040">
        <f>príjmy!T151</f>
        <v>0</v>
      </c>
    </row>
    <row r="121" spans="1:15" s="1356" customFormat="1" x14ac:dyDescent="0.2">
      <c r="A121" s="994" t="s">
        <v>39</v>
      </c>
      <c r="B121" s="981" t="s">
        <v>889</v>
      </c>
      <c r="C121" s="981"/>
      <c r="D121" s="981"/>
      <c r="E121" s="981"/>
      <c r="F121" s="981"/>
      <c r="G121" s="981"/>
      <c r="H121" s="981"/>
      <c r="I121" s="996"/>
      <c r="J121" s="1039"/>
      <c r="K121" s="1039"/>
      <c r="L121" s="1693">
        <f>príjmy!Q151</f>
        <v>0</v>
      </c>
      <c r="M121" s="2044">
        <v>0</v>
      </c>
      <c r="N121" s="1050"/>
      <c r="O121" s="1040"/>
    </row>
    <row r="122" spans="1:15" s="1356" customFormat="1" x14ac:dyDescent="0.2">
      <c r="A122" s="994" t="s">
        <v>41</v>
      </c>
      <c r="B122" s="981" t="s">
        <v>891</v>
      </c>
      <c r="C122" s="981"/>
      <c r="D122" s="981"/>
      <c r="E122" s="981"/>
      <c r="F122" s="981"/>
      <c r="G122" s="981"/>
      <c r="H122" s="981"/>
      <c r="I122" s="996">
        <f>príjmy!M154</f>
        <v>0</v>
      </c>
      <c r="J122" s="1039">
        <f>príjmy!O154</f>
        <v>0</v>
      </c>
      <c r="K122" s="1039"/>
      <c r="L122" s="1049"/>
      <c r="M122" s="2044"/>
      <c r="N122" s="1050"/>
      <c r="O122" s="1040"/>
    </row>
    <row r="123" spans="1:15" x14ac:dyDescent="0.2">
      <c r="A123" s="994" t="s">
        <v>44</v>
      </c>
      <c r="B123" s="981" t="s">
        <v>1450</v>
      </c>
      <c r="C123" s="981"/>
      <c r="D123" s="981"/>
      <c r="E123" s="981"/>
      <c r="F123" s="981"/>
      <c r="G123" s="981"/>
      <c r="H123" s="981"/>
      <c r="I123" s="996">
        <f>príjmy!M152</f>
        <v>0</v>
      </c>
      <c r="J123" s="1039">
        <f>príjmy!O152</f>
        <v>0</v>
      </c>
      <c r="K123" s="1039">
        <f>príjmy!P154</f>
        <v>0</v>
      </c>
      <c r="L123" s="1049">
        <f>príjmy!Q152</f>
        <v>0</v>
      </c>
      <c r="M123" s="2044">
        <f>príjmy!R152</f>
        <v>285200</v>
      </c>
      <c r="N123" s="1050">
        <f>príjmy!S152</f>
        <v>0</v>
      </c>
      <c r="O123" s="1040">
        <f>príjmy!T154</f>
        <v>0</v>
      </c>
    </row>
    <row r="124" spans="1:15" s="1356" customFormat="1" ht="13.5" thickBot="1" x14ac:dyDescent="0.25">
      <c r="A124" s="1358" t="s">
        <v>46</v>
      </c>
      <c r="B124" s="987" t="s">
        <v>769</v>
      </c>
      <c r="C124" s="980"/>
      <c r="D124" s="980"/>
      <c r="E124" s="980"/>
      <c r="F124" s="980"/>
      <c r="G124" s="980"/>
      <c r="H124" s="980"/>
      <c r="I124" s="996">
        <f>príjmy!M155</f>
        <v>0</v>
      </c>
      <c r="J124" s="1057">
        <f>príjmy!O155</f>
        <v>0</v>
      </c>
      <c r="K124" s="1057"/>
      <c r="L124" s="1058"/>
      <c r="M124" s="2045">
        <f>príjmy!R156</f>
        <v>0</v>
      </c>
      <c r="N124" s="1059"/>
      <c r="O124" s="1060"/>
    </row>
    <row r="125" spans="1:15" ht="13.5" thickBot="1" x14ac:dyDescent="0.25">
      <c r="A125" s="995" t="s">
        <v>46</v>
      </c>
      <c r="B125" s="987" t="s">
        <v>966</v>
      </c>
      <c r="C125" s="987"/>
      <c r="D125" s="987"/>
      <c r="E125" s="987"/>
      <c r="F125" s="987"/>
      <c r="G125" s="987"/>
      <c r="H125" s="987"/>
      <c r="I125" s="997">
        <f>príjmy!M156+príjmy!M157</f>
        <v>0</v>
      </c>
      <c r="J125" s="1052">
        <f>príjmy!O156</f>
        <v>0</v>
      </c>
      <c r="K125" s="1052">
        <f>príjmy!P156</f>
        <v>0</v>
      </c>
      <c r="L125" s="1053">
        <f>príjmy!Q155</f>
        <v>0</v>
      </c>
      <c r="M125" s="2047">
        <f>príjmy!R155</f>
        <v>0</v>
      </c>
      <c r="N125" s="1054">
        <f>príjmy!S155</f>
        <v>0</v>
      </c>
      <c r="O125" s="1055">
        <f>príjmy!T155</f>
        <v>0</v>
      </c>
    </row>
    <row r="126" spans="1:15" x14ac:dyDescent="0.2">
      <c r="A126" s="11"/>
      <c r="B126" s="12"/>
      <c r="C126" s="12"/>
      <c r="D126" s="12"/>
      <c r="E126" s="12"/>
      <c r="F126" s="12"/>
      <c r="G126" s="12"/>
      <c r="H126" s="12"/>
      <c r="I126" s="13"/>
    </row>
    <row r="127" spans="1:15" hidden="1" x14ac:dyDescent="0.2">
      <c r="A127" s="11"/>
      <c r="B127" s="12"/>
      <c r="C127" s="12"/>
      <c r="D127" s="12"/>
      <c r="E127" s="12"/>
      <c r="F127" s="12"/>
      <c r="G127" s="12"/>
      <c r="H127" s="12"/>
      <c r="I127" s="13"/>
    </row>
    <row r="128" spans="1:15" hidden="1" x14ac:dyDescent="0.2">
      <c r="A128" s="11"/>
      <c r="B128" s="12"/>
      <c r="C128" s="12"/>
      <c r="D128" s="12"/>
      <c r="E128" s="12"/>
      <c r="F128" s="12"/>
      <c r="G128" s="12"/>
      <c r="H128" s="12"/>
      <c r="I128" s="13"/>
    </row>
    <row r="129" spans="1:15" hidden="1" x14ac:dyDescent="0.2">
      <c r="A129" s="11"/>
      <c r="B129" s="12"/>
      <c r="C129" s="12"/>
      <c r="D129" s="12"/>
      <c r="E129" s="12"/>
      <c r="F129" s="12"/>
      <c r="G129" s="12"/>
      <c r="H129" s="12"/>
      <c r="I129" s="13"/>
    </row>
    <row r="130" spans="1:15" ht="13.5" thickBot="1" x14ac:dyDescent="0.25">
      <c r="A130" s="11"/>
      <c r="B130" s="12"/>
      <c r="C130" s="12"/>
      <c r="D130" s="12"/>
      <c r="E130" s="12"/>
      <c r="F130" s="12"/>
      <c r="G130" s="12"/>
      <c r="H130" s="12"/>
      <c r="I130" s="13"/>
    </row>
    <row r="131" spans="1:15" ht="15" x14ac:dyDescent="0.2">
      <c r="A131" s="2279" t="s">
        <v>82</v>
      </c>
      <c r="B131" s="2280"/>
      <c r="C131" s="2280"/>
      <c r="D131" s="2280"/>
      <c r="E131" s="2280"/>
      <c r="F131" s="2280"/>
      <c r="G131" s="2280"/>
      <c r="H131" s="2280"/>
      <c r="I131" s="2024">
        <f t="shared" ref="I131:O131" si="6">SUM(I133:I148)</f>
        <v>192106</v>
      </c>
      <c r="J131" s="2025">
        <f>SUM(J133:J148)</f>
        <v>135675.05000000002</v>
      </c>
      <c r="K131" s="2025">
        <f>SUM(K133:K148)</f>
        <v>10000</v>
      </c>
      <c r="L131" s="2026">
        <f t="shared" si="6"/>
        <v>184482.49</v>
      </c>
      <c r="M131" s="2035">
        <f t="shared" si="6"/>
        <v>32501</v>
      </c>
      <c r="N131" s="2027">
        <f t="shared" si="6"/>
        <v>0</v>
      </c>
      <c r="O131" s="2028">
        <f t="shared" si="6"/>
        <v>0</v>
      </c>
    </row>
    <row r="132" spans="1:15" ht="15" x14ac:dyDescent="0.2">
      <c r="A132" s="989"/>
      <c r="B132" s="990"/>
      <c r="C132" s="990"/>
      <c r="D132" s="990"/>
      <c r="E132" s="990"/>
      <c r="F132" s="990"/>
      <c r="G132" s="990"/>
      <c r="H132" s="990"/>
      <c r="I132" s="1989">
        <v>2022</v>
      </c>
      <c r="J132" s="1989">
        <v>2023</v>
      </c>
      <c r="K132" s="1989">
        <v>2024</v>
      </c>
      <c r="L132" s="1990" t="s">
        <v>1024</v>
      </c>
      <c r="M132" s="1991">
        <v>2025</v>
      </c>
      <c r="N132" s="1992">
        <v>2026</v>
      </c>
      <c r="O132" s="1993">
        <v>2027</v>
      </c>
    </row>
    <row r="133" spans="1:15" x14ac:dyDescent="0.2">
      <c r="A133" s="1084" t="s">
        <v>3</v>
      </c>
      <c r="B133" s="1359" t="s">
        <v>892</v>
      </c>
      <c r="C133" s="1081"/>
      <c r="D133" s="1081"/>
      <c r="E133" s="1081"/>
      <c r="F133" s="1081"/>
      <c r="G133" s="1081"/>
      <c r="H133" s="1360"/>
      <c r="I133" s="1040">
        <f>príjmy!M181</f>
        <v>400</v>
      </c>
      <c r="J133" s="1040">
        <f>príjmy!O181</f>
        <v>0</v>
      </c>
      <c r="K133" s="1040">
        <f>príjmy!P181</f>
        <v>0</v>
      </c>
      <c r="L133" s="1040">
        <f>príjmy!Q181</f>
        <v>0</v>
      </c>
      <c r="M133" s="2048">
        <f>príjmy!R181</f>
        <v>0</v>
      </c>
      <c r="N133" s="1040">
        <f>príjmy!S181</f>
        <v>0</v>
      </c>
      <c r="O133" s="1040">
        <f>príjmy!T181</f>
        <v>0</v>
      </c>
    </row>
    <row r="134" spans="1:15" s="1356" customFormat="1" x14ac:dyDescent="0.2">
      <c r="A134" s="1002" t="s">
        <v>6</v>
      </c>
      <c r="B134" s="1047" t="s">
        <v>893</v>
      </c>
      <c r="C134" s="988"/>
      <c r="D134" s="988"/>
      <c r="E134" s="988"/>
      <c r="F134" s="988"/>
      <c r="G134" s="988"/>
      <c r="H134" s="1048"/>
      <c r="I134" s="1040">
        <f>príjmy!M182</f>
        <v>0</v>
      </c>
      <c r="J134" s="1040">
        <f>príjmy!O182</f>
        <v>0</v>
      </c>
      <c r="K134" s="1040">
        <f>príjmy!P182</f>
        <v>0</v>
      </c>
      <c r="L134" s="1040">
        <f>príjmy!Q182</f>
        <v>0</v>
      </c>
      <c r="M134" s="2048">
        <f>príjmy!R182</f>
        <v>0</v>
      </c>
      <c r="N134" s="1040">
        <f>príjmy!S182</f>
        <v>0</v>
      </c>
      <c r="O134" s="1040">
        <f>príjmy!T182</f>
        <v>0</v>
      </c>
    </row>
    <row r="135" spans="1:15" s="1356" customFormat="1" x14ac:dyDescent="0.2">
      <c r="A135" s="1002" t="s">
        <v>9</v>
      </c>
      <c r="B135" s="1047" t="s">
        <v>894</v>
      </c>
      <c r="C135" s="988"/>
      <c r="D135" s="988"/>
      <c r="E135" s="988"/>
      <c r="F135" s="988"/>
      <c r="G135" s="988"/>
      <c r="H135" s="1048"/>
      <c r="I135" s="1040">
        <f>príjmy!M183</f>
        <v>79686</v>
      </c>
      <c r="J135" s="1040">
        <f>príjmy!O183</f>
        <v>0</v>
      </c>
      <c r="K135" s="1040">
        <f>príjmy!P183</f>
        <v>0</v>
      </c>
      <c r="L135" s="1040">
        <f>príjmy!Q183</f>
        <v>0</v>
      </c>
      <c r="M135" s="2048">
        <f>príjmy!R183</f>
        <v>0</v>
      </c>
      <c r="N135" s="1040">
        <f>príjmy!S183</f>
        <v>0</v>
      </c>
      <c r="O135" s="1040">
        <f>príjmy!T183</f>
        <v>0</v>
      </c>
    </row>
    <row r="136" spans="1:15" s="1356" customFormat="1" x14ac:dyDescent="0.2">
      <c r="A136" s="1002" t="s">
        <v>12</v>
      </c>
      <c r="B136" s="1047" t="s">
        <v>895</v>
      </c>
      <c r="C136" s="988"/>
      <c r="D136" s="988"/>
      <c r="E136" s="988"/>
      <c r="F136" s="988"/>
      <c r="G136" s="988"/>
      <c r="H136" s="1048"/>
      <c r="I136" s="1040">
        <f>príjmy!M184</f>
        <v>23287</v>
      </c>
      <c r="J136" s="1040">
        <f>príjmy!O184</f>
        <v>2776.8</v>
      </c>
      <c r="K136" s="1040">
        <f>príjmy!P184</f>
        <v>0</v>
      </c>
      <c r="L136" s="1040">
        <f>príjmy!Q184</f>
        <v>3366.9</v>
      </c>
      <c r="M136" s="2048">
        <f>príjmy!R184</f>
        <v>0</v>
      </c>
      <c r="N136" s="1040">
        <f>príjmy!S184</f>
        <v>0</v>
      </c>
      <c r="O136" s="1040">
        <f>príjmy!T184</f>
        <v>0</v>
      </c>
    </row>
    <row r="137" spans="1:15" s="1356" customFormat="1" x14ac:dyDescent="0.2">
      <c r="A137" s="1002" t="s">
        <v>15</v>
      </c>
      <c r="B137" s="1047" t="s">
        <v>1028</v>
      </c>
      <c r="C137" s="988"/>
      <c r="D137" s="988"/>
      <c r="E137" s="988"/>
      <c r="F137" s="988"/>
      <c r="G137" s="988"/>
      <c r="H137" s="1048"/>
      <c r="I137" s="1040">
        <f>príjmy!M186</f>
        <v>0</v>
      </c>
      <c r="J137" s="1040">
        <f>príjmy!O185</f>
        <v>301.06</v>
      </c>
      <c r="K137" s="1040">
        <f>príjmy!P186</f>
        <v>0</v>
      </c>
      <c r="L137" s="1040">
        <f>príjmy!Q186+príjmy!Q185</f>
        <v>17562.400000000001</v>
      </c>
      <c r="M137" s="2048">
        <f>príjmy!R186</f>
        <v>0</v>
      </c>
      <c r="N137" s="1040">
        <f>príjmy!S186</f>
        <v>0</v>
      </c>
      <c r="O137" s="1040">
        <f>príjmy!T186</f>
        <v>0</v>
      </c>
    </row>
    <row r="138" spans="1:15" s="1356" customFormat="1" x14ac:dyDescent="0.2">
      <c r="A138" s="1002" t="s">
        <v>18</v>
      </c>
      <c r="B138" s="1047" t="s">
        <v>896</v>
      </c>
      <c r="C138" s="988"/>
      <c r="D138" s="988"/>
      <c r="E138" s="988"/>
      <c r="F138" s="988"/>
      <c r="G138" s="988"/>
      <c r="H138" s="1048"/>
      <c r="I138" s="1040">
        <f>príjmy!M187</f>
        <v>0</v>
      </c>
      <c r="J138" s="1040">
        <f>príjmy!O187</f>
        <v>2996.21</v>
      </c>
      <c r="K138" s="1040">
        <f>príjmy!P187</f>
        <v>0</v>
      </c>
      <c r="L138" s="1040">
        <f>príjmy!Q187</f>
        <v>0</v>
      </c>
      <c r="M138" s="2048">
        <f>príjmy!R187</f>
        <v>0</v>
      </c>
      <c r="N138" s="1040">
        <f>príjmy!S187</f>
        <v>0</v>
      </c>
      <c r="O138" s="1040">
        <f>príjmy!T187</f>
        <v>0</v>
      </c>
    </row>
    <row r="139" spans="1:15" s="1356" customFormat="1" x14ac:dyDescent="0.2">
      <c r="A139" s="1002" t="s">
        <v>20</v>
      </c>
      <c r="B139" s="1047" t="s">
        <v>620</v>
      </c>
      <c r="C139" s="988"/>
      <c r="D139" s="988"/>
      <c r="E139" s="988"/>
      <c r="F139" s="988"/>
      <c r="G139" s="988"/>
      <c r="H139" s="1048"/>
      <c r="I139" s="1040">
        <f>príjmy!M188</f>
        <v>1000</v>
      </c>
      <c r="J139" s="1040">
        <f>príjmy!O188</f>
        <v>2023.71</v>
      </c>
      <c r="K139" s="1040">
        <f>príjmy!P188</f>
        <v>0</v>
      </c>
      <c r="L139" s="1040">
        <f>príjmy!Q188</f>
        <v>0</v>
      </c>
      <c r="M139" s="2048">
        <f>príjmy!R188</f>
        <v>0</v>
      </c>
      <c r="N139" s="1040">
        <f>príjmy!S188</f>
        <v>0</v>
      </c>
      <c r="O139" s="1040">
        <f>príjmy!T188</f>
        <v>0</v>
      </c>
    </row>
    <row r="140" spans="1:15" s="1356" customFormat="1" x14ac:dyDescent="0.2">
      <c r="A140" s="1002" t="s">
        <v>897</v>
      </c>
      <c r="B140" s="1047" t="s">
        <v>898</v>
      </c>
      <c r="C140" s="988"/>
      <c r="D140" s="988"/>
      <c r="E140" s="988"/>
      <c r="F140" s="988"/>
      <c r="G140" s="988"/>
      <c r="H140" s="1048"/>
      <c r="I140" s="1040">
        <f>príjmy!M189</f>
        <v>40000</v>
      </c>
      <c r="J140" s="1040">
        <f>príjmy!O189</f>
        <v>27000</v>
      </c>
      <c r="K140" s="1040">
        <f>príjmy!P192</f>
        <v>10000</v>
      </c>
      <c r="L140" s="1040">
        <f>príjmy!Q193</f>
        <v>77582.28</v>
      </c>
      <c r="M140" s="2048">
        <f>príjmy!R189</f>
        <v>0</v>
      </c>
      <c r="N140" s="1040">
        <f>príjmy!S189</f>
        <v>0</v>
      </c>
      <c r="O140" s="1040">
        <f>príjmy!T189</f>
        <v>0</v>
      </c>
    </row>
    <row r="141" spans="1:15" s="1356" customFormat="1" x14ac:dyDescent="0.2">
      <c r="A141" s="1002" t="s">
        <v>899</v>
      </c>
      <c r="B141" s="1047" t="s">
        <v>900</v>
      </c>
      <c r="C141" s="988"/>
      <c r="D141" s="988"/>
      <c r="E141" s="988"/>
      <c r="F141" s="988"/>
      <c r="G141" s="988"/>
      <c r="H141" s="1048"/>
      <c r="I141" s="1040">
        <f>príjmy!M190</f>
        <v>24878</v>
      </c>
      <c r="J141" s="1040">
        <f>príjmy!O190</f>
        <v>0</v>
      </c>
      <c r="K141" s="1040">
        <f>príjmy!P190</f>
        <v>0</v>
      </c>
      <c r="L141" s="1040">
        <f>príjmy!Q189</f>
        <v>300</v>
      </c>
      <c r="M141" s="2048">
        <f>príjmy!R190</f>
        <v>0</v>
      </c>
      <c r="N141" s="1040">
        <f>príjmy!S190</f>
        <v>0</v>
      </c>
      <c r="O141" s="1040">
        <f>príjmy!T190</f>
        <v>0</v>
      </c>
    </row>
    <row r="142" spans="1:15" s="1356" customFormat="1" x14ac:dyDescent="0.2">
      <c r="A142" s="1002" t="s">
        <v>901</v>
      </c>
      <c r="B142" s="1047" t="s">
        <v>837</v>
      </c>
      <c r="C142" s="988"/>
      <c r="D142" s="988"/>
      <c r="E142" s="988"/>
      <c r="F142" s="988"/>
      <c r="G142" s="988"/>
      <c r="H142" s="1048"/>
      <c r="I142" s="1040">
        <f>príjmy!M191</f>
        <v>2316</v>
      </c>
      <c r="J142" s="1040">
        <f>príjmy!O191</f>
        <v>2911.93</v>
      </c>
      <c r="K142" s="1040">
        <f>príjmy!P191</f>
        <v>0</v>
      </c>
      <c r="L142" s="1040">
        <f>príjmy!Q191</f>
        <v>1802</v>
      </c>
      <c r="M142" s="2048">
        <f>príjmy!R191</f>
        <v>0</v>
      </c>
      <c r="N142" s="1040">
        <f>príjmy!S191</f>
        <v>0</v>
      </c>
      <c r="O142" s="1040">
        <f>príjmy!T191</f>
        <v>0</v>
      </c>
    </row>
    <row r="143" spans="1:15" x14ac:dyDescent="0.2">
      <c r="A143" s="1002" t="s">
        <v>902</v>
      </c>
      <c r="B143" s="1047" t="s">
        <v>150</v>
      </c>
      <c r="C143" s="988"/>
      <c r="D143" s="988"/>
      <c r="E143" s="988"/>
      <c r="F143" s="988"/>
      <c r="G143" s="988"/>
      <c r="H143" s="988"/>
      <c r="I143" s="1040">
        <f>príjmy!M192</f>
        <v>20539</v>
      </c>
      <c r="J143" s="1040">
        <f>príjmy!O192</f>
        <v>22434.080000000002</v>
      </c>
      <c r="K143" s="1040">
        <f>príjmy!P194</f>
        <v>0</v>
      </c>
      <c r="L143" s="1040">
        <f>príjmy!Q194</f>
        <v>9283</v>
      </c>
      <c r="M143" s="2048">
        <f>príjmy!R192</f>
        <v>0</v>
      </c>
      <c r="N143" s="1040">
        <f>príjmy!S194</f>
        <v>0</v>
      </c>
      <c r="O143" s="1040">
        <f>príjmy!T194</f>
        <v>0</v>
      </c>
    </row>
    <row r="144" spans="1:15" x14ac:dyDescent="0.2">
      <c r="A144" s="1002" t="s">
        <v>903</v>
      </c>
      <c r="B144" s="1047" t="s">
        <v>621</v>
      </c>
      <c r="C144" s="988"/>
      <c r="D144" s="988"/>
      <c r="E144" s="988"/>
      <c r="F144" s="988"/>
      <c r="G144" s="988"/>
      <c r="H144" s="1048"/>
      <c r="I144" s="1060">
        <f>príjmy!M193</f>
        <v>0</v>
      </c>
      <c r="J144" s="1060">
        <f>príjmy!O193</f>
        <v>0</v>
      </c>
      <c r="K144" s="1060">
        <f>príjmy!P193</f>
        <v>0</v>
      </c>
      <c r="L144" s="1060">
        <f>príjmy!Q192</f>
        <v>24585.91</v>
      </c>
      <c r="M144" s="2049">
        <f>príjmy!R193</f>
        <v>0</v>
      </c>
      <c r="N144" s="1060">
        <f>príjmy!S193</f>
        <v>0</v>
      </c>
      <c r="O144" s="1060">
        <f>príjmy!T193</f>
        <v>0</v>
      </c>
    </row>
    <row r="145" spans="1:15" s="1356" customFormat="1" x14ac:dyDescent="0.2">
      <c r="A145" s="1002" t="s">
        <v>904</v>
      </c>
      <c r="B145" s="1047" t="s">
        <v>905</v>
      </c>
      <c r="C145" s="988"/>
      <c r="D145" s="988"/>
      <c r="E145" s="988"/>
      <c r="F145" s="988"/>
      <c r="G145" s="988"/>
      <c r="H145" s="1048"/>
      <c r="I145" s="1060">
        <f>príjmy!M194</f>
        <v>0</v>
      </c>
      <c r="J145" s="1060">
        <f>príjmy!O194</f>
        <v>2970.05</v>
      </c>
      <c r="K145" s="1060">
        <f>príjmy!P194</f>
        <v>0</v>
      </c>
      <c r="L145" s="1060">
        <v>0</v>
      </c>
      <c r="M145" s="2049">
        <f>príjmy!R194</f>
        <v>0</v>
      </c>
      <c r="N145" s="1060">
        <f>príjmy!S194</f>
        <v>0</v>
      </c>
      <c r="O145" s="1060">
        <f>príjmy!T194</f>
        <v>0</v>
      </c>
    </row>
    <row r="146" spans="1:15" s="1356" customFormat="1" x14ac:dyDescent="0.2">
      <c r="A146" s="1002" t="s">
        <v>906</v>
      </c>
      <c r="B146" s="1047" t="s">
        <v>788</v>
      </c>
      <c r="C146" s="988"/>
      <c r="D146" s="988"/>
      <c r="E146" s="988"/>
      <c r="F146" s="988"/>
      <c r="G146" s="988"/>
      <c r="H146" s="1048"/>
      <c r="I146" s="1060">
        <f>príjmy!M195</f>
        <v>0</v>
      </c>
      <c r="J146" s="1060">
        <f>príjmy!O195</f>
        <v>0</v>
      </c>
      <c r="K146" s="1060">
        <f>príjmy!P195</f>
        <v>0</v>
      </c>
      <c r="L146" s="1060">
        <f>príjmy!Q195</f>
        <v>0</v>
      </c>
      <c r="M146" s="2049"/>
      <c r="N146" s="1060">
        <f>príjmy!S195</f>
        <v>0</v>
      </c>
      <c r="O146" s="1060">
        <f>príjmy!T195</f>
        <v>0</v>
      </c>
    </row>
    <row r="147" spans="1:15" x14ac:dyDescent="0.2">
      <c r="A147" s="985" t="s">
        <v>907</v>
      </c>
      <c r="B147" s="1062" t="s">
        <v>672</v>
      </c>
      <c r="C147" s="982"/>
      <c r="D147" s="982"/>
      <c r="E147" s="982"/>
      <c r="F147" s="982"/>
      <c r="G147" s="982"/>
      <c r="H147" s="982"/>
      <c r="I147" s="1060">
        <f>príjmy!M203</f>
        <v>0</v>
      </c>
      <c r="J147" s="1060">
        <f>príjmy!O203</f>
        <v>0</v>
      </c>
      <c r="K147" s="1060">
        <f>príjmy!P203</f>
        <v>0</v>
      </c>
      <c r="L147" s="1060">
        <f>príjmy!Q203</f>
        <v>0</v>
      </c>
      <c r="M147" s="2049">
        <f>príjmy!R203</f>
        <v>0</v>
      </c>
      <c r="N147" s="1060">
        <f>príjmy!S203</f>
        <v>0</v>
      </c>
      <c r="O147" s="1060">
        <f>príjmy!T203</f>
        <v>0</v>
      </c>
    </row>
    <row r="148" spans="1:15" ht="13.5" thickBot="1" x14ac:dyDescent="0.25">
      <c r="A148" s="992" t="s">
        <v>908</v>
      </c>
      <c r="B148" s="913" t="s">
        <v>909</v>
      </c>
      <c r="C148" s="993"/>
      <c r="D148" s="993"/>
      <c r="E148" s="993"/>
      <c r="F148" s="993"/>
      <c r="G148" s="993"/>
      <c r="H148" s="993"/>
      <c r="I148" s="1055">
        <f>príjmy!M204+príjmy!M206</f>
        <v>0</v>
      </c>
      <c r="J148" s="1055">
        <f>príjmy!O205</f>
        <v>72261.210000000006</v>
      </c>
      <c r="K148" s="1055">
        <f>príjmy!P204+príjmy!P206</f>
        <v>0</v>
      </c>
      <c r="L148" s="1055">
        <f>príjmy!Q205</f>
        <v>50000</v>
      </c>
      <c r="M148" s="2202">
        <f>príjmy!R204+príjmy!R205</f>
        <v>32501</v>
      </c>
      <c r="N148" s="1055">
        <f>príjmy!S204+príjmy!S206</f>
        <v>0</v>
      </c>
      <c r="O148" s="1055">
        <f>príjmy!T204+príjmy!T206</f>
        <v>0</v>
      </c>
    </row>
    <row r="149" spans="1:15" x14ac:dyDescent="0.2">
      <c r="A149" s="581"/>
      <c r="B149" s="9"/>
      <c r="C149" s="9"/>
      <c r="D149" s="9"/>
      <c r="E149" s="9"/>
      <c r="F149" s="9"/>
      <c r="G149" s="9"/>
      <c r="H149" s="9"/>
      <c r="I149" s="582"/>
    </row>
    <row r="150" spans="1:15" hidden="1" x14ac:dyDescent="0.2">
      <c r="A150" s="581"/>
      <c r="B150" s="9"/>
      <c r="C150" s="9"/>
      <c r="D150" s="9"/>
      <c r="E150" s="9"/>
      <c r="F150" s="9"/>
      <c r="G150" s="9"/>
      <c r="H150" s="9"/>
      <c r="I150" s="582"/>
    </row>
    <row r="151" spans="1:15" ht="15.75" thickBot="1" x14ac:dyDescent="0.25">
      <c r="A151" s="2283" t="s">
        <v>155</v>
      </c>
      <c r="B151" s="2283"/>
      <c r="C151" s="2283"/>
      <c r="D151" s="2283"/>
      <c r="E151" s="2283"/>
      <c r="F151" s="2283"/>
      <c r="G151" s="2283"/>
      <c r="H151" s="2283"/>
      <c r="I151" s="2283"/>
      <c r="J151" s="2283"/>
      <c r="K151" s="1061"/>
    </row>
    <row r="152" spans="1:15" ht="15" x14ac:dyDescent="0.2">
      <c r="A152" s="1067"/>
      <c r="B152" s="1068"/>
      <c r="C152" s="1068"/>
      <c r="D152" s="1068"/>
      <c r="E152" s="1068"/>
      <c r="F152" s="1068"/>
      <c r="G152" s="1068"/>
      <c r="H152" s="1069"/>
      <c r="I152" s="2052">
        <v>2022</v>
      </c>
      <c r="J152" s="2052">
        <v>2023</v>
      </c>
      <c r="K152" s="2052">
        <v>2024</v>
      </c>
      <c r="L152" s="2053" t="s">
        <v>1024</v>
      </c>
      <c r="M152" s="2054">
        <v>2025</v>
      </c>
      <c r="N152" s="2055">
        <v>2026</v>
      </c>
      <c r="O152" s="2056">
        <v>2027</v>
      </c>
    </row>
    <row r="153" spans="1:15" x14ac:dyDescent="0.2">
      <c r="A153" s="2284" t="s">
        <v>156</v>
      </c>
      <c r="B153" s="2285"/>
      <c r="C153" s="2285"/>
      <c r="D153" s="2285"/>
      <c r="E153" s="2285"/>
      <c r="F153" s="2285"/>
      <c r="G153" s="2285"/>
      <c r="H153" s="2286"/>
      <c r="I153" s="996">
        <f>príjmy!M221</f>
        <v>684265</v>
      </c>
      <c r="J153" s="1039">
        <f>príjmy!O221</f>
        <v>818017.06</v>
      </c>
      <c r="K153" s="1039">
        <f>príjmy!P221</f>
        <v>820362</v>
      </c>
      <c r="L153" s="1049">
        <f>príjmy!Q221</f>
        <v>870790.6</v>
      </c>
      <c r="M153" s="2044">
        <f>príjmy!R221</f>
        <v>800360</v>
      </c>
      <c r="N153" s="1050">
        <f>príjmy!S221</f>
        <v>759223</v>
      </c>
      <c r="O153" s="1040">
        <f>príjmy!T221</f>
        <v>759223</v>
      </c>
    </row>
    <row r="154" spans="1:15" x14ac:dyDescent="0.2">
      <c r="A154" s="2284" t="s">
        <v>157</v>
      </c>
      <c r="B154" s="2285"/>
      <c r="C154" s="2285"/>
      <c r="D154" s="2285"/>
      <c r="E154" s="2285"/>
      <c r="F154" s="2285"/>
      <c r="G154" s="2285"/>
      <c r="H154" s="2286"/>
      <c r="I154" s="996">
        <f>príjmy!M251</f>
        <v>224939</v>
      </c>
      <c r="J154" s="1039">
        <f>príjmy!O251</f>
        <v>227288.2</v>
      </c>
      <c r="K154" s="1039">
        <f>príjmy!P251</f>
        <v>124945</v>
      </c>
      <c r="L154" s="1049">
        <f>príjmy!Q251</f>
        <v>182564</v>
      </c>
      <c r="M154" s="2044">
        <f>príjmy!R251</f>
        <v>114829</v>
      </c>
      <c r="N154" s="1050">
        <f>príjmy!S251</f>
        <v>0</v>
      </c>
      <c r="O154" s="1040">
        <f>príjmy!T251</f>
        <v>0</v>
      </c>
    </row>
    <row r="155" spans="1:15" x14ac:dyDescent="0.2">
      <c r="A155" s="2284" t="s">
        <v>158</v>
      </c>
      <c r="B155" s="2285"/>
      <c r="C155" s="2285"/>
      <c r="D155" s="2285"/>
      <c r="E155" s="2285"/>
      <c r="F155" s="2285"/>
      <c r="G155" s="2285"/>
      <c r="H155" s="2286"/>
      <c r="I155" s="996">
        <f>príjmy!M270</f>
        <v>70568</v>
      </c>
      <c r="J155" s="1039">
        <f>príjmy!O270</f>
        <v>100299.06999999999</v>
      </c>
      <c r="K155" s="1039">
        <f>príjmy!P270</f>
        <v>103544</v>
      </c>
      <c r="L155" s="1049">
        <f>príjmy!Q270</f>
        <v>84870</v>
      </c>
      <c r="M155" s="2044">
        <f>príjmy!R270</f>
        <v>299550</v>
      </c>
      <c r="N155" s="1050">
        <f>príjmy!S270</f>
        <v>304000</v>
      </c>
      <c r="O155" s="1040">
        <f>príjmy!T270</f>
        <v>304100</v>
      </c>
    </row>
    <row r="156" spans="1:15" ht="13.5" thickBot="1" x14ac:dyDescent="0.25">
      <c r="A156" s="2276" t="s">
        <v>155</v>
      </c>
      <c r="B156" s="2277"/>
      <c r="C156" s="2277"/>
      <c r="D156" s="2277"/>
      <c r="E156" s="2277"/>
      <c r="F156" s="2277"/>
      <c r="G156" s="2277"/>
      <c r="H156" s="2278"/>
      <c r="I156" s="2029">
        <f t="shared" ref="I156:O156" si="7">SUM(I153:I155)</f>
        <v>979772</v>
      </c>
      <c r="J156" s="2030">
        <f t="shared" si="7"/>
        <v>1145604.33</v>
      </c>
      <c r="K156" s="2030">
        <f t="shared" si="7"/>
        <v>1048851</v>
      </c>
      <c r="L156" s="2031">
        <f t="shared" si="7"/>
        <v>1138224.6000000001</v>
      </c>
      <c r="M156" s="2032">
        <f t="shared" si="7"/>
        <v>1214739</v>
      </c>
      <c r="N156" s="2033">
        <f t="shared" si="7"/>
        <v>1063223</v>
      </c>
      <c r="O156" s="2034">
        <f t="shared" si="7"/>
        <v>1063323</v>
      </c>
    </row>
    <row r="157" spans="1:15" x14ac:dyDescent="0.2">
      <c r="A157" s="1088"/>
      <c r="B157" s="1088"/>
      <c r="C157" s="1088"/>
      <c r="D157" s="1088"/>
      <c r="E157" s="1088"/>
      <c r="F157" s="1088"/>
      <c r="G157" s="1088"/>
      <c r="H157" s="1088"/>
      <c r="I157" s="1089"/>
      <c r="J157" s="1090"/>
      <c r="K157" s="1090"/>
      <c r="L157" s="1090"/>
      <c r="M157" s="1090"/>
      <c r="N157" s="1090"/>
      <c r="O157" s="1090"/>
    </row>
    <row r="158" spans="1:15" hidden="1" x14ac:dyDescent="0.2">
      <c r="A158" s="1088"/>
      <c r="B158" s="1088"/>
      <c r="C158" s="1088"/>
      <c r="D158" s="1088"/>
      <c r="E158" s="1088"/>
      <c r="F158" s="1088"/>
      <c r="G158" s="1088"/>
      <c r="H158" s="1088"/>
      <c r="I158" s="1089"/>
      <c r="J158" s="1090"/>
      <c r="K158" s="1090"/>
      <c r="L158" s="1090"/>
      <c r="M158" s="1090"/>
      <c r="N158" s="1090"/>
      <c r="O158" s="1090"/>
    </row>
    <row r="159" spans="1:15" hidden="1" x14ac:dyDescent="0.2">
      <c r="A159" s="1088"/>
      <c r="B159" s="1088"/>
      <c r="C159" s="1088"/>
      <c r="D159" s="1088"/>
      <c r="E159" s="1088"/>
      <c r="F159" s="1088"/>
      <c r="G159" s="1088"/>
      <c r="H159" s="1088"/>
      <c r="I159" s="1089"/>
      <c r="J159" s="1090"/>
      <c r="K159" s="1090"/>
      <c r="L159" s="1090"/>
      <c r="M159" s="1090"/>
      <c r="N159" s="1090"/>
      <c r="O159" s="1090"/>
    </row>
    <row r="160" spans="1:15" hidden="1" x14ac:dyDescent="0.2">
      <c r="A160" s="11"/>
      <c r="B160" s="12"/>
      <c r="C160" s="12"/>
      <c r="D160" s="12"/>
      <c r="E160" s="12"/>
      <c r="F160" s="12"/>
      <c r="G160" s="12"/>
      <c r="H160" s="12"/>
      <c r="I160" s="13"/>
    </row>
    <row r="161" spans="1:15" ht="15.75" thickBot="1" x14ac:dyDescent="0.25">
      <c r="A161" s="2232" t="s">
        <v>84</v>
      </c>
      <c r="B161" s="2232"/>
      <c r="C161" s="2232"/>
      <c r="D161" s="2232"/>
      <c r="E161" s="2232"/>
      <c r="F161" s="2232"/>
      <c r="G161" s="2232"/>
      <c r="H161" s="2232"/>
      <c r="I161" s="2232"/>
      <c r="J161" s="2232"/>
      <c r="K161" s="2232"/>
      <c r="L161" s="2232"/>
      <c r="M161" s="2232"/>
      <c r="N161" s="2232"/>
      <c r="O161" s="2232"/>
    </row>
    <row r="162" spans="1:15" ht="15" x14ac:dyDescent="0.2">
      <c r="A162" s="2287"/>
      <c r="B162" s="2288"/>
      <c r="C162" s="2288"/>
      <c r="D162" s="2288"/>
      <c r="E162" s="2288"/>
      <c r="F162" s="2288"/>
      <c r="G162" s="2288"/>
      <c r="H162" s="2289"/>
      <c r="I162" s="2052">
        <v>2022</v>
      </c>
      <c r="J162" s="2052">
        <v>2023</v>
      </c>
      <c r="K162" s="2052">
        <v>2024</v>
      </c>
      <c r="L162" s="2053" t="s">
        <v>1024</v>
      </c>
      <c r="M162" s="2054">
        <v>2025</v>
      </c>
      <c r="N162" s="2055">
        <v>2026</v>
      </c>
      <c r="O162" s="2056">
        <v>2027</v>
      </c>
    </row>
    <row r="163" spans="1:15" x14ac:dyDescent="0.2">
      <c r="A163" s="2290" t="s">
        <v>667</v>
      </c>
      <c r="B163" s="2291"/>
      <c r="C163" s="2291"/>
      <c r="D163" s="2291"/>
      <c r="E163" s="2291"/>
      <c r="F163" s="2291"/>
      <c r="G163" s="2291"/>
      <c r="H163" s="2292"/>
      <c r="I163" s="996">
        <f t="shared" ref="I163:O163" si="8">I3</f>
        <v>1610786</v>
      </c>
      <c r="J163" s="1063">
        <f t="shared" si="8"/>
        <v>1879494.7799999998</v>
      </c>
      <c r="K163" s="1063">
        <f t="shared" si="8"/>
        <v>1763829</v>
      </c>
      <c r="L163" s="1064">
        <f t="shared" si="8"/>
        <v>1796470.08</v>
      </c>
      <c r="M163" s="2050">
        <f t="shared" si="8"/>
        <v>1584419</v>
      </c>
      <c r="N163" s="1065">
        <f t="shared" si="8"/>
        <v>1710543</v>
      </c>
      <c r="O163" s="1066">
        <f t="shared" si="8"/>
        <v>1765383</v>
      </c>
    </row>
    <row r="164" spans="1:15" x14ac:dyDescent="0.2">
      <c r="A164" s="2219" t="s">
        <v>668</v>
      </c>
      <c r="B164" s="2220"/>
      <c r="C164" s="2220"/>
      <c r="D164" s="2220"/>
      <c r="E164" s="2220"/>
      <c r="F164" s="2220"/>
      <c r="G164" s="2220"/>
      <c r="H164" s="2221"/>
      <c r="I164" s="996">
        <f t="shared" ref="I164:O164" si="9">I106</f>
        <v>23000</v>
      </c>
      <c r="J164" s="1063">
        <f t="shared" si="9"/>
        <v>25385</v>
      </c>
      <c r="K164" s="1063">
        <f t="shared" si="9"/>
        <v>55000</v>
      </c>
      <c r="L164" s="1064">
        <f t="shared" si="9"/>
        <v>28144</v>
      </c>
      <c r="M164" s="2050">
        <f t="shared" si="9"/>
        <v>570200</v>
      </c>
      <c r="N164" s="1065">
        <f t="shared" si="9"/>
        <v>5000</v>
      </c>
      <c r="O164" s="1066">
        <f t="shared" si="9"/>
        <v>5000</v>
      </c>
    </row>
    <row r="165" spans="1:15" x14ac:dyDescent="0.2">
      <c r="A165" s="2219" t="s">
        <v>669</v>
      </c>
      <c r="B165" s="2220"/>
      <c r="C165" s="2220"/>
      <c r="D165" s="2220"/>
      <c r="E165" s="2220"/>
      <c r="F165" s="2220"/>
      <c r="G165" s="2220"/>
      <c r="H165" s="2221"/>
      <c r="I165" s="996">
        <f t="shared" ref="I165:O165" si="10">I131</f>
        <v>192106</v>
      </c>
      <c r="J165" s="1063">
        <f t="shared" si="10"/>
        <v>135675.05000000002</v>
      </c>
      <c r="K165" s="1063">
        <f t="shared" si="10"/>
        <v>10000</v>
      </c>
      <c r="L165" s="1064">
        <f t="shared" si="10"/>
        <v>184482.49</v>
      </c>
      <c r="M165" s="2050">
        <f t="shared" si="10"/>
        <v>32501</v>
      </c>
      <c r="N165" s="1065">
        <f t="shared" si="10"/>
        <v>0</v>
      </c>
      <c r="O165" s="1066">
        <f t="shared" si="10"/>
        <v>0</v>
      </c>
    </row>
    <row r="166" spans="1:15" ht="13.5" thickBot="1" x14ac:dyDescent="0.25">
      <c r="A166" s="2222" t="s">
        <v>670</v>
      </c>
      <c r="B166" s="2223"/>
      <c r="C166" s="2223"/>
      <c r="D166" s="2223"/>
      <c r="E166" s="2223"/>
      <c r="F166" s="2223"/>
      <c r="G166" s="2223"/>
      <c r="H166" s="2224"/>
      <c r="I166" s="998">
        <f t="shared" ref="I166:O166" si="11">I156</f>
        <v>979772</v>
      </c>
      <c r="J166" s="1261">
        <f t="shared" si="11"/>
        <v>1145604.33</v>
      </c>
      <c r="K166" s="1261">
        <f t="shared" si="11"/>
        <v>1048851</v>
      </c>
      <c r="L166" s="1263">
        <f t="shared" si="11"/>
        <v>1138224.6000000001</v>
      </c>
      <c r="M166" s="2051">
        <f t="shared" si="11"/>
        <v>1214739</v>
      </c>
      <c r="N166" s="1264">
        <f t="shared" si="11"/>
        <v>1063223</v>
      </c>
      <c r="O166" s="1262">
        <f t="shared" si="11"/>
        <v>1063323</v>
      </c>
    </row>
    <row r="167" spans="1:15" ht="13.5" thickBot="1" x14ac:dyDescent="0.25">
      <c r="A167" s="2225" t="s">
        <v>85</v>
      </c>
      <c r="B167" s="2226"/>
      <c r="C167" s="2226"/>
      <c r="D167" s="2226"/>
      <c r="E167" s="2226"/>
      <c r="F167" s="2226"/>
      <c r="G167" s="2226"/>
      <c r="H167" s="2227"/>
      <c r="I167" s="2011">
        <f t="shared" ref="I167:O167" si="12">SUM(I163:I166)</f>
        <v>2805664</v>
      </c>
      <c r="J167" s="2012">
        <f t="shared" si="12"/>
        <v>3186159.16</v>
      </c>
      <c r="K167" s="2012">
        <f t="shared" si="12"/>
        <v>2877680</v>
      </c>
      <c r="L167" s="2013">
        <f t="shared" si="12"/>
        <v>3147321.17</v>
      </c>
      <c r="M167" s="2014">
        <f t="shared" si="12"/>
        <v>3401859</v>
      </c>
      <c r="N167" s="2015">
        <f t="shared" si="12"/>
        <v>2778766</v>
      </c>
      <c r="O167" s="2016">
        <f t="shared" si="12"/>
        <v>2833706</v>
      </c>
    </row>
    <row r="168" spans="1:15" x14ac:dyDescent="0.2">
      <c r="A168" s="14"/>
      <c r="B168" s="12"/>
      <c r="C168" s="2281"/>
      <c r="D168" s="2281"/>
      <c r="E168" s="2281"/>
      <c r="F168" s="2281"/>
      <c r="G168" s="2282"/>
      <c r="H168" s="2282"/>
      <c r="I168" s="13"/>
    </row>
    <row r="169" spans="1:15" x14ac:dyDescent="0.2">
      <c r="A169" s="14"/>
      <c r="B169" s="12"/>
      <c r="C169" s="12"/>
      <c r="D169" s="12"/>
      <c r="E169" s="12"/>
      <c r="F169" s="12"/>
      <c r="G169" s="12"/>
      <c r="H169" s="12"/>
      <c r="I169" s="15"/>
    </row>
    <row r="170" spans="1:15" x14ac:dyDescent="0.2">
      <c r="A170" s="14"/>
      <c r="B170" s="12"/>
      <c r="C170" s="12"/>
      <c r="D170" s="12"/>
      <c r="E170" s="12"/>
      <c r="F170" s="12"/>
      <c r="G170" s="12"/>
      <c r="H170" s="12"/>
      <c r="I170" s="15"/>
    </row>
  </sheetData>
  <mergeCells count="60">
    <mergeCell ref="A156:H156"/>
    <mergeCell ref="A164:H164"/>
    <mergeCell ref="A114:H114"/>
    <mergeCell ref="A131:H131"/>
    <mergeCell ref="C168:F168"/>
    <mergeCell ref="G168:H168"/>
    <mergeCell ref="A151:J151"/>
    <mergeCell ref="A153:H153"/>
    <mergeCell ref="A154:H154"/>
    <mergeCell ref="A155:H155"/>
    <mergeCell ref="A162:H162"/>
    <mergeCell ref="A163:H163"/>
    <mergeCell ref="B110:H110"/>
    <mergeCell ref="A40:H40"/>
    <mergeCell ref="A42:H42"/>
    <mergeCell ref="B43:H43"/>
    <mergeCell ref="A44:H44"/>
    <mergeCell ref="A67:H67"/>
    <mergeCell ref="A106:H106"/>
    <mergeCell ref="B85:H85"/>
    <mergeCell ref="A108:H108"/>
    <mergeCell ref="B47:H47"/>
    <mergeCell ref="B48:H48"/>
    <mergeCell ref="B49:H49"/>
    <mergeCell ref="A50:H50"/>
    <mergeCell ref="B51:H51"/>
    <mergeCell ref="B45:H45"/>
    <mergeCell ref="A46:H46"/>
    <mergeCell ref="A54:H54"/>
    <mergeCell ref="B37:H37"/>
    <mergeCell ref="A38:H38"/>
    <mergeCell ref="A20:H20"/>
    <mergeCell ref="A27:H27"/>
    <mergeCell ref="B29:H29"/>
    <mergeCell ref="A30:H30"/>
    <mergeCell ref="B31:H31"/>
    <mergeCell ref="A32:H32"/>
    <mergeCell ref="A52:H52"/>
    <mergeCell ref="B53:H53"/>
    <mergeCell ref="A14:H14"/>
    <mergeCell ref="A10:H10"/>
    <mergeCell ref="B15:H15"/>
    <mergeCell ref="A16:H16"/>
    <mergeCell ref="A34:H34"/>
    <mergeCell ref="B111:H111"/>
    <mergeCell ref="A1:O1"/>
    <mergeCell ref="A165:H165"/>
    <mergeCell ref="A166:H166"/>
    <mergeCell ref="A167:H167"/>
    <mergeCell ref="A8:H8"/>
    <mergeCell ref="B69:H69"/>
    <mergeCell ref="B74:H74"/>
    <mergeCell ref="B75:H75"/>
    <mergeCell ref="B82:H82"/>
    <mergeCell ref="A161:O161"/>
    <mergeCell ref="A3:H3"/>
    <mergeCell ref="A5:H5"/>
    <mergeCell ref="A18:H18"/>
    <mergeCell ref="A12:H12"/>
    <mergeCell ref="B13:H13"/>
  </mergeCells>
  <phoneticPr fontId="43" type="noConversion"/>
  <printOptions horizontalCentered="1"/>
  <pageMargins left="0.55118110236220474" right="0.15748031496062992" top="0.59055118110236227" bottom="0.39370078740157483" header="0.51181102362204722" footer="0.51181102362204722"/>
  <pageSetup paperSize="9" scale="94" firstPageNumber="0" fitToHeight="0" orientation="portrait" horizontalDpi="300" verticalDpi="300" r:id="rId1"/>
  <headerFooter alignWithMargins="0">
    <oddHeader xml:space="preserve">&amp;C&amp;"-,Tučné"&amp;K07-022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688"/>
  <sheetViews>
    <sheetView showWhiteSpace="0" topLeftCell="A193" zoomScaleNormal="100" workbookViewId="0">
      <selection activeCell="R207" sqref="R207"/>
    </sheetView>
  </sheetViews>
  <sheetFormatPr defaultColWidth="6.28515625" defaultRowHeight="12.75" x14ac:dyDescent="0.2"/>
  <cols>
    <col min="1" max="2" width="5" style="16" customWidth="1"/>
    <col min="3" max="3" width="32.42578125" style="16" customWidth="1"/>
    <col min="4" max="6" width="0" style="16" hidden="1" customWidth="1"/>
    <col min="7" max="7" width="0" style="17" hidden="1" customWidth="1"/>
    <col min="8" max="9" width="0" style="16" hidden="1" customWidth="1"/>
    <col min="10" max="10" width="10.42578125" style="16" hidden="1" customWidth="1"/>
    <col min="11" max="12" width="9.85546875" style="16" hidden="1" customWidth="1"/>
    <col min="13" max="13" width="9.85546875" style="18" customWidth="1"/>
    <col min="14" max="14" width="11.42578125" style="16" hidden="1" customWidth="1"/>
    <col min="15" max="15" width="11.42578125" style="461" customWidth="1"/>
    <col min="16" max="16" width="13.85546875" style="1325" customWidth="1"/>
    <col min="17" max="17" width="11.7109375" style="1325" customWidth="1"/>
    <col min="18" max="18" width="9.85546875" style="16" customWidth="1"/>
    <col min="19" max="20" width="9.85546875" style="19" customWidth="1"/>
    <col min="21" max="22" width="10" style="20" customWidth="1"/>
    <col min="23" max="23" width="9.7109375" style="21" customWidth="1"/>
    <col min="24" max="24" width="18.140625" style="16" customWidth="1"/>
    <col min="25" max="16384" width="6.28515625" style="16"/>
  </cols>
  <sheetData>
    <row r="1" spans="1:24" x14ac:dyDescent="0.2">
      <c r="P1" s="1326"/>
      <c r="Q1" s="1326"/>
    </row>
    <row r="2" spans="1:24" ht="15.75" x14ac:dyDescent="0.25">
      <c r="A2" s="2297" t="s">
        <v>86</v>
      </c>
      <c r="B2" s="2297"/>
      <c r="C2" s="2297"/>
      <c r="D2" s="2297"/>
      <c r="E2" s="2297"/>
      <c r="F2" s="2297"/>
      <c r="G2" s="2297"/>
      <c r="H2" s="2297"/>
      <c r="I2" s="2297"/>
      <c r="J2" s="2297"/>
      <c r="K2" s="2297"/>
      <c r="L2" s="2297"/>
      <c r="M2" s="2297"/>
      <c r="N2" s="2297"/>
      <c r="O2" s="2297"/>
      <c r="P2" s="2297"/>
      <c r="Q2" s="2297"/>
      <c r="R2" s="2297"/>
      <c r="S2" s="2297"/>
      <c r="T2" s="2297"/>
      <c r="U2" s="22"/>
      <c r="V2" s="22"/>
      <c r="W2" s="22"/>
    </row>
    <row r="3" spans="1:24" x14ac:dyDescent="0.2">
      <c r="P3" s="1326"/>
      <c r="Q3" s="1326"/>
    </row>
    <row r="4" spans="1:24" x14ac:dyDescent="0.2">
      <c r="C4" s="464" t="s">
        <v>1</v>
      </c>
      <c r="P4" s="1326"/>
      <c r="Q4" s="1326"/>
    </row>
    <row r="5" spans="1:24" ht="15.75" x14ac:dyDescent="0.25">
      <c r="A5" s="2294"/>
      <c r="B5" s="2294"/>
      <c r="C5" s="2294"/>
      <c r="D5" s="2294"/>
      <c r="E5" s="2294"/>
      <c r="F5" s="24"/>
      <c r="G5" s="24"/>
      <c r="H5" s="17"/>
      <c r="I5" s="17"/>
      <c r="J5" s="17"/>
      <c r="K5" s="17"/>
      <c r="L5" s="17"/>
      <c r="M5" s="2296" t="s">
        <v>87</v>
      </c>
      <c r="N5" s="2296"/>
      <c r="O5" s="2296"/>
      <c r="P5" s="2296"/>
      <c r="Q5" s="2296"/>
      <c r="R5" s="2296"/>
      <c r="S5" s="2296"/>
      <c r="T5" s="2296"/>
      <c r="U5" s="25"/>
      <c r="V5" s="25"/>
      <c r="W5" s="25"/>
    </row>
    <row r="6" spans="1:24" ht="15.75" hidden="1" x14ac:dyDescent="0.25">
      <c r="A6" s="23"/>
      <c r="B6" s="23"/>
      <c r="C6" s="23"/>
      <c r="D6" s="23"/>
      <c r="E6" s="23"/>
      <c r="F6" s="24"/>
      <c r="G6" s="24"/>
      <c r="H6" s="17"/>
      <c r="I6" s="17"/>
      <c r="J6" s="17"/>
      <c r="K6" s="17"/>
      <c r="L6" s="17"/>
      <c r="M6" s="26"/>
      <c r="N6" s="26"/>
      <c r="O6" s="28"/>
      <c r="R6" s="26"/>
      <c r="S6" s="27"/>
      <c r="T6" s="27"/>
      <c r="U6" s="26"/>
      <c r="V6" s="26"/>
      <c r="W6" s="28"/>
    </row>
    <row r="7" spans="1:24" ht="13.5" hidden="1" thickBot="1" x14ac:dyDescent="0.25"/>
    <row r="8" spans="1:24" s="20" customFormat="1" ht="23.25" customHeight="1" x14ac:dyDescent="0.2">
      <c r="A8" s="1716" t="s">
        <v>1</v>
      </c>
      <c r="B8" s="1717"/>
      <c r="C8" s="1718"/>
      <c r="D8" s="1719"/>
      <c r="E8" s="1720"/>
      <c r="F8" s="1719"/>
      <c r="G8" s="1720"/>
      <c r="H8" s="1719"/>
      <c r="I8" s="1720"/>
      <c r="J8" s="1720">
        <v>2018</v>
      </c>
      <c r="K8" s="1547" t="s">
        <v>884</v>
      </c>
      <c r="L8" s="1547">
        <v>2021</v>
      </c>
      <c r="M8" s="1721">
        <v>2022</v>
      </c>
      <c r="N8" s="1722">
        <v>2023</v>
      </c>
      <c r="O8" s="1915" t="s">
        <v>983</v>
      </c>
      <c r="P8" s="1723">
        <v>2024</v>
      </c>
      <c r="Q8" s="1723" t="s">
        <v>984</v>
      </c>
      <c r="R8" s="1724">
        <v>2025</v>
      </c>
      <c r="S8" s="1724">
        <v>2026</v>
      </c>
      <c r="T8" s="1724">
        <v>2027</v>
      </c>
      <c r="U8" s="29"/>
      <c r="V8" s="29"/>
      <c r="W8" s="30"/>
    </row>
    <row r="9" spans="1:24" s="33" customFormat="1" x14ac:dyDescent="0.2">
      <c r="A9" s="1725" t="s">
        <v>88</v>
      </c>
      <c r="B9" s="1726"/>
      <c r="C9" s="1727"/>
      <c r="D9" s="1728"/>
      <c r="E9" s="1729"/>
      <c r="F9" s="1728"/>
      <c r="G9" s="1729"/>
      <c r="H9" s="1728"/>
      <c r="I9" s="1729"/>
      <c r="J9" s="1728">
        <f>J10+J16</f>
        <v>1015163.92</v>
      </c>
      <c r="K9" s="1730">
        <f>SUM(K10,K16)</f>
        <v>1139708</v>
      </c>
      <c r="L9" s="1730">
        <f>L10+L16</f>
        <v>1200272</v>
      </c>
      <c r="M9" s="1730">
        <f>M10+M16</f>
        <v>1268846</v>
      </c>
      <c r="N9" s="1728">
        <f>SUM(N10,N16)</f>
        <v>1306158</v>
      </c>
      <c r="O9" s="1729">
        <f>SUM(O10,O16)</f>
        <v>1364155.64</v>
      </c>
      <c r="P9" s="1917">
        <f>SUM(P10,P16)</f>
        <v>1381808</v>
      </c>
      <c r="Q9" s="1936">
        <f>Q10+Q16</f>
        <v>1353235</v>
      </c>
      <c r="R9" s="1728">
        <f>SUM(R10,R16)</f>
        <v>1172358</v>
      </c>
      <c r="S9" s="1728">
        <f>SUM(S10,S16)</f>
        <v>1286282</v>
      </c>
      <c r="T9" s="1728">
        <f>SUM(T10,T16)</f>
        <v>1341172</v>
      </c>
      <c r="U9" s="31"/>
      <c r="V9" s="31"/>
      <c r="W9" s="32"/>
    </row>
    <row r="10" spans="1:24" s="20" customFormat="1" x14ac:dyDescent="0.2">
      <c r="A10" s="914">
        <v>111</v>
      </c>
      <c r="B10" s="914" t="s">
        <v>89</v>
      </c>
      <c r="C10" s="914" t="s">
        <v>90</v>
      </c>
      <c r="D10" s="1597"/>
      <c r="E10" s="1115"/>
      <c r="F10" s="1597"/>
      <c r="G10" s="1597"/>
      <c r="H10" s="1597"/>
      <c r="I10" s="1597"/>
      <c r="J10" s="1597">
        <v>852522.05</v>
      </c>
      <c r="K10" s="1597">
        <v>928655</v>
      </c>
      <c r="L10" s="1710">
        <v>989072</v>
      </c>
      <c r="M10" s="1711">
        <v>1057646</v>
      </c>
      <c r="N10" s="1710">
        <v>1094958</v>
      </c>
      <c r="O10" s="1869">
        <v>1149112.24</v>
      </c>
      <c r="P10" s="1710">
        <v>1158608</v>
      </c>
      <c r="Q10" s="1710">
        <v>1121985</v>
      </c>
      <c r="R10" s="1986">
        <v>944458</v>
      </c>
      <c r="S10" s="1711">
        <v>1058382</v>
      </c>
      <c r="T10" s="1711">
        <v>1113272</v>
      </c>
      <c r="U10" s="34"/>
      <c r="V10" s="34"/>
      <c r="W10" s="35"/>
      <c r="X10" s="36"/>
    </row>
    <row r="11" spans="1:24" s="20" customFormat="1" x14ac:dyDescent="0.2">
      <c r="A11" s="914"/>
      <c r="B11" s="914"/>
      <c r="C11" s="914" t="s">
        <v>995</v>
      </c>
      <c r="D11" s="1597"/>
      <c r="E11" s="1115"/>
      <c r="F11" s="1597"/>
      <c r="G11" s="1597"/>
      <c r="H11" s="1597"/>
      <c r="I11" s="1597"/>
      <c r="J11" s="1198">
        <v>130964</v>
      </c>
      <c r="K11" s="1713">
        <v>166500</v>
      </c>
      <c r="L11" s="1520">
        <v>181686</v>
      </c>
      <c r="M11" s="1520">
        <v>181686</v>
      </c>
      <c r="N11" s="1713">
        <v>231656</v>
      </c>
      <c r="O11" s="1812">
        <v>271840</v>
      </c>
      <c r="P11" s="1713">
        <v>243315</v>
      </c>
      <c r="Q11" s="1713">
        <v>243315</v>
      </c>
      <c r="R11" s="1714">
        <v>56425</v>
      </c>
      <c r="S11" s="1713">
        <v>65000</v>
      </c>
      <c r="T11" s="1713">
        <v>67000</v>
      </c>
      <c r="U11" s="1168"/>
      <c r="V11" s="1168"/>
      <c r="W11" s="35"/>
      <c r="X11" s="36"/>
    </row>
    <row r="12" spans="1:24" s="20" customFormat="1" x14ac:dyDescent="0.2">
      <c r="A12" s="914"/>
      <c r="B12" s="914"/>
      <c r="C12" s="914" t="s">
        <v>731</v>
      </c>
      <c r="D12" s="1597"/>
      <c r="E12" s="1115"/>
      <c r="F12" s="1597"/>
      <c r="G12" s="1597"/>
      <c r="H12" s="1597"/>
      <c r="I12" s="1597"/>
      <c r="J12" s="1198">
        <v>7572</v>
      </c>
      <c r="K12" s="1713">
        <v>28880</v>
      </c>
      <c r="L12" s="1520">
        <v>33052</v>
      </c>
      <c r="M12" s="1520">
        <v>33052</v>
      </c>
      <c r="N12" s="1713">
        <v>39600</v>
      </c>
      <c r="O12" s="1812">
        <v>39600</v>
      </c>
      <c r="P12" s="1713">
        <v>40007</v>
      </c>
      <c r="Q12" s="1713">
        <v>40007</v>
      </c>
      <c r="R12" s="1714">
        <v>36000</v>
      </c>
      <c r="S12" s="1713">
        <v>42000</v>
      </c>
      <c r="T12" s="1713">
        <v>45000</v>
      </c>
      <c r="U12" s="34"/>
      <c r="V12" s="34"/>
      <c r="W12" s="35"/>
      <c r="X12" s="36"/>
    </row>
    <row r="13" spans="1:24" s="20" customFormat="1" x14ac:dyDescent="0.2">
      <c r="A13" s="914"/>
      <c r="B13" s="914"/>
      <c r="C13" s="914" t="s">
        <v>732</v>
      </c>
      <c r="D13" s="1597"/>
      <c r="E13" s="1115"/>
      <c r="F13" s="1597"/>
      <c r="G13" s="1597"/>
      <c r="H13" s="1597"/>
      <c r="I13" s="1597"/>
      <c r="J13" s="1198">
        <v>4511</v>
      </c>
      <c r="K13" s="1713">
        <v>11300</v>
      </c>
      <c r="L13" s="1520">
        <v>11568</v>
      </c>
      <c r="M13" s="1520">
        <v>11568</v>
      </c>
      <c r="N13" s="1713">
        <v>6300</v>
      </c>
      <c r="O13" s="1812">
        <v>6286</v>
      </c>
      <c r="P13" s="1713">
        <v>6986</v>
      </c>
      <c r="Q13" s="1713">
        <v>6986</v>
      </c>
      <c r="R13" s="1714">
        <v>4500</v>
      </c>
      <c r="S13" s="1713">
        <v>0</v>
      </c>
      <c r="T13" s="1713">
        <v>0</v>
      </c>
      <c r="U13" s="34"/>
      <c r="V13" s="34"/>
      <c r="W13" s="35"/>
      <c r="X13" s="36"/>
    </row>
    <row r="14" spans="1:24" s="20" customFormat="1" x14ac:dyDescent="0.2">
      <c r="A14" s="914"/>
      <c r="B14" s="914"/>
      <c r="C14" s="914" t="s">
        <v>811</v>
      </c>
      <c r="D14" s="1597"/>
      <c r="E14" s="1115"/>
      <c r="F14" s="1597"/>
      <c r="G14" s="1597"/>
      <c r="H14" s="1597"/>
      <c r="I14" s="1597"/>
      <c r="J14" s="1198"/>
      <c r="K14" s="1713"/>
      <c r="L14" s="1520"/>
      <c r="M14" s="1520"/>
      <c r="N14" s="1713"/>
      <c r="O14" s="1812"/>
      <c r="P14" s="1713"/>
      <c r="Q14" s="1713"/>
      <c r="R14" s="1714"/>
      <c r="S14" s="1713"/>
      <c r="T14" s="1713"/>
      <c r="U14" s="34"/>
      <c r="V14" s="34"/>
      <c r="W14" s="35"/>
      <c r="X14" s="36"/>
    </row>
    <row r="15" spans="1:24" s="20" customFormat="1" x14ac:dyDescent="0.2">
      <c r="A15" s="914"/>
      <c r="B15" s="914"/>
      <c r="C15" s="914" t="s">
        <v>937</v>
      </c>
      <c r="D15" s="1597"/>
      <c r="E15" s="1115"/>
      <c r="F15" s="1597"/>
      <c r="G15" s="1597"/>
      <c r="H15" s="1597"/>
      <c r="I15" s="1597"/>
      <c r="J15" s="1597"/>
      <c r="K15" s="1713">
        <v>26200</v>
      </c>
      <c r="L15" s="1520">
        <v>26200</v>
      </c>
      <c r="M15" s="1520"/>
      <c r="N15" s="1713">
        <v>37106</v>
      </c>
      <c r="O15" s="1812">
        <v>29200</v>
      </c>
      <c r="P15" s="1713">
        <v>37489</v>
      </c>
      <c r="Q15" s="1713">
        <v>37489</v>
      </c>
      <c r="R15" s="1714">
        <v>33700</v>
      </c>
      <c r="S15" s="1713">
        <v>40000</v>
      </c>
      <c r="T15" s="1713">
        <v>40000</v>
      </c>
      <c r="U15" s="34"/>
      <c r="V15" s="34"/>
      <c r="W15" s="35"/>
      <c r="X15" s="36"/>
    </row>
    <row r="16" spans="1:24" s="20" customFormat="1" x14ac:dyDescent="0.2">
      <c r="A16" s="914">
        <v>121</v>
      </c>
      <c r="B16" s="914"/>
      <c r="C16" s="914" t="s">
        <v>7</v>
      </c>
      <c r="D16" s="1597"/>
      <c r="E16" s="1115"/>
      <c r="F16" s="1597"/>
      <c r="G16" s="1597"/>
      <c r="H16" s="1597"/>
      <c r="I16" s="1597"/>
      <c r="J16" s="1597">
        <f>J17+J19+J21</f>
        <v>162641.87</v>
      </c>
      <c r="K16" s="1597">
        <f>K17+K19+K21+K18+K20</f>
        <v>211053</v>
      </c>
      <c r="L16" s="1712">
        <f>L17+L19+L21+L18+L20</f>
        <v>211200</v>
      </c>
      <c r="M16" s="1712">
        <f>M17+M19+M21+M20+M18</f>
        <v>211200</v>
      </c>
      <c r="N16" s="1712">
        <v>211200</v>
      </c>
      <c r="O16" s="1870">
        <f t="shared" ref="O16" si="0">O17+O19+O21+O18+O20</f>
        <v>215043.4</v>
      </c>
      <c r="P16" s="1710">
        <f t="shared" ref="P16:T16" si="1">P17+P19+P21+P18+P20</f>
        <v>223200</v>
      </c>
      <c r="Q16" s="1710">
        <f>Q17+Q19+Q21+Q18+Q20</f>
        <v>231250</v>
      </c>
      <c r="R16" s="1986">
        <f t="shared" si="1"/>
        <v>227900</v>
      </c>
      <c r="S16" s="1712">
        <f t="shared" si="1"/>
        <v>227900</v>
      </c>
      <c r="T16" s="1712">
        <f t="shared" si="1"/>
        <v>227900</v>
      </c>
      <c r="U16" s="34"/>
      <c r="V16" s="34"/>
      <c r="W16" s="35"/>
    </row>
    <row r="17" spans="1:24" s="20" customFormat="1" x14ac:dyDescent="0.2">
      <c r="A17" s="1074">
        <v>121</v>
      </c>
      <c r="B17" s="1074" t="s">
        <v>91</v>
      </c>
      <c r="C17" s="1074" t="s">
        <v>92</v>
      </c>
      <c r="D17" s="1076"/>
      <c r="E17" s="1076"/>
      <c r="F17" s="1076"/>
      <c r="G17" s="1598"/>
      <c r="H17" s="1076"/>
      <c r="I17" s="1076"/>
      <c r="J17" s="1115">
        <v>137761.43</v>
      </c>
      <c r="K17" s="1272">
        <v>178731</v>
      </c>
      <c r="L17" s="1520">
        <v>175000</v>
      </c>
      <c r="M17" s="1520">
        <v>175000</v>
      </c>
      <c r="N17" s="1520">
        <v>175000</v>
      </c>
      <c r="O17" s="1812">
        <v>172615.67999999999</v>
      </c>
      <c r="P17" s="1520">
        <v>185000</v>
      </c>
      <c r="Q17" s="1520">
        <v>185000</v>
      </c>
      <c r="R17" s="1714">
        <v>185000</v>
      </c>
      <c r="S17" s="1272">
        <v>185000</v>
      </c>
      <c r="T17" s="1272">
        <v>185000</v>
      </c>
      <c r="U17" s="37"/>
      <c r="V17" s="37"/>
      <c r="W17" s="38"/>
    </row>
    <row r="18" spans="1:24" x14ac:dyDescent="0.2">
      <c r="A18" s="1074">
        <v>121</v>
      </c>
      <c r="B18" s="1074" t="s">
        <v>91</v>
      </c>
      <c r="C18" s="1074" t="s">
        <v>93</v>
      </c>
      <c r="D18" s="1076"/>
      <c r="E18" s="1076"/>
      <c r="F18" s="1076"/>
      <c r="G18" s="1598"/>
      <c r="H18" s="1076"/>
      <c r="I18" s="1076"/>
      <c r="J18" s="1118">
        <v>22251.78</v>
      </c>
      <c r="K18" s="1713">
        <v>469</v>
      </c>
      <c r="L18" s="1520">
        <v>1000</v>
      </c>
      <c r="M18" s="1520">
        <v>1000</v>
      </c>
      <c r="N18" s="1520">
        <v>1000</v>
      </c>
      <c r="O18" s="1896">
        <v>7456.22</v>
      </c>
      <c r="P18" s="1520">
        <v>1000</v>
      </c>
      <c r="Q18" s="1520">
        <v>7700</v>
      </c>
      <c r="R18" s="1714">
        <v>1000</v>
      </c>
      <c r="S18" s="1715">
        <v>1000</v>
      </c>
      <c r="T18" s="1715">
        <v>1000</v>
      </c>
      <c r="U18" s="39"/>
      <c r="V18" s="39"/>
      <c r="W18" s="39"/>
    </row>
    <row r="19" spans="1:24" x14ac:dyDescent="0.2">
      <c r="A19" s="1074">
        <v>121</v>
      </c>
      <c r="B19" s="1074" t="s">
        <v>94</v>
      </c>
      <c r="C19" s="1074" t="s">
        <v>95</v>
      </c>
      <c r="D19" s="1070"/>
      <c r="E19" s="1076"/>
      <c r="F19" s="1070"/>
      <c r="G19" s="1607"/>
      <c r="H19" s="1076"/>
      <c r="I19" s="1076"/>
      <c r="J19" s="1115">
        <v>24594.13</v>
      </c>
      <c r="K19" s="1272">
        <v>30443</v>
      </c>
      <c r="L19" s="1520">
        <v>33000</v>
      </c>
      <c r="M19" s="1520">
        <v>33000</v>
      </c>
      <c r="N19" s="1520">
        <v>33000</v>
      </c>
      <c r="O19" s="1812">
        <v>33406</v>
      </c>
      <c r="P19" s="1520">
        <v>35000</v>
      </c>
      <c r="Q19" s="1520">
        <v>35000</v>
      </c>
      <c r="R19" s="1714">
        <v>40000</v>
      </c>
      <c r="S19" s="1521">
        <v>40000</v>
      </c>
      <c r="T19" s="1521">
        <v>40000</v>
      </c>
      <c r="U19" s="37"/>
      <c r="V19" s="37"/>
      <c r="W19" s="38"/>
    </row>
    <row r="20" spans="1:24" x14ac:dyDescent="0.2">
      <c r="A20" s="1074">
        <v>121</v>
      </c>
      <c r="B20" s="1074" t="s">
        <v>94</v>
      </c>
      <c r="C20" s="1074" t="s">
        <v>96</v>
      </c>
      <c r="D20" s="1070"/>
      <c r="E20" s="1076"/>
      <c r="F20" s="1070"/>
      <c r="G20" s="1607"/>
      <c r="H20" s="1076"/>
      <c r="I20" s="1076"/>
      <c r="J20" s="1118">
        <v>1248.58</v>
      </c>
      <c r="K20" s="1713">
        <v>1112</v>
      </c>
      <c r="L20" s="1520">
        <v>1800</v>
      </c>
      <c r="M20" s="1520">
        <v>1800</v>
      </c>
      <c r="N20" s="1520">
        <v>1800</v>
      </c>
      <c r="O20" s="1896">
        <v>1172.05</v>
      </c>
      <c r="P20" s="1520">
        <v>1800</v>
      </c>
      <c r="Q20" s="1520">
        <v>3150</v>
      </c>
      <c r="R20" s="1714">
        <v>1500</v>
      </c>
      <c r="S20" s="1715">
        <v>1500</v>
      </c>
      <c r="T20" s="1715">
        <v>1500</v>
      </c>
      <c r="U20" s="39"/>
      <c r="V20" s="39"/>
      <c r="W20" s="39"/>
    </row>
    <row r="21" spans="1:24" x14ac:dyDescent="0.2">
      <c r="A21" s="1074">
        <v>121</v>
      </c>
      <c r="B21" s="1074" t="s">
        <v>89</v>
      </c>
      <c r="C21" s="1074" t="s">
        <v>97</v>
      </c>
      <c r="D21" s="1070"/>
      <c r="E21" s="1076"/>
      <c r="F21" s="1070"/>
      <c r="G21" s="1607"/>
      <c r="H21" s="1076"/>
      <c r="I21" s="1076"/>
      <c r="J21" s="1115">
        <v>286.31</v>
      </c>
      <c r="K21" s="1272">
        <v>298</v>
      </c>
      <c r="L21" s="1520">
        <v>400</v>
      </c>
      <c r="M21" s="1520">
        <v>400</v>
      </c>
      <c r="N21" s="1520">
        <v>400</v>
      </c>
      <c r="O21" s="1812">
        <v>393.45</v>
      </c>
      <c r="P21" s="1520">
        <v>400</v>
      </c>
      <c r="Q21" s="1520">
        <v>400</v>
      </c>
      <c r="R21" s="1714">
        <v>400</v>
      </c>
      <c r="S21" s="1521">
        <v>400</v>
      </c>
      <c r="T21" s="1521">
        <v>400</v>
      </c>
      <c r="U21" s="37"/>
      <c r="V21" s="37"/>
      <c r="W21" s="38"/>
      <c r="X21" s="40"/>
    </row>
    <row r="22" spans="1:24" x14ac:dyDescent="0.2">
      <c r="A22" s="41"/>
      <c r="B22" s="41"/>
      <c r="C22" s="41"/>
      <c r="D22" s="42"/>
      <c r="E22" s="43"/>
      <c r="F22" s="42"/>
      <c r="G22" s="44"/>
      <c r="H22" s="43"/>
      <c r="I22" s="43"/>
      <c r="J22" s="43"/>
      <c r="K22" s="43"/>
      <c r="L22" s="43"/>
      <c r="M22" s="43"/>
      <c r="N22" s="43"/>
      <c r="O22" s="45"/>
      <c r="P22" s="1326"/>
      <c r="Q22" s="1326"/>
      <c r="R22" s="46"/>
      <c r="S22" s="46"/>
      <c r="T22" s="46"/>
      <c r="U22" s="38"/>
      <c r="V22" s="38"/>
      <c r="W22" s="38"/>
    </row>
    <row r="23" spans="1:24" s="48" customFormat="1" x14ac:dyDescent="0.2">
      <c r="A23" s="1725" t="s">
        <v>98</v>
      </c>
      <c r="B23" s="1725"/>
      <c r="C23" s="1725"/>
      <c r="D23" s="1731"/>
      <c r="E23" s="1732"/>
      <c r="F23" s="1731"/>
      <c r="G23" s="1732"/>
      <c r="H23" s="1731"/>
      <c r="I23" s="1732"/>
      <c r="J23" s="1733">
        <f>SUM(J24,J26,J27,J28,J30)+J31</f>
        <v>63346.16</v>
      </c>
      <c r="K23" s="1733">
        <f>SUM(K24,K26,K27,K28,K30)+K31+K25+K29</f>
        <v>103139</v>
      </c>
      <c r="L23" s="1731">
        <f>SUM(L24,L26,L27,L28,L30)+L25+L29+L31</f>
        <v>36291</v>
      </c>
      <c r="M23" s="1733">
        <f>M24+M26+M27+M28+M30+M29+M31+M25</f>
        <v>31691</v>
      </c>
      <c r="N23" s="1731">
        <f>SUM(N24,N26,N27,N28,N30)+N29+N25+N31</f>
        <v>29491</v>
      </c>
      <c r="O23" s="1732">
        <f t="shared" ref="O23" si="2">SUM(O24,O26,O27,O28,O30)+O29+O25+O31</f>
        <v>30240.370000000003</v>
      </c>
      <c r="P23" s="1918">
        <f>SUM(P24,P26,P27,P28,P30)+P29+P25+P31</f>
        <v>30491</v>
      </c>
      <c r="Q23" s="1918">
        <f>SUM(Q24,Q26,Q27,Q28,Q30)+Q29+Q25+Q31</f>
        <v>30943</v>
      </c>
      <c r="R23" s="1731">
        <f>SUM(R24,R26,R27,R28,R30)+R25+R29+R31</f>
        <v>31961</v>
      </c>
      <c r="S23" s="1731">
        <f>SUM(S24,S26,S27,S28,S30)+S29+S31+S25</f>
        <v>31961</v>
      </c>
      <c r="T23" s="1731">
        <f>SUM(T24,T26,T27,T28,T30)+T29+T31+T25</f>
        <v>31961</v>
      </c>
      <c r="U23" s="47"/>
      <c r="V23" s="47"/>
      <c r="W23" s="47"/>
    </row>
    <row r="24" spans="1:24" x14ac:dyDescent="0.2">
      <c r="A24" s="914">
        <v>133</v>
      </c>
      <c r="B24" s="914" t="s">
        <v>91</v>
      </c>
      <c r="C24" s="914" t="s">
        <v>13</v>
      </c>
      <c r="D24" s="1076"/>
      <c r="E24" s="1076"/>
      <c r="F24" s="1076"/>
      <c r="G24" s="1598"/>
      <c r="H24" s="1076"/>
      <c r="I24" s="1076"/>
      <c r="J24" s="1115">
        <v>2617.3000000000002</v>
      </c>
      <c r="K24" s="1272">
        <v>2378</v>
      </c>
      <c r="L24" s="1520">
        <v>2350</v>
      </c>
      <c r="M24" s="1520">
        <v>2350</v>
      </c>
      <c r="N24" s="1520">
        <v>2350</v>
      </c>
      <c r="O24" s="1896">
        <v>2162</v>
      </c>
      <c r="P24" s="1520">
        <v>2350</v>
      </c>
      <c r="Q24" s="1520">
        <v>2350</v>
      </c>
      <c r="R24" s="1970">
        <v>2850</v>
      </c>
      <c r="S24" s="1521">
        <v>2850</v>
      </c>
      <c r="T24" s="1521">
        <v>2850</v>
      </c>
      <c r="U24" s="37"/>
      <c r="V24" s="37"/>
      <c r="W24" s="38"/>
    </row>
    <row r="25" spans="1:24" x14ac:dyDescent="0.2">
      <c r="A25" s="914">
        <v>133</v>
      </c>
      <c r="B25" s="914" t="s">
        <v>91</v>
      </c>
      <c r="C25" s="914" t="s">
        <v>793</v>
      </c>
      <c r="D25" s="1076"/>
      <c r="E25" s="1076"/>
      <c r="F25" s="1076"/>
      <c r="G25" s="1598"/>
      <c r="H25" s="1076"/>
      <c r="I25" s="1076"/>
      <c r="J25" s="1118">
        <v>125.79</v>
      </c>
      <c r="K25" s="1272">
        <v>252</v>
      </c>
      <c r="L25" s="1520">
        <v>180</v>
      </c>
      <c r="M25" s="1520">
        <v>180</v>
      </c>
      <c r="N25" s="1520">
        <v>180</v>
      </c>
      <c r="O25" s="1896">
        <v>113.99</v>
      </c>
      <c r="P25" s="1520">
        <v>180</v>
      </c>
      <c r="Q25" s="1520">
        <v>300</v>
      </c>
      <c r="R25" s="1970">
        <v>250</v>
      </c>
      <c r="S25" s="1521">
        <v>250</v>
      </c>
      <c r="T25" s="1521">
        <v>250</v>
      </c>
      <c r="U25" s="39"/>
      <c r="V25" s="39"/>
      <c r="W25" s="39"/>
    </row>
    <row r="26" spans="1:24" x14ac:dyDescent="0.2">
      <c r="A26" s="1074">
        <v>133</v>
      </c>
      <c r="B26" s="914" t="s">
        <v>89</v>
      </c>
      <c r="C26" s="914" t="s">
        <v>16</v>
      </c>
      <c r="D26" s="1076"/>
      <c r="E26" s="1076"/>
      <c r="F26" s="1076"/>
      <c r="G26" s="1598"/>
      <c r="H26" s="1076"/>
      <c r="I26" s="1076"/>
      <c r="J26" s="1115">
        <v>0</v>
      </c>
      <c r="K26" s="1272">
        <v>0</v>
      </c>
      <c r="L26" s="1520">
        <v>0</v>
      </c>
      <c r="M26" s="1520">
        <v>0</v>
      </c>
      <c r="N26" s="1520">
        <v>0</v>
      </c>
      <c r="O26" s="1896">
        <v>0</v>
      </c>
      <c r="P26" s="1520">
        <v>0</v>
      </c>
      <c r="Q26" s="1520">
        <v>0</v>
      </c>
      <c r="R26" s="1970">
        <v>0</v>
      </c>
      <c r="S26" s="1521">
        <v>0</v>
      </c>
      <c r="T26" s="1521">
        <v>0</v>
      </c>
      <c r="U26" s="37"/>
      <c r="V26" s="37"/>
      <c r="W26" s="38"/>
    </row>
    <row r="27" spans="1:24" x14ac:dyDescent="0.2">
      <c r="A27" s="1074">
        <v>133</v>
      </c>
      <c r="B27" s="914" t="s">
        <v>99</v>
      </c>
      <c r="C27" s="914" t="s">
        <v>10</v>
      </c>
      <c r="D27" s="1076"/>
      <c r="E27" s="1076"/>
      <c r="F27" s="1076"/>
      <c r="G27" s="1598"/>
      <c r="H27" s="1076"/>
      <c r="I27" s="1076"/>
      <c r="J27" s="1115">
        <v>1608.29</v>
      </c>
      <c r="K27" s="1272">
        <v>672</v>
      </c>
      <c r="L27" s="1520">
        <v>300</v>
      </c>
      <c r="M27" s="1520">
        <v>500</v>
      </c>
      <c r="N27" s="1520">
        <v>500</v>
      </c>
      <c r="O27" s="1896">
        <v>799.67</v>
      </c>
      <c r="P27" s="1520">
        <v>500</v>
      </c>
      <c r="Q27" s="1520">
        <v>560</v>
      </c>
      <c r="R27" s="1970">
        <v>1400</v>
      </c>
      <c r="S27" s="1521">
        <v>1400</v>
      </c>
      <c r="T27" s="1521">
        <v>1400</v>
      </c>
      <c r="U27" s="37"/>
      <c r="V27" s="37"/>
      <c r="W27" s="38"/>
    </row>
    <row r="28" spans="1:24" x14ac:dyDescent="0.2">
      <c r="A28" s="1074">
        <v>133</v>
      </c>
      <c r="B28" s="914" t="s">
        <v>100</v>
      </c>
      <c r="C28" s="914" t="s">
        <v>101</v>
      </c>
      <c r="D28" s="1076"/>
      <c r="E28" s="1076"/>
      <c r="F28" s="1076"/>
      <c r="G28" s="1598"/>
      <c r="H28" s="1076"/>
      <c r="I28" s="1076"/>
      <c r="J28" s="1115">
        <v>32695.759999999998</v>
      </c>
      <c r="K28" s="1272">
        <v>67484</v>
      </c>
      <c r="L28" s="1520">
        <v>0</v>
      </c>
      <c r="M28" s="1520">
        <v>0</v>
      </c>
      <c r="N28" s="1520">
        <v>0</v>
      </c>
      <c r="O28" s="1896">
        <v>0</v>
      </c>
      <c r="P28" s="1520">
        <v>0</v>
      </c>
      <c r="Q28" s="1520">
        <v>0</v>
      </c>
      <c r="R28" s="1970">
        <v>0</v>
      </c>
      <c r="S28" s="1521">
        <v>0</v>
      </c>
      <c r="T28" s="1521">
        <v>0</v>
      </c>
      <c r="U28" s="37"/>
      <c r="V28" s="37"/>
      <c r="W28" s="38"/>
      <c r="X28" s="49"/>
    </row>
    <row r="29" spans="1:24" x14ac:dyDescent="0.2">
      <c r="A29" s="1074">
        <v>133</v>
      </c>
      <c r="B29" s="914" t="s">
        <v>100</v>
      </c>
      <c r="C29" s="914" t="s">
        <v>792</v>
      </c>
      <c r="D29" s="1076"/>
      <c r="E29" s="1076"/>
      <c r="F29" s="1076"/>
      <c r="G29" s="1598"/>
      <c r="H29" s="1076"/>
      <c r="I29" s="1076"/>
      <c r="J29" s="1118">
        <v>6287.86</v>
      </c>
      <c r="K29" s="1280">
        <v>5571</v>
      </c>
      <c r="L29" s="1520">
        <v>7000</v>
      </c>
      <c r="M29" s="1520">
        <v>2200</v>
      </c>
      <c r="N29" s="1520">
        <v>0</v>
      </c>
      <c r="O29" s="1896">
        <v>790.89</v>
      </c>
      <c r="P29" s="1520">
        <v>1000</v>
      </c>
      <c r="Q29" s="1520">
        <v>1350</v>
      </c>
      <c r="R29" s="1970">
        <v>1000</v>
      </c>
      <c r="S29" s="1735">
        <v>1000</v>
      </c>
      <c r="T29" s="1735">
        <v>1000</v>
      </c>
      <c r="U29" s="39"/>
      <c r="V29" s="39"/>
      <c r="W29" s="38"/>
    </row>
    <row r="30" spans="1:24" x14ac:dyDescent="0.2">
      <c r="A30" s="1074">
        <v>133</v>
      </c>
      <c r="B30" s="914" t="s">
        <v>102</v>
      </c>
      <c r="C30" s="914" t="s">
        <v>103</v>
      </c>
      <c r="D30" s="1076"/>
      <c r="E30" s="1076"/>
      <c r="F30" s="1076"/>
      <c r="G30" s="1598"/>
      <c r="H30" s="1076"/>
      <c r="I30" s="1076"/>
      <c r="J30" s="1115">
        <v>26361.31</v>
      </c>
      <c r="K30" s="1272">
        <v>26361</v>
      </c>
      <c r="L30" s="1520">
        <v>26361</v>
      </c>
      <c r="M30" s="1520">
        <v>26361</v>
      </c>
      <c r="N30" s="1520">
        <v>26361</v>
      </c>
      <c r="O30" s="1896">
        <v>26361.31</v>
      </c>
      <c r="P30" s="1520">
        <v>26361</v>
      </c>
      <c r="Q30" s="1520">
        <v>26361</v>
      </c>
      <c r="R30" s="1970">
        <v>26361</v>
      </c>
      <c r="S30" s="1521">
        <v>26361</v>
      </c>
      <c r="T30" s="1521">
        <v>26361</v>
      </c>
      <c r="U30" s="37"/>
      <c r="V30" s="37"/>
      <c r="W30" s="38"/>
      <c r="X30" s="40"/>
    </row>
    <row r="31" spans="1:24" x14ac:dyDescent="0.2">
      <c r="A31" s="1074">
        <v>160</v>
      </c>
      <c r="B31" s="914"/>
      <c r="C31" s="914" t="s">
        <v>791</v>
      </c>
      <c r="D31" s="1076"/>
      <c r="E31" s="1076"/>
      <c r="F31" s="1076"/>
      <c r="G31" s="1598"/>
      <c r="H31" s="1076"/>
      <c r="I31" s="1076"/>
      <c r="J31" s="1115">
        <v>63.5</v>
      </c>
      <c r="K31" s="1272">
        <v>421</v>
      </c>
      <c r="L31" s="1520">
        <v>100</v>
      </c>
      <c r="M31" s="1520">
        <v>100</v>
      </c>
      <c r="N31" s="1520">
        <v>100</v>
      </c>
      <c r="O31" s="1896">
        <v>12.51</v>
      </c>
      <c r="P31" s="1520">
        <v>100</v>
      </c>
      <c r="Q31" s="1520">
        <v>22</v>
      </c>
      <c r="R31" s="1970">
        <v>100</v>
      </c>
      <c r="S31" s="1521">
        <v>100</v>
      </c>
      <c r="T31" s="1521">
        <v>100</v>
      </c>
      <c r="U31" s="37"/>
      <c r="V31" s="37"/>
      <c r="W31" s="38"/>
      <c r="X31" s="40"/>
    </row>
    <row r="32" spans="1:24" x14ac:dyDescent="0.2">
      <c r="A32" s="2295" t="s">
        <v>104</v>
      </c>
      <c r="B32" s="2295"/>
      <c r="C32" s="2295"/>
      <c r="D32" s="1736"/>
      <c r="E32" s="1737"/>
      <c r="F32" s="1736"/>
      <c r="G32" s="1737"/>
      <c r="H32" s="1736"/>
      <c r="I32" s="1737"/>
      <c r="J32" s="1736">
        <f>J9+J23</f>
        <v>1078510.0800000001</v>
      </c>
      <c r="K32" s="1738">
        <f>SUM(K9,K23)</f>
        <v>1242847</v>
      </c>
      <c r="L32" s="1738">
        <f>L9+L23</f>
        <v>1236563</v>
      </c>
      <c r="M32" s="1738">
        <f>M9+M23</f>
        <v>1300537</v>
      </c>
      <c r="N32" s="1736">
        <f t="shared" ref="N32:T32" si="3">SUM(N9,N23)</f>
        <v>1335649</v>
      </c>
      <c r="O32" s="1737">
        <f t="shared" si="3"/>
        <v>1394396.01</v>
      </c>
      <c r="P32" s="1739">
        <f t="shared" si="3"/>
        <v>1412299</v>
      </c>
      <c r="Q32" s="1739">
        <f t="shared" si="3"/>
        <v>1384178</v>
      </c>
      <c r="R32" s="1555">
        <f t="shared" si="3"/>
        <v>1204319</v>
      </c>
      <c r="S32" s="1555">
        <f t="shared" si="3"/>
        <v>1318243</v>
      </c>
      <c r="T32" s="1555">
        <f t="shared" si="3"/>
        <v>1373133</v>
      </c>
      <c r="U32" s="47"/>
      <c r="V32" s="47"/>
      <c r="W32" s="47"/>
    </row>
    <row r="33" spans="1:24" x14ac:dyDescent="0.2">
      <c r="A33" s="41"/>
      <c r="B33" s="50"/>
      <c r="C33" s="50"/>
      <c r="D33" s="51"/>
      <c r="E33" s="46"/>
      <c r="F33" s="51"/>
      <c r="G33" s="51"/>
      <c r="H33" s="46"/>
      <c r="I33" s="46"/>
      <c r="J33" s="46"/>
      <c r="K33" s="46"/>
      <c r="L33" s="46"/>
      <c r="M33" s="52"/>
      <c r="N33" s="52"/>
      <c r="O33" s="45"/>
      <c r="P33" s="1326"/>
      <c r="Q33" s="1326"/>
      <c r="R33" s="52"/>
      <c r="S33" s="43"/>
      <c r="T33" s="43"/>
      <c r="U33" s="53"/>
      <c r="V33" s="53"/>
      <c r="W33" s="38"/>
    </row>
    <row r="34" spans="1:24" hidden="1" x14ac:dyDescent="0.2">
      <c r="A34" s="41"/>
      <c r="B34" s="50"/>
      <c r="C34" s="50"/>
      <c r="D34" s="51"/>
      <c r="E34" s="46"/>
      <c r="F34" s="51"/>
      <c r="G34" s="51"/>
      <c r="H34" s="46"/>
      <c r="I34" s="46"/>
      <c r="J34" s="46"/>
      <c r="K34" s="46"/>
      <c r="L34" s="46"/>
      <c r="M34" s="52"/>
      <c r="N34" s="52"/>
      <c r="O34" s="45"/>
      <c r="R34" s="52"/>
      <c r="S34" s="43"/>
      <c r="T34" s="43"/>
      <c r="U34" s="53"/>
      <c r="V34" s="53"/>
      <c r="W34" s="38"/>
    </row>
    <row r="35" spans="1:24" ht="15.75" x14ac:dyDescent="0.25">
      <c r="A35" s="41"/>
      <c r="B35" s="50"/>
      <c r="C35" s="50"/>
      <c r="D35" s="51"/>
      <c r="E35" s="46"/>
      <c r="F35" s="51"/>
      <c r="G35" s="51"/>
      <c r="H35" s="46"/>
      <c r="I35" s="46"/>
      <c r="J35" s="46"/>
      <c r="K35" s="46"/>
      <c r="L35" s="46"/>
      <c r="M35" s="2296" t="s">
        <v>105</v>
      </c>
      <c r="N35" s="2296"/>
      <c r="O35" s="2296"/>
      <c r="P35" s="2296"/>
      <c r="Q35" s="2296"/>
      <c r="R35" s="2296"/>
      <c r="S35" s="2296"/>
      <c r="T35" s="1695"/>
      <c r="U35" s="25"/>
      <c r="V35" s="25"/>
      <c r="W35" s="25"/>
    </row>
    <row r="36" spans="1:24" ht="16.5" hidden="1" thickBot="1" x14ac:dyDescent="0.3">
      <c r="A36" s="41"/>
      <c r="B36" s="50"/>
      <c r="C36" s="50"/>
      <c r="D36" s="51"/>
      <c r="E36" s="46"/>
      <c r="F36" s="51"/>
      <c r="G36" s="51"/>
      <c r="H36" s="46"/>
      <c r="I36" s="46"/>
      <c r="J36" s="46"/>
      <c r="K36" s="46"/>
      <c r="L36" s="46"/>
      <c r="M36" s="26"/>
      <c r="N36" s="26"/>
      <c r="O36" s="28"/>
      <c r="R36" s="26"/>
      <c r="S36" s="27"/>
      <c r="T36" s="27"/>
      <c r="U36" s="26"/>
      <c r="V36" s="26"/>
      <c r="W36" s="28"/>
    </row>
    <row r="37" spans="1:24" s="20" customFormat="1" ht="15.75" x14ac:dyDescent="0.25">
      <c r="A37" s="1716" t="s">
        <v>1</v>
      </c>
      <c r="B37" s="1717"/>
      <c r="C37" s="1740"/>
      <c r="D37" s="1719"/>
      <c r="E37" s="1720"/>
      <c r="F37" s="1719"/>
      <c r="G37" s="1720"/>
      <c r="H37" s="1719"/>
      <c r="I37" s="1720"/>
      <c r="J37" s="1720">
        <v>2018</v>
      </c>
      <c r="K37" s="1547" t="s">
        <v>884</v>
      </c>
      <c r="L37" s="1547">
        <v>2021</v>
      </c>
      <c r="M37" s="1721">
        <v>2022</v>
      </c>
      <c r="N37" s="1722">
        <v>2023</v>
      </c>
      <c r="O37" s="1915" t="s">
        <v>983</v>
      </c>
      <c r="P37" s="1723">
        <v>2024</v>
      </c>
      <c r="Q37" s="1723" t="s">
        <v>984</v>
      </c>
      <c r="R37" s="1724">
        <v>2025</v>
      </c>
      <c r="S37" s="1724">
        <v>2026</v>
      </c>
      <c r="T37" s="1724">
        <v>2027</v>
      </c>
      <c r="U37" s="54"/>
      <c r="V37" s="54"/>
      <c r="W37" s="55"/>
    </row>
    <row r="38" spans="1:24" s="33" customFormat="1" x14ac:dyDescent="0.2">
      <c r="A38" s="1741" t="s">
        <v>106</v>
      </c>
      <c r="B38" s="1741"/>
      <c r="C38" s="1741"/>
      <c r="D38" s="1742"/>
      <c r="E38" s="1743"/>
      <c r="F38" s="1742"/>
      <c r="G38" s="1743"/>
      <c r="H38" s="1742"/>
      <c r="I38" s="1743"/>
      <c r="J38" s="1742">
        <f>SUM(J39,J40,J41,J42,J43)</f>
        <v>127462.42</v>
      </c>
      <c r="K38" s="1742">
        <f>SUM(K39,K40,K41,K42,K43)</f>
        <v>146661</v>
      </c>
      <c r="L38" s="1742">
        <f>SUM(L39:L43)</f>
        <v>52000</v>
      </c>
      <c r="M38" s="1742">
        <f t="shared" ref="M38:S38" si="4">M39+M40+M41+M42+M43</f>
        <v>58100</v>
      </c>
      <c r="N38" s="1742">
        <f t="shared" si="4"/>
        <v>53000</v>
      </c>
      <c r="O38" s="1743">
        <f t="shared" si="4"/>
        <v>49512.74</v>
      </c>
      <c r="P38" s="1919">
        <f t="shared" si="4"/>
        <v>53000</v>
      </c>
      <c r="Q38" s="1919">
        <f>Q39+Q40+Q41+Q42+Q43</f>
        <v>52000</v>
      </c>
      <c r="R38" s="1742">
        <f t="shared" si="4"/>
        <v>53000</v>
      </c>
      <c r="S38" s="1742">
        <f t="shared" si="4"/>
        <v>53000</v>
      </c>
      <c r="T38" s="1742">
        <f t="shared" ref="T38" si="5">T39+T40+T41+T42+T43</f>
        <v>53000</v>
      </c>
      <c r="U38" s="56"/>
      <c r="V38" s="56"/>
      <c r="W38" s="56"/>
    </row>
    <row r="39" spans="1:24" x14ac:dyDescent="0.2">
      <c r="A39" s="1074">
        <v>211</v>
      </c>
      <c r="B39" s="914" t="s">
        <v>89</v>
      </c>
      <c r="C39" s="914" t="s">
        <v>107</v>
      </c>
      <c r="D39" s="1115"/>
      <c r="E39" s="1076"/>
      <c r="F39" s="1115"/>
      <c r="G39" s="1597"/>
      <c r="H39" s="1076"/>
      <c r="I39" s="1076"/>
      <c r="J39" s="1115">
        <v>0</v>
      </c>
      <c r="K39" s="1272">
        <v>0</v>
      </c>
      <c r="L39" s="1272">
        <v>0</v>
      </c>
      <c r="M39" s="1520">
        <v>0</v>
      </c>
      <c r="N39" s="1520">
        <v>0</v>
      </c>
      <c r="O39" s="1812">
        <v>0</v>
      </c>
      <c r="P39" s="1520">
        <v>0</v>
      </c>
      <c r="Q39" s="1520">
        <v>0</v>
      </c>
      <c r="R39" s="1970">
        <v>0</v>
      </c>
      <c r="S39" s="1521">
        <v>0</v>
      </c>
      <c r="T39" s="1521">
        <v>0</v>
      </c>
      <c r="U39" s="37"/>
      <c r="V39" s="37"/>
      <c r="W39" s="37"/>
    </row>
    <row r="40" spans="1:24" x14ac:dyDescent="0.2">
      <c r="A40" s="1074">
        <v>212</v>
      </c>
      <c r="B40" s="914" t="s">
        <v>94</v>
      </c>
      <c r="C40" s="914" t="s">
        <v>25</v>
      </c>
      <c r="D40" s="1115"/>
      <c r="E40" s="1076"/>
      <c r="F40" s="1115"/>
      <c r="G40" s="1597"/>
      <c r="H40" s="1076"/>
      <c r="I40" s="1076"/>
      <c r="J40" s="1115">
        <v>82892.78</v>
      </c>
      <c r="K40" s="1272">
        <v>97148</v>
      </c>
      <c r="L40" s="1272">
        <v>10000</v>
      </c>
      <c r="M40" s="1520">
        <v>14000</v>
      </c>
      <c r="N40" s="1520">
        <v>14000</v>
      </c>
      <c r="O40" s="1812">
        <v>13800.46</v>
      </c>
      <c r="P40" s="1520">
        <v>14000</v>
      </c>
      <c r="Q40" s="1520">
        <v>14000</v>
      </c>
      <c r="R40" s="1970">
        <v>14000</v>
      </c>
      <c r="S40" s="1521">
        <v>14000</v>
      </c>
      <c r="T40" s="1521">
        <v>14000</v>
      </c>
      <c r="U40" s="37"/>
      <c r="V40" s="37"/>
      <c r="W40" s="37"/>
    </row>
    <row r="41" spans="1:24" x14ac:dyDescent="0.2">
      <c r="A41" s="1074">
        <v>212</v>
      </c>
      <c r="B41" s="914" t="s">
        <v>89</v>
      </c>
      <c r="C41" s="914" t="s">
        <v>28</v>
      </c>
      <c r="D41" s="1115"/>
      <c r="E41" s="1076"/>
      <c r="F41" s="1115"/>
      <c r="G41" s="1597"/>
      <c r="H41" s="1076"/>
      <c r="I41" s="1076"/>
      <c r="J41" s="1115">
        <v>27055.64</v>
      </c>
      <c r="K41" s="1272">
        <v>23146</v>
      </c>
      <c r="L41" s="1272">
        <v>20000</v>
      </c>
      <c r="M41" s="1520">
        <v>24000</v>
      </c>
      <c r="N41" s="1520">
        <v>24000</v>
      </c>
      <c r="O41" s="1812">
        <v>24997.71</v>
      </c>
      <c r="P41" s="1520">
        <v>24000</v>
      </c>
      <c r="Q41" s="1520">
        <v>24000</v>
      </c>
      <c r="R41" s="1970">
        <v>24000</v>
      </c>
      <c r="S41" s="1521">
        <v>24000</v>
      </c>
      <c r="T41" s="1521">
        <v>24000</v>
      </c>
      <c r="U41" s="37"/>
      <c r="V41" s="37"/>
      <c r="W41" s="37"/>
      <c r="X41" s="49"/>
    </row>
    <row r="42" spans="1:24" x14ac:dyDescent="0.2">
      <c r="A42" s="1074">
        <v>212</v>
      </c>
      <c r="B42" s="914" t="s">
        <v>108</v>
      </c>
      <c r="C42" s="914" t="s">
        <v>109</v>
      </c>
      <c r="D42" s="1115"/>
      <c r="E42" s="1076"/>
      <c r="F42" s="1115"/>
      <c r="G42" s="1597"/>
      <c r="H42" s="1076"/>
      <c r="I42" s="1076"/>
      <c r="J42" s="1115">
        <v>17514</v>
      </c>
      <c r="K42" s="1272">
        <v>14529</v>
      </c>
      <c r="L42" s="1272">
        <v>10000</v>
      </c>
      <c r="M42" s="1520">
        <v>2600</v>
      </c>
      <c r="N42" s="1520">
        <v>3000</v>
      </c>
      <c r="O42" s="1896">
        <v>2325.5</v>
      </c>
      <c r="P42" s="1520">
        <v>3000</v>
      </c>
      <c r="Q42" s="1520">
        <v>2000</v>
      </c>
      <c r="R42" s="1970">
        <v>3000</v>
      </c>
      <c r="S42" s="1521">
        <v>3000</v>
      </c>
      <c r="T42" s="1521">
        <v>3000</v>
      </c>
      <c r="U42" s="37"/>
      <c r="V42" s="37"/>
      <c r="W42" s="37"/>
    </row>
    <row r="43" spans="1:24" x14ac:dyDescent="0.2">
      <c r="A43" s="1074">
        <v>212</v>
      </c>
      <c r="B43" s="914" t="s">
        <v>108</v>
      </c>
      <c r="C43" s="914" t="s">
        <v>659</v>
      </c>
      <c r="D43" s="1115"/>
      <c r="E43" s="1076"/>
      <c r="F43" s="1115"/>
      <c r="G43" s="1597"/>
      <c r="H43" s="1076"/>
      <c r="I43" s="1076"/>
      <c r="J43" s="1115"/>
      <c r="K43" s="1272">
        <v>11838</v>
      </c>
      <c r="L43" s="1272">
        <v>12000</v>
      </c>
      <c r="M43" s="1520">
        <v>17500</v>
      </c>
      <c r="N43" s="1520">
        <v>12000</v>
      </c>
      <c r="O43" s="1896">
        <v>8389.07</v>
      </c>
      <c r="P43" s="1520">
        <v>12000</v>
      </c>
      <c r="Q43" s="1520">
        <v>12000</v>
      </c>
      <c r="R43" s="1970">
        <v>12000</v>
      </c>
      <c r="S43" s="1521">
        <v>12000</v>
      </c>
      <c r="T43" s="1521">
        <v>12000</v>
      </c>
      <c r="U43" s="37"/>
      <c r="V43" s="37"/>
      <c r="W43" s="37"/>
      <c r="X43" s="57"/>
    </row>
    <row r="44" spans="1:24" x14ac:dyDescent="0.2">
      <c r="A44" s="41"/>
      <c r="B44" s="50"/>
      <c r="C44" s="50"/>
      <c r="D44" s="64"/>
      <c r="E44" s="46"/>
      <c r="F44" s="64"/>
      <c r="G44" s="65"/>
      <c r="H44" s="46"/>
      <c r="I44" s="46"/>
      <c r="J44" s="46"/>
      <c r="K44" s="46"/>
      <c r="L44" s="64"/>
      <c r="M44" s="64"/>
      <c r="N44" s="64"/>
      <c r="O44" s="37"/>
      <c r="P44" s="1326"/>
      <c r="Q44" s="1326"/>
      <c r="R44" s="46"/>
      <c r="S44" s="46"/>
      <c r="T44" s="46"/>
      <c r="U44" s="37"/>
      <c r="V44" s="37"/>
      <c r="W44" s="37"/>
      <c r="X44" s="57"/>
    </row>
    <row r="45" spans="1:24" ht="13.5" hidden="1" thickBot="1" x14ac:dyDescent="0.25">
      <c r="A45" s="41"/>
      <c r="B45" s="50"/>
      <c r="C45" s="50"/>
      <c r="D45" s="58"/>
      <c r="E45" s="43"/>
      <c r="F45" s="58"/>
      <c r="G45" s="59"/>
      <c r="H45" s="43"/>
      <c r="I45" s="43"/>
      <c r="J45" s="43"/>
      <c r="K45" s="43"/>
      <c r="L45" s="43"/>
      <c r="M45" s="43"/>
      <c r="N45" s="43"/>
      <c r="O45" s="45"/>
      <c r="R45" s="43"/>
      <c r="S45" s="43"/>
      <c r="T45" s="43"/>
      <c r="U45" s="38"/>
      <c r="V45" s="38"/>
      <c r="W45" s="38"/>
    </row>
    <row r="46" spans="1:24" s="48" customFormat="1" x14ac:dyDescent="0.2">
      <c r="A46" s="1725" t="s">
        <v>110</v>
      </c>
      <c r="B46" s="1725"/>
      <c r="C46" s="1725"/>
      <c r="D46" s="1558"/>
      <c r="E46" s="1744"/>
      <c r="F46" s="1558"/>
      <c r="G46" s="1744"/>
      <c r="H46" s="1558"/>
      <c r="I46" s="1744"/>
      <c r="J46" s="1558">
        <f>SUM(J47,J48,J51,J52,J53,J55,J56,J57,J58,J59)</f>
        <v>62910.559999999998</v>
      </c>
      <c r="K46" s="1558">
        <f>SUM(K47,K48,K51,K52,K53,K55,K56,K57,K58,K59)</f>
        <v>46833</v>
      </c>
      <c r="L46" s="1558">
        <f>L47+L48+L51+L52+L53+L55+L56+L57+L58+L59+L54+L49+L50</f>
        <v>101230</v>
      </c>
      <c r="M46" s="1558">
        <f>M47+M48+M51+M52+M53+M55+M56+M57+M58+M59+M54+M49</f>
        <v>117930</v>
      </c>
      <c r="N46" s="1558">
        <f>N47+N48+N51+N52+N53+N55+N56+N57+N58+N59+N49+N50</f>
        <v>116530</v>
      </c>
      <c r="O46" s="1744">
        <f t="shared" ref="O46" si="6">O47+O48+O51+O52+O53+O55+O56+O57+O58+O59+O49+O50</f>
        <v>132318.75</v>
      </c>
      <c r="P46" s="1919">
        <f>P47+P48+P51+P52+P53+P55+P56+P57+P58+P59+P49+P50</f>
        <v>119530</v>
      </c>
      <c r="Q46" s="1919">
        <f>Q47+Q48+Q51+Q52+Q53+Q55+Q56+Q57+Q58+Q59+Q49+Q50</f>
        <v>124800</v>
      </c>
      <c r="R46" s="1558">
        <f>R47+R48+R51+R52+R53+R55+R56+R57+R58+R59+R49</f>
        <v>141800</v>
      </c>
      <c r="S46" s="1558">
        <f>S47+S48+S51+S52+S53+S55+S56+S57+S58+S59+S49</f>
        <v>148800</v>
      </c>
      <c r="T46" s="1558">
        <f>T47+T48+T51+T52+T53+T55+T56+T57+T58+T59+T49</f>
        <v>148800</v>
      </c>
      <c r="U46" s="56"/>
      <c r="V46" s="56"/>
      <c r="W46" s="56"/>
    </row>
    <row r="47" spans="1:24" x14ac:dyDescent="0.2">
      <c r="A47" s="1074">
        <v>221</v>
      </c>
      <c r="B47" s="914" t="s">
        <v>108</v>
      </c>
      <c r="C47" s="914" t="s">
        <v>111</v>
      </c>
      <c r="D47" s="1115"/>
      <c r="E47" s="1076"/>
      <c r="F47" s="1115"/>
      <c r="G47" s="1597"/>
      <c r="H47" s="1076"/>
      <c r="I47" s="1076"/>
      <c r="J47" s="1115">
        <v>12164.7</v>
      </c>
      <c r="K47" s="1272">
        <v>16346</v>
      </c>
      <c r="L47" s="1520">
        <v>8500</v>
      </c>
      <c r="M47" s="1520">
        <v>10000</v>
      </c>
      <c r="N47" s="1520">
        <v>10000</v>
      </c>
      <c r="O47" s="1812">
        <v>18424</v>
      </c>
      <c r="P47" s="1520">
        <v>10000</v>
      </c>
      <c r="Q47" s="1520">
        <v>10000</v>
      </c>
      <c r="R47" s="1970">
        <v>10000</v>
      </c>
      <c r="S47" s="1521">
        <v>10000</v>
      </c>
      <c r="T47" s="1521">
        <v>10000</v>
      </c>
      <c r="U47" s="37"/>
      <c r="V47" s="37"/>
      <c r="W47" s="37"/>
    </row>
    <row r="48" spans="1:24" x14ac:dyDescent="0.2">
      <c r="A48" s="1074">
        <v>222</v>
      </c>
      <c r="B48" s="914" t="s">
        <v>89</v>
      </c>
      <c r="C48" s="914" t="s">
        <v>112</v>
      </c>
      <c r="D48" s="1115"/>
      <c r="E48" s="1076"/>
      <c r="F48" s="1115"/>
      <c r="G48" s="1597"/>
      <c r="H48" s="1076"/>
      <c r="I48" s="1076"/>
      <c r="J48" s="1115">
        <v>3571.81</v>
      </c>
      <c r="K48" s="1272">
        <v>5222</v>
      </c>
      <c r="L48" s="1520">
        <v>5000</v>
      </c>
      <c r="M48" s="1520">
        <v>6400</v>
      </c>
      <c r="N48" s="1520">
        <v>5000</v>
      </c>
      <c r="O48" s="1812">
        <v>4846</v>
      </c>
      <c r="P48" s="1520">
        <v>5000</v>
      </c>
      <c r="Q48" s="1520">
        <v>6500</v>
      </c>
      <c r="R48" s="1970">
        <v>5000</v>
      </c>
      <c r="S48" s="1521">
        <v>5000</v>
      </c>
      <c r="T48" s="1521">
        <v>5000</v>
      </c>
      <c r="U48" s="37"/>
      <c r="V48" s="37"/>
      <c r="W48" s="37"/>
    </row>
    <row r="49" spans="1:25" x14ac:dyDescent="0.2">
      <c r="A49" s="1074">
        <v>223</v>
      </c>
      <c r="B49" s="914" t="s">
        <v>91</v>
      </c>
      <c r="C49" s="914" t="s">
        <v>967</v>
      </c>
      <c r="D49" s="1115"/>
      <c r="E49" s="1076"/>
      <c r="F49" s="1115"/>
      <c r="G49" s="1597"/>
      <c r="H49" s="1076"/>
      <c r="I49" s="1076"/>
      <c r="J49" s="1115"/>
      <c r="K49" s="1272"/>
      <c r="L49" s="1520">
        <v>60000</v>
      </c>
      <c r="M49" s="1520">
        <v>60000</v>
      </c>
      <c r="N49" s="1520">
        <v>60000</v>
      </c>
      <c r="O49" s="1896">
        <v>60025</v>
      </c>
      <c r="P49" s="1520">
        <v>60000</v>
      </c>
      <c r="Q49" s="1520">
        <v>63000</v>
      </c>
      <c r="R49" s="1970">
        <v>80000</v>
      </c>
      <c r="S49" s="1521">
        <v>85000</v>
      </c>
      <c r="T49" s="1521">
        <v>85000</v>
      </c>
      <c r="U49" s="37"/>
      <c r="V49" s="37"/>
      <c r="W49" s="37"/>
    </row>
    <row r="50" spans="1:25" x14ac:dyDescent="0.2">
      <c r="A50" s="1074">
        <v>223</v>
      </c>
      <c r="B50" s="914" t="s">
        <v>91</v>
      </c>
      <c r="C50" s="914" t="s">
        <v>886</v>
      </c>
      <c r="D50" s="1115"/>
      <c r="E50" s="1076"/>
      <c r="F50" s="1115"/>
      <c r="G50" s="1597"/>
      <c r="H50" s="1076"/>
      <c r="I50" s="1076"/>
      <c r="J50" s="1115"/>
      <c r="K50" s="1272"/>
      <c r="L50" s="1520">
        <v>5700</v>
      </c>
      <c r="M50" s="1520">
        <v>0</v>
      </c>
      <c r="N50" s="1520">
        <v>0</v>
      </c>
      <c r="O50" s="1896">
        <v>0</v>
      </c>
      <c r="P50" s="1520">
        <v>0</v>
      </c>
      <c r="Q50" s="1520">
        <v>0</v>
      </c>
      <c r="R50" s="1970"/>
      <c r="S50" s="1521"/>
      <c r="T50" s="1521"/>
      <c r="U50" s="37"/>
      <c r="V50" s="37"/>
      <c r="W50" s="37"/>
    </row>
    <row r="51" spans="1:25" x14ac:dyDescent="0.2">
      <c r="A51" s="1074">
        <v>223</v>
      </c>
      <c r="B51" s="914" t="s">
        <v>91</v>
      </c>
      <c r="C51" s="914" t="s">
        <v>113</v>
      </c>
      <c r="D51" s="1115"/>
      <c r="E51" s="1076"/>
      <c r="F51" s="1115"/>
      <c r="G51" s="1597"/>
      <c r="H51" s="1076"/>
      <c r="I51" s="1076"/>
      <c r="J51" s="1115">
        <v>114</v>
      </c>
      <c r="K51" s="1272">
        <v>178</v>
      </c>
      <c r="L51" s="1520">
        <v>230</v>
      </c>
      <c r="M51" s="1520">
        <v>230</v>
      </c>
      <c r="N51" s="1520">
        <v>230</v>
      </c>
      <c r="O51" s="1896">
        <v>621.5</v>
      </c>
      <c r="P51" s="1520">
        <v>230</v>
      </c>
      <c r="Q51" s="1520">
        <v>500</v>
      </c>
      <c r="R51" s="1970">
        <v>500</v>
      </c>
      <c r="S51" s="1521">
        <v>500</v>
      </c>
      <c r="T51" s="1521">
        <v>500</v>
      </c>
      <c r="U51" s="37"/>
      <c r="V51" s="37"/>
      <c r="W51" s="37"/>
    </row>
    <row r="52" spans="1:25" x14ac:dyDescent="0.2">
      <c r="A52" s="1074">
        <v>223</v>
      </c>
      <c r="B52" s="1074" t="s">
        <v>91</v>
      </c>
      <c r="C52" s="914" t="s">
        <v>42</v>
      </c>
      <c r="D52" s="1115"/>
      <c r="E52" s="1076"/>
      <c r="F52" s="1115"/>
      <c r="G52" s="1597"/>
      <c r="H52" s="1076"/>
      <c r="I52" s="1076"/>
      <c r="J52" s="1115">
        <v>8894.8700000000008</v>
      </c>
      <c r="K52" s="1272">
        <v>5861</v>
      </c>
      <c r="L52" s="1520">
        <v>4500</v>
      </c>
      <c r="M52" s="1520">
        <v>7000</v>
      </c>
      <c r="N52" s="1520">
        <v>7000</v>
      </c>
      <c r="O52" s="1896">
        <v>7139</v>
      </c>
      <c r="P52" s="1520">
        <v>7000</v>
      </c>
      <c r="Q52" s="1520">
        <v>7500</v>
      </c>
      <c r="R52" s="1970">
        <v>7000</v>
      </c>
      <c r="S52" s="1521">
        <v>7000</v>
      </c>
      <c r="T52" s="1521">
        <v>7000</v>
      </c>
      <c r="U52" s="37"/>
      <c r="V52" s="37"/>
      <c r="W52" s="37"/>
    </row>
    <row r="53" spans="1:25" x14ac:dyDescent="0.2">
      <c r="A53" s="1074">
        <v>223</v>
      </c>
      <c r="B53" s="1074" t="s">
        <v>91</v>
      </c>
      <c r="C53" s="914" t="s">
        <v>689</v>
      </c>
      <c r="D53" s="1115"/>
      <c r="E53" s="1076"/>
      <c r="F53" s="1115"/>
      <c r="G53" s="1597"/>
      <c r="H53" s="1076"/>
      <c r="I53" s="1076"/>
      <c r="J53" s="1115">
        <v>11347.82</v>
      </c>
      <c r="K53" s="1272">
        <v>10794</v>
      </c>
      <c r="L53" s="1520">
        <v>9000</v>
      </c>
      <c r="M53" s="1520">
        <v>16000</v>
      </c>
      <c r="N53" s="1520">
        <v>16000</v>
      </c>
      <c r="O53" s="1896">
        <v>25558</v>
      </c>
      <c r="P53" s="1520">
        <v>26000</v>
      </c>
      <c r="Q53" s="1520">
        <v>26000</v>
      </c>
      <c r="R53" s="1970">
        <v>26000</v>
      </c>
      <c r="S53" s="1521">
        <v>26000</v>
      </c>
      <c r="T53" s="1521">
        <v>26000</v>
      </c>
      <c r="U53" s="37"/>
      <c r="V53" s="37"/>
      <c r="W53" s="37"/>
    </row>
    <row r="54" spans="1:25" x14ac:dyDescent="0.2">
      <c r="A54" s="1074">
        <v>223</v>
      </c>
      <c r="B54" s="1074" t="s">
        <v>91</v>
      </c>
      <c r="C54" s="914" t="s">
        <v>740</v>
      </c>
      <c r="D54" s="1115"/>
      <c r="E54" s="1076"/>
      <c r="F54" s="1115"/>
      <c r="G54" s="1597"/>
      <c r="H54" s="1076"/>
      <c r="I54" s="1076"/>
      <c r="J54" s="1115">
        <v>11607.95</v>
      </c>
      <c r="K54" s="1272"/>
      <c r="L54" s="1520"/>
      <c r="M54" s="1520"/>
      <c r="N54" s="1520"/>
      <c r="O54" s="1896"/>
      <c r="P54" s="1520"/>
      <c r="Q54" s="1520"/>
      <c r="R54" s="1970">
        <v>0</v>
      </c>
      <c r="S54" s="1521">
        <v>0</v>
      </c>
      <c r="T54" s="1521">
        <v>0</v>
      </c>
      <c r="U54" s="37"/>
      <c r="V54" s="37"/>
      <c r="W54"/>
    </row>
    <row r="55" spans="1:25" x14ac:dyDescent="0.2">
      <c r="A55" s="1074">
        <v>223</v>
      </c>
      <c r="B55" s="1074" t="s">
        <v>94</v>
      </c>
      <c r="C55" s="914" t="s">
        <v>114</v>
      </c>
      <c r="D55" s="1115"/>
      <c r="E55" s="1076"/>
      <c r="F55" s="1115"/>
      <c r="G55" s="1597"/>
      <c r="H55" s="1076"/>
      <c r="I55" s="1076"/>
      <c r="J55" s="1115">
        <v>0</v>
      </c>
      <c r="K55" s="1272">
        <v>0</v>
      </c>
      <c r="L55" s="1520">
        <v>0</v>
      </c>
      <c r="M55" s="1520">
        <v>0</v>
      </c>
      <c r="N55" s="1520">
        <v>0</v>
      </c>
      <c r="O55" s="1896">
        <v>0</v>
      </c>
      <c r="P55" s="1520">
        <v>0</v>
      </c>
      <c r="Q55" s="1520">
        <v>0</v>
      </c>
      <c r="R55" s="1970">
        <v>0</v>
      </c>
      <c r="S55" s="1745">
        <v>0</v>
      </c>
      <c r="T55" s="1745">
        <v>0</v>
      </c>
      <c r="U55" s="37"/>
      <c r="V55" s="37"/>
      <c r="W55" s="37"/>
      <c r="X55" s="60"/>
      <c r="Y55" s="41"/>
    </row>
    <row r="56" spans="1:25" x14ac:dyDescent="0.2">
      <c r="A56" s="1074">
        <v>223</v>
      </c>
      <c r="B56" s="1074" t="s">
        <v>89</v>
      </c>
      <c r="C56" s="914" t="s">
        <v>115</v>
      </c>
      <c r="D56" s="1115"/>
      <c r="E56" s="1076"/>
      <c r="F56" s="1115"/>
      <c r="G56" s="1597"/>
      <c r="H56" s="1076"/>
      <c r="I56" s="1076"/>
      <c r="J56" s="1115">
        <v>0</v>
      </c>
      <c r="K56" s="1272">
        <v>0</v>
      </c>
      <c r="L56" s="1520">
        <v>0</v>
      </c>
      <c r="M56" s="1520">
        <v>0</v>
      </c>
      <c r="N56" s="1520">
        <v>0</v>
      </c>
      <c r="O56" s="1896">
        <v>0</v>
      </c>
      <c r="P56" s="1520">
        <v>0</v>
      </c>
      <c r="Q56" s="1520">
        <v>0</v>
      </c>
      <c r="R56" s="1970">
        <v>0</v>
      </c>
      <c r="S56" s="1521">
        <v>0</v>
      </c>
      <c r="T56" s="1521">
        <v>0</v>
      </c>
      <c r="U56" s="37"/>
      <c r="V56" s="37"/>
      <c r="W56" s="37"/>
      <c r="X56" s="61"/>
    </row>
    <row r="57" spans="1:25" x14ac:dyDescent="0.2">
      <c r="A57" s="1074">
        <v>223</v>
      </c>
      <c r="B57" s="1074" t="s">
        <v>89</v>
      </c>
      <c r="C57" s="914" t="s">
        <v>730</v>
      </c>
      <c r="D57" s="1076"/>
      <c r="E57" s="1746"/>
      <c r="F57" s="1076"/>
      <c r="G57" s="1598"/>
      <c r="H57" s="1746"/>
      <c r="I57" s="1746"/>
      <c r="J57" s="1115">
        <v>26817.360000000001</v>
      </c>
      <c r="K57" s="1272">
        <v>6977</v>
      </c>
      <c r="L57" s="1520">
        <v>0</v>
      </c>
      <c r="M57" s="1520">
        <v>0</v>
      </c>
      <c r="N57" s="1520">
        <v>0</v>
      </c>
      <c r="O57" s="1896">
        <v>0</v>
      </c>
      <c r="P57" s="1520">
        <v>0</v>
      </c>
      <c r="Q57" s="1520">
        <v>0</v>
      </c>
      <c r="R57" s="1970">
        <v>0</v>
      </c>
      <c r="S57" s="1521">
        <v>0</v>
      </c>
      <c r="T57" s="1521">
        <v>0</v>
      </c>
      <c r="U57" s="37"/>
      <c r="V57" s="37"/>
      <c r="W57" s="37"/>
    </row>
    <row r="58" spans="1:25" x14ac:dyDescent="0.2">
      <c r="A58" s="1074">
        <v>223</v>
      </c>
      <c r="B58" s="1074" t="s">
        <v>89</v>
      </c>
      <c r="C58" s="914" t="s">
        <v>116</v>
      </c>
      <c r="D58" s="1076"/>
      <c r="E58" s="1076"/>
      <c r="F58" s="1076"/>
      <c r="G58" s="1598"/>
      <c r="H58" s="1076"/>
      <c r="I58" s="1076"/>
      <c r="J58" s="1115">
        <v>0</v>
      </c>
      <c r="K58" s="1272">
        <v>0</v>
      </c>
      <c r="L58" s="1520">
        <v>8000</v>
      </c>
      <c r="M58" s="1520">
        <v>18000</v>
      </c>
      <c r="N58" s="1520">
        <v>18000</v>
      </c>
      <c r="O58" s="1896">
        <v>15662.28</v>
      </c>
      <c r="P58" s="1520">
        <v>11000</v>
      </c>
      <c r="Q58" s="1520">
        <v>11000</v>
      </c>
      <c r="R58" s="1970">
        <v>13000</v>
      </c>
      <c r="S58" s="1521">
        <v>15000</v>
      </c>
      <c r="T58" s="1521">
        <v>15000</v>
      </c>
      <c r="U58" s="37"/>
      <c r="V58" s="37"/>
      <c r="W58" s="37"/>
    </row>
    <row r="59" spans="1:25" x14ac:dyDescent="0.2">
      <c r="A59" s="1074">
        <v>229</v>
      </c>
      <c r="B59" s="914" t="s">
        <v>117</v>
      </c>
      <c r="C59" s="914" t="s">
        <v>118</v>
      </c>
      <c r="D59" s="1076"/>
      <c r="E59" s="1076"/>
      <c r="F59" s="1076"/>
      <c r="G59" s="1598"/>
      <c r="H59" s="1076"/>
      <c r="I59" s="1076"/>
      <c r="J59" s="1115">
        <v>0</v>
      </c>
      <c r="K59" s="1115">
        <v>1455</v>
      </c>
      <c r="L59" s="1520">
        <v>300</v>
      </c>
      <c r="M59" s="1520">
        <v>300</v>
      </c>
      <c r="N59" s="1520">
        <v>300</v>
      </c>
      <c r="O59" s="1896">
        <v>42.97</v>
      </c>
      <c r="P59" s="1520">
        <v>300</v>
      </c>
      <c r="Q59" s="1520">
        <v>300</v>
      </c>
      <c r="R59" s="1961">
        <v>300</v>
      </c>
      <c r="S59" s="1076">
        <v>300</v>
      </c>
      <c r="T59" s="1076">
        <v>300</v>
      </c>
      <c r="U59" s="37"/>
      <c r="V59" s="37"/>
      <c r="W59" s="37"/>
      <c r="X59" s="62"/>
    </row>
    <row r="60" spans="1:25" x14ac:dyDescent="0.2">
      <c r="A60" s="41"/>
      <c r="B60" s="50"/>
      <c r="C60" s="50"/>
      <c r="D60" s="42"/>
      <c r="E60" s="43"/>
      <c r="F60" s="42"/>
      <c r="G60" s="44"/>
      <c r="H60" s="43"/>
      <c r="I60" s="43"/>
      <c r="J60" s="43"/>
      <c r="K60" s="43"/>
      <c r="L60" s="43"/>
      <c r="M60" s="43"/>
      <c r="N60" s="43"/>
      <c r="O60" s="45"/>
      <c r="P60" s="1326"/>
      <c r="Q60" s="1326"/>
      <c r="R60" s="43"/>
      <c r="S60" s="43"/>
      <c r="T60" s="43"/>
      <c r="U60" s="38"/>
      <c r="V60" s="38"/>
      <c r="W60" s="38"/>
    </row>
    <row r="61" spans="1:25" s="48" customFormat="1" x14ac:dyDescent="0.2">
      <c r="A61" s="1725" t="s">
        <v>119</v>
      </c>
      <c r="B61" s="1725"/>
      <c r="C61" s="1725"/>
      <c r="D61" s="1558"/>
      <c r="E61" s="1744"/>
      <c r="F61" s="1558"/>
      <c r="G61" s="1744"/>
      <c r="H61" s="1558"/>
      <c r="I61" s="1744"/>
      <c r="J61" s="1558">
        <f>SUM(J62,J63,J64,J65,J66,J68)+J67</f>
        <v>10013.42</v>
      </c>
      <c r="K61" s="1558">
        <f>SUM(K62,K63,K64,K65,K66,K68)+K67</f>
        <v>4638</v>
      </c>
      <c r="L61" s="1558">
        <f>L62+L63+L64+L65+L66+L68+L67</f>
        <v>12550</v>
      </c>
      <c r="M61" s="1558">
        <f>M62+M63+M64+M65+M66+M68+M67</f>
        <v>8505</v>
      </c>
      <c r="N61" s="1558">
        <f>N62+N63+N64+N65+N66+N68+N67</f>
        <v>50</v>
      </c>
      <c r="O61" s="1744">
        <f t="shared" ref="O61" si="7">O62+O63+O64+O65+O66+O68+O67</f>
        <v>43171.07</v>
      </c>
      <c r="P61" s="1919">
        <f>P62+P63+P64+P65+P66+P68+P67</f>
        <v>50</v>
      </c>
      <c r="Q61" s="1919">
        <f>SUM(Q62:Q68)</f>
        <v>17589</v>
      </c>
      <c r="R61" s="1558">
        <f>R62+R63+R64+R65+R66+R68</f>
        <v>50</v>
      </c>
      <c r="S61" s="1558">
        <f>S62+S63+S64+S65+S66+S68</f>
        <v>50</v>
      </c>
      <c r="T61" s="1558">
        <f>T62+T63+T64+T65+T66+T68</f>
        <v>0</v>
      </c>
      <c r="U61" s="56"/>
      <c r="V61" s="56"/>
      <c r="W61" s="56"/>
    </row>
    <row r="62" spans="1:25" s="20" customFormat="1" x14ac:dyDescent="0.2">
      <c r="A62" s="914">
        <v>242</v>
      </c>
      <c r="B62" s="914"/>
      <c r="C62" s="914" t="s">
        <v>120</v>
      </c>
      <c r="D62" s="1115"/>
      <c r="E62" s="1115"/>
      <c r="F62" s="1115"/>
      <c r="G62" s="1597"/>
      <c r="H62" s="1115"/>
      <c r="I62" s="1115"/>
      <c r="J62" s="1115">
        <v>0.03</v>
      </c>
      <c r="K62" s="1272">
        <v>0</v>
      </c>
      <c r="L62" s="1520">
        <v>0</v>
      </c>
      <c r="M62" s="1520">
        <v>0</v>
      </c>
      <c r="N62" s="1520">
        <v>0</v>
      </c>
      <c r="O62" s="1812">
        <v>0</v>
      </c>
      <c r="P62" s="1520">
        <v>0</v>
      </c>
      <c r="Q62" s="1520"/>
      <c r="R62" s="1987">
        <v>0</v>
      </c>
      <c r="S62" s="1272">
        <v>0</v>
      </c>
      <c r="T62" s="1272">
        <v>0</v>
      </c>
      <c r="U62" s="37"/>
      <c r="V62" s="37"/>
      <c r="W62" s="37"/>
    </row>
    <row r="63" spans="1:25" s="20" customFormat="1" x14ac:dyDescent="0.2">
      <c r="A63" s="914">
        <v>242</v>
      </c>
      <c r="B63" s="914"/>
      <c r="C63" s="914" t="s">
        <v>121</v>
      </c>
      <c r="D63" s="1115"/>
      <c r="E63" s="1115"/>
      <c r="F63" s="1115"/>
      <c r="G63" s="1597"/>
      <c r="H63" s="1115"/>
      <c r="I63" s="1115"/>
      <c r="J63" s="1115">
        <v>0</v>
      </c>
      <c r="K63" s="1272"/>
      <c r="L63" s="1520"/>
      <c r="M63" s="1520"/>
      <c r="N63" s="1520"/>
      <c r="O63" s="1812"/>
      <c r="P63" s="1520"/>
      <c r="Q63" s="1520"/>
      <c r="R63" s="1987"/>
      <c r="S63" s="1272"/>
      <c r="T63" s="1272"/>
      <c r="U63" s="37"/>
      <c r="V63" s="37"/>
      <c r="W63" s="37"/>
    </row>
    <row r="64" spans="1:25" s="20" customFormat="1" x14ac:dyDescent="0.2">
      <c r="A64" s="914">
        <v>292</v>
      </c>
      <c r="B64" s="914" t="s">
        <v>122</v>
      </c>
      <c r="C64" s="914" t="s">
        <v>123</v>
      </c>
      <c r="D64" s="1115"/>
      <c r="E64" s="1115"/>
      <c r="F64" s="1115"/>
      <c r="G64" s="1597"/>
      <c r="H64" s="1115"/>
      <c r="I64" s="1115"/>
      <c r="J64" s="1115">
        <v>34.81</v>
      </c>
      <c r="K64" s="1272">
        <v>0</v>
      </c>
      <c r="L64" s="1520">
        <v>0</v>
      </c>
      <c r="M64" s="1520">
        <v>0</v>
      </c>
      <c r="N64" s="1520">
        <v>0</v>
      </c>
      <c r="O64" s="1812">
        <v>0</v>
      </c>
      <c r="P64" s="1520">
        <v>0</v>
      </c>
      <c r="Q64" s="1520"/>
      <c r="R64" s="1987">
        <v>0</v>
      </c>
      <c r="S64" s="1272">
        <v>0</v>
      </c>
      <c r="T64" s="1272">
        <v>0</v>
      </c>
      <c r="U64" s="37"/>
      <c r="V64" s="37"/>
      <c r="W64" s="37"/>
    </row>
    <row r="65" spans="1:24" x14ac:dyDescent="0.2">
      <c r="A65" s="1074">
        <v>292</v>
      </c>
      <c r="B65" s="1074" t="s">
        <v>124</v>
      </c>
      <c r="C65" s="914" t="s">
        <v>125</v>
      </c>
      <c r="D65" s="1115"/>
      <c r="E65" s="1076"/>
      <c r="F65" s="1115"/>
      <c r="G65" s="1597"/>
      <c r="H65" s="1076"/>
      <c r="I65" s="1076"/>
      <c r="J65" s="1076">
        <v>363.34</v>
      </c>
      <c r="K65" s="1272">
        <v>150</v>
      </c>
      <c r="L65" s="1520">
        <v>50</v>
      </c>
      <c r="M65" s="1520">
        <v>5</v>
      </c>
      <c r="N65" s="1520">
        <v>50</v>
      </c>
      <c r="O65" s="1812">
        <v>0</v>
      </c>
      <c r="P65" s="1520">
        <v>50</v>
      </c>
      <c r="Q65" s="1520">
        <v>0</v>
      </c>
      <c r="R65" s="1987">
        <v>50</v>
      </c>
      <c r="S65" s="1521">
        <v>50</v>
      </c>
      <c r="T65" s="1521">
        <v>0</v>
      </c>
      <c r="U65" s="37"/>
      <c r="V65" s="37"/>
      <c r="W65" s="37"/>
    </row>
    <row r="66" spans="1:24" x14ac:dyDescent="0.2">
      <c r="A66" s="1074">
        <v>292</v>
      </c>
      <c r="B66" s="1074" t="s">
        <v>126</v>
      </c>
      <c r="C66" s="914" t="s">
        <v>127</v>
      </c>
      <c r="D66" s="1115"/>
      <c r="E66" s="1076"/>
      <c r="F66" s="1115"/>
      <c r="G66" s="1597"/>
      <c r="H66" s="1076"/>
      <c r="I66" s="1076"/>
      <c r="J66" s="1076">
        <v>67.89</v>
      </c>
      <c r="K66" s="1272">
        <v>120</v>
      </c>
      <c r="L66" s="1520">
        <v>1000</v>
      </c>
      <c r="M66" s="1520">
        <v>1000</v>
      </c>
      <c r="N66" s="1520">
        <v>0</v>
      </c>
      <c r="O66" s="1896">
        <v>9497.7999999999993</v>
      </c>
      <c r="P66" s="1520">
        <v>0</v>
      </c>
      <c r="Q66" s="1520">
        <v>219</v>
      </c>
      <c r="R66" s="1987"/>
      <c r="S66" s="1521"/>
      <c r="T66" s="1521"/>
      <c r="U66" s="37"/>
      <c r="V66" s="37"/>
      <c r="W66" s="37"/>
    </row>
    <row r="67" spans="1:24" x14ac:dyDescent="0.2">
      <c r="A67" s="1074">
        <v>292</v>
      </c>
      <c r="B67" s="1074" t="s">
        <v>99</v>
      </c>
      <c r="C67" s="914" t="s">
        <v>741</v>
      </c>
      <c r="D67" s="1115"/>
      <c r="E67" s="1076"/>
      <c r="F67" s="1115"/>
      <c r="G67" s="1597"/>
      <c r="H67" s="1076"/>
      <c r="I67" s="1076"/>
      <c r="J67" s="1076">
        <v>6774.34</v>
      </c>
      <c r="K67" s="1272">
        <v>4190</v>
      </c>
      <c r="L67" s="1520">
        <v>11000</v>
      </c>
      <c r="M67" s="1520">
        <v>7000</v>
      </c>
      <c r="N67" s="1520">
        <v>0</v>
      </c>
      <c r="O67" s="1896">
        <v>19277.43</v>
      </c>
      <c r="P67" s="1520">
        <v>0</v>
      </c>
      <c r="Q67" s="1520">
        <v>17000</v>
      </c>
      <c r="R67" s="1987">
        <v>0</v>
      </c>
      <c r="S67" s="1521">
        <v>0</v>
      </c>
      <c r="T67" s="1521">
        <v>0</v>
      </c>
      <c r="U67" s="37"/>
      <c r="V67" s="37"/>
      <c r="W67" s="37"/>
    </row>
    <row r="68" spans="1:24" x14ac:dyDescent="0.2">
      <c r="A68" s="1747">
        <v>292</v>
      </c>
      <c r="B68" s="1747" t="s">
        <v>128</v>
      </c>
      <c r="C68" s="914" t="s">
        <v>129</v>
      </c>
      <c r="D68" s="1115"/>
      <c r="E68" s="1076"/>
      <c r="F68" s="1115"/>
      <c r="G68" s="1597"/>
      <c r="H68" s="1076"/>
      <c r="I68" s="1076"/>
      <c r="J68" s="1076">
        <v>2773.01</v>
      </c>
      <c r="K68" s="1272">
        <v>178</v>
      </c>
      <c r="L68" s="1520">
        <v>500</v>
      </c>
      <c r="M68" s="1520">
        <v>500</v>
      </c>
      <c r="N68" s="1520">
        <v>0</v>
      </c>
      <c r="O68" s="1812">
        <v>14395.84</v>
      </c>
      <c r="P68" s="1520">
        <v>0</v>
      </c>
      <c r="Q68" s="1520">
        <v>370</v>
      </c>
      <c r="R68" s="1987">
        <v>0</v>
      </c>
      <c r="S68" s="1521">
        <v>0</v>
      </c>
      <c r="T68" s="1521">
        <v>0</v>
      </c>
      <c r="U68" s="37"/>
      <c r="V68" s="37"/>
      <c r="W68" s="37"/>
      <c r="X68" s="57"/>
    </row>
    <row r="69" spans="1:24" x14ac:dyDescent="0.2">
      <c r="A69" s="2293" t="s">
        <v>130</v>
      </c>
      <c r="B69" s="2293"/>
      <c r="C69" s="2293"/>
      <c r="D69" s="1736"/>
      <c r="E69" s="1737"/>
      <c r="F69" s="1736"/>
      <c r="G69" s="1737"/>
      <c r="H69" s="1736"/>
      <c r="I69" s="1737"/>
      <c r="J69" s="1736">
        <f>J38+J46+J61</f>
        <v>200386.4</v>
      </c>
      <c r="K69" s="1736">
        <f>SUM(K38,K46,K61)</f>
        <v>198132</v>
      </c>
      <c r="L69" s="1736">
        <f>L38+L46+L61</f>
        <v>165780</v>
      </c>
      <c r="M69" s="1736">
        <f>M38+M46+M61</f>
        <v>184535</v>
      </c>
      <c r="N69" s="1736">
        <f t="shared" ref="N69:T69" si="8">SUM(N38,N46,N61)</f>
        <v>169580</v>
      </c>
      <c r="O69" s="1737">
        <f t="shared" si="8"/>
        <v>225002.56</v>
      </c>
      <c r="P69" s="1739">
        <f t="shared" si="8"/>
        <v>172580</v>
      </c>
      <c r="Q69" s="1739">
        <f t="shared" si="8"/>
        <v>194389</v>
      </c>
      <c r="R69" s="1736">
        <f t="shared" si="8"/>
        <v>194850</v>
      </c>
      <c r="S69" s="1736">
        <f t="shared" si="8"/>
        <v>201850</v>
      </c>
      <c r="T69" s="1736">
        <f t="shared" si="8"/>
        <v>201800</v>
      </c>
      <c r="U69" s="56"/>
      <c r="V69" s="56"/>
      <c r="W69" s="56"/>
    </row>
    <row r="70" spans="1:24" x14ac:dyDescent="0.2">
      <c r="A70" s="63"/>
      <c r="B70" s="63"/>
      <c r="C70" s="50"/>
      <c r="D70" s="64"/>
      <c r="E70" s="46"/>
      <c r="F70" s="64"/>
      <c r="G70" s="65"/>
      <c r="H70" s="46"/>
      <c r="I70" s="46"/>
      <c r="J70" s="46"/>
      <c r="K70" s="46"/>
      <c r="L70" s="46"/>
      <c r="M70" s="52"/>
      <c r="N70" s="52"/>
      <c r="O70" s="45"/>
      <c r="P70" s="1326"/>
      <c r="Q70" s="1326"/>
      <c r="R70" s="52"/>
      <c r="S70" s="43"/>
      <c r="T70" s="43"/>
      <c r="U70" s="53"/>
      <c r="V70" s="53"/>
      <c r="W70" s="38"/>
    </row>
    <row r="71" spans="1:24" hidden="1" x14ac:dyDescent="0.2">
      <c r="A71" s="63"/>
      <c r="B71" s="63"/>
      <c r="C71" s="50"/>
      <c r="D71" s="64"/>
      <c r="E71" s="46"/>
      <c r="F71" s="64"/>
      <c r="G71" s="65"/>
      <c r="H71" s="46"/>
      <c r="I71" s="46"/>
      <c r="J71" s="46"/>
      <c r="K71" s="46"/>
      <c r="L71" s="46"/>
      <c r="M71" s="52"/>
      <c r="N71" s="52"/>
      <c r="O71" s="45"/>
      <c r="P71" s="1326"/>
      <c r="Q71" s="1326"/>
      <c r="R71" s="52"/>
      <c r="S71" s="43"/>
      <c r="T71" s="43"/>
      <c r="U71" s="53"/>
      <c r="V71" s="53"/>
      <c r="W71" s="38"/>
    </row>
    <row r="72" spans="1:24" hidden="1" x14ac:dyDescent="0.2">
      <c r="A72" s="63"/>
      <c r="B72" s="63"/>
      <c r="C72" s="50"/>
      <c r="D72" s="64"/>
      <c r="E72" s="46"/>
      <c r="F72" s="64"/>
      <c r="G72" s="65"/>
      <c r="H72" s="46"/>
      <c r="I72" s="46"/>
      <c r="J72" s="46"/>
      <c r="K72" s="46"/>
      <c r="L72" s="46"/>
      <c r="M72" s="52"/>
      <c r="N72" s="52"/>
      <c r="O72" s="45"/>
      <c r="P72" s="1326"/>
      <c r="Q72" s="1326"/>
      <c r="R72" s="52"/>
      <c r="S72" s="43"/>
      <c r="T72" s="43"/>
      <c r="U72" s="53"/>
      <c r="V72" s="53"/>
      <c r="W72" s="38"/>
    </row>
    <row r="73" spans="1:24" hidden="1" x14ac:dyDescent="0.2">
      <c r="A73" s="63"/>
      <c r="B73" s="63"/>
      <c r="C73" s="50"/>
      <c r="D73" s="64"/>
      <c r="E73" s="46"/>
      <c r="F73" s="64"/>
      <c r="G73" s="65"/>
      <c r="H73" s="46"/>
      <c r="I73" s="46"/>
      <c r="J73" s="46"/>
      <c r="K73" s="46"/>
      <c r="L73" s="46"/>
      <c r="M73" s="52"/>
      <c r="N73" s="52"/>
      <c r="O73" s="45"/>
      <c r="P73" s="1326"/>
      <c r="Q73" s="1326"/>
      <c r="R73" s="52"/>
      <c r="S73" s="43"/>
      <c r="T73" s="43"/>
      <c r="U73" s="53"/>
      <c r="V73" s="53"/>
      <c r="W73" s="38"/>
    </row>
    <row r="74" spans="1:24" hidden="1" x14ac:dyDescent="0.2">
      <c r="A74" s="63"/>
      <c r="B74" s="63"/>
      <c r="C74" s="50"/>
      <c r="D74" s="64"/>
      <c r="E74" s="46"/>
      <c r="F74" s="64"/>
      <c r="G74" s="65"/>
      <c r="H74" s="46"/>
      <c r="I74" s="46"/>
      <c r="J74" s="46"/>
      <c r="K74" s="46"/>
      <c r="L74" s="46"/>
      <c r="M74" s="52"/>
      <c r="N74" s="52"/>
      <c r="O74" s="45"/>
      <c r="P74" s="1326"/>
      <c r="Q74" s="1326"/>
      <c r="R74" s="52"/>
      <c r="S74" s="43"/>
      <c r="T74" s="43"/>
      <c r="U74" s="53"/>
      <c r="V74" s="53"/>
      <c r="W74" s="38"/>
    </row>
    <row r="75" spans="1:24" hidden="1" x14ac:dyDescent="0.2">
      <c r="A75" s="63"/>
      <c r="B75" s="63"/>
      <c r="C75" s="50"/>
      <c r="D75" s="64"/>
      <c r="E75" s="46"/>
      <c r="F75" s="64"/>
      <c r="G75" s="65"/>
      <c r="H75" s="46"/>
      <c r="I75" s="46"/>
      <c r="J75" s="46"/>
      <c r="K75" s="46"/>
      <c r="L75" s="46"/>
      <c r="M75" s="52"/>
      <c r="N75" s="52"/>
      <c r="O75" s="45"/>
      <c r="P75" s="1326"/>
      <c r="Q75" s="1326"/>
      <c r="R75" s="52"/>
      <c r="S75" s="43"/>
      <c r="T75" s="43"/>
      <c r="U75" s="53"/>
      <c r="V75" s="53"/>
      <c r="W75" s="38"/>
    </row>
    <row r="76" spans="1:24" hidden="1" x14ac:dyDescent="0.2">
      <c r="A76" s="63"/>
      <c r="B76" s="63"/>
      <c r="C76" s="50"/>
      <c r="D76" s="64"/>
      <c r="E76" s="46"/>
      <c r="F76" s="64"/>
      <c r="G76" s="65"/>
      <c r="H76" s="46"/>
      <c r="I76" s="46"/>
      <c r="J76" s="46"/>
      <c r="K76" s="46"/>
      <c r="L76" s="46"/>
      <c r="M76" s="52"/>
      <c r="N76" s="52"/>
      <c r="O76" s="45"/>
      <c r="P76" s="1326"/>
      <c r="Q76" s="1326"/>
      <c r="R76" s="52"/>
      <c r="S76" s="43"/>
      <c r="T76" s="43"/>
      <c r="U76" s="53"/>
      <c r="V76" s="53"/>
      <c r="W76" s="38"/>
    </row>
    <row r="77" spans="1:24" x14ac:dyDescent="0.2">
      <c r="A77" s="63"/>
      <c r="B77" s="63"/>
      <c r="C77" s="50"/>
      <c r="D77" s="64"/>
      <c r="E77" s="46"/>
      <c r="F77" s="64"/>
      <c r="G77" s="65"/>
      <c r="H77" s="46"/>
      <c r="I77" s="46"/>
      <c r="J77" s="46"/>
      <c r="K77" s="46"/>
      <c r="L77" s="46"/>
      <c r="M77" s="52"/>
      <c r="N77" s="52"/>
      <c r="O77" s="45"/>
      <c r="P77" s="1326"/>
      <c r="Q77" s="1326"/>
      <c r="R77" s="52"/>
      <c r="S77" s="43"/>
      <c r="T77" s="43"/>
      <c r="U77" s="53"/>
      <c r="V77" s="53"/>
      <c r="W77" s="38"/>
    </row>
    <row r="78" spans="1:24" x14ac:dyDescent="0.2">
      <c r="A78" s="63"/>
      <c r="B78" s="63"/>
      <c r="C78" s="50"/>
      <c r="D78" s="64"/>
      <c r="E78" s="46"/>
      <c r="F78" s="64"/>
      <c r="G78" s="65"/>
      <c r="H78" s="46"/>
      <c r="I78" s="46"/>
      <c r="J78" s="46"/>
      <c r="K78" s="46"/>
      <c r="L78" s="46"/>
      <c r="M78" s="52"/>
      <c r="N78" s="52"/>
      <c r="O78" s="45"/>
      <c r="P78" s="1326"/>
      <c r="Q78" s="1326"/>
      <c r="R78" s="52"/>
      <c r="S78" s="43"/>
      <c r="T78" s="43"/>
      <c r="U78" s="53"/>
      <c r="V78" s="53"/>
      <c r="W78" s="38"/>
    </row>
    <row r="79" spans="1:24" x14ac:dyDescent="0.2">
      <c r="A79" s="63"/>
      <c r="B79" s="63"/>
      <c r="C79" s="50"/>
      <c r="D79" s="64"/>
      <c r="E79" s="46"/>
      <c r="F79" s="64"/>
      <c r="G79" s="65"/>
      <c r="H79" s="46"/>
      <c r="I79" s="46"/>
      <c r="J79" s="46"/>
      <c r="K79" s="46"/>
      <c r="L79" s="46"/>
      <c r="M79" s="52"/>
      <c r="N79" s="52"/>
      <c r="O79" s="45"/>
      <c r="P79" s="1326"/>
      <c r="Q79" s="1326"/>
      <c r="R79" s="52"/>
      <c r="S79" s="43"/>
      <c r="T79" s="43"/>
      <c r="U79" s="53"/>
      <c r="V79" s="53"/>
      <c r="W79" s="38"/>
    </row>
    <row r="80" spans="1:24" x14ac:dyDescent="0.2">
      <c r="A80" s="63"/>
      <c r="B80" s="63"/>
      <c r="C80" s="50"/>
      <c r="D80" s="64"/>
      <c r="E80" s="46"/>
      <c r="F80" s="64"/>
      <c r="G80" s="65"/>
      <c r="H80" s="46"/>
      <c r="I80" s="46"/>
      <c r="J80" s="46"/>
      <c r="K80" s="46"/>
      <c r="L80" s="46"/>
      <c r="M80" s="52"/>
      <c r="N80" s="52"/>
      <c r="O80" s="45"/>
      <c r="P80" s="1326"/>
      <c r="Q80" s="1326"/>
      <c r="R80" s="52"/>
      <c r="S80" s="43"/>
      <c r="T80" s="43"/>
      <c r="U80" s="53"/>
      <c r="V80" s="53"/>
      <c r="W80" s="38"/>
    </row>
    <row r="81" spans="1:26" ht="15.75" x14ac:dyDescent="0.25">
      <c r="A81" s="63"/>
      <c r="B81" s="63"/>
      <c r="C81" s="50"/>
      <c r="D81" s="64"/>
      <c r="E81" s="46"/>
      <c r="F81" s="64"/>
      <c r="G81" s="65"/>
      <c r="H81" s="46"/>
      <c r="I81" s="66" t="s">
        <v>131</v>
      </c>
      <c r="J81" s="910"/>
      <c r="K81" s="910"/>
      <c r="L81" s="910"/>
      <c r="M81" s="2298" t="s">
        <v>131</v>
      </c>
      <c r="N81" s="2298"/>
      <c r="O81" s="2298"/>
      <c r="P81" s="2298"/>
      <c r="Q81" s="2298"/>
      <c r="R81" s="2298"/>
      <c r="S81" s="2298"/>
      <c r="T81" s="1695"/>
      <c r="U81" s="67"/>
      <c r="V81" s="67"/>
      <c r="W81" s="67"/>
    </row>
    <row r="82" spans="1:26" ht="13.5" hidden="1" thickBot="1" x14ac:dyDescent="0.25">
      <c r="A82" s="63"/>
      <c r="B82" s="63"/>
      <c r="C82" s="50"/>
      <c r="D82" s="64"/>
      <c r="E82" s="46"/>
      <c r="F82" s="64"/>
      <c r="G82" s="65"/>
      <c r="H82" s="46"/>
      <c r="I82" s="46"/>
      <c r="J82" s="46"/>
      <c r="K82" s="46"/>
      <c r="L82" s="46"/>
      <c r="M82" s="52"/>
      <c r="N82" s="52"/>
      <c r="O82" s="45"/>
      <c r="R82" s="52"/>
      <c r="S82" s="43"/>
      <c r="T82" s="43"/>
      <c r="U82" s="53"/>
      <c r="V82" s="53"/>
      <c r="W82" s="38"/>
    </row>
    <row r="83" spans="1:26" ht="23.25" customHeight="1" x14ac:dyDescent="0.25">
      <c r="A83" s="1716" t="s">
        <v>1</v>
      </c>
      <c r="B83" s="1717"/>
      <c r="C83" s="1740"/>
      <c r="D83" s="1719"/>
      <c r="E83" s="1720"/>
      <c r="F83" s="1719"/>
      <c r="G83" s="1720"/>
      <c r="H83" s="1719"/>
      <c r="I83" s="1720"/>
      <c r="J83" s="1748">
        <v>2018</v>
      </c>
      <c r="K83" s="1547" t="s">
        <v>884</v>
      </c>
      <c r="L83" s="1547">
        <v>2021</v>
      </c>
      <c r="M83" s="1721">
        <v>2022</v>
      </c>
      <c r="N83" s="1722">
        <v>2023</v>
      </c>
      <c r="O83" s="1915" t="s">
        <v>983</v>
      </c>
      <c r="P83" s="1723">
        <v>2024</v>
      </c>
      <c r="Q83" s="1723" t="s">
        <v>984</v>
      </c>
      <c r="R83" s="1724">
        <v>2025</v>
      </c>
      <c r="S83" s="1724">
        <v>2026</v>
      </c>
      <c r="T83" s="1724">
        <v>2027</v>
      </c>
      <c r="U83" s="29"/>
      <c r="V83" s="29"/>
      <c r="W83" s="30"/>
    </row>
    <row r="84" spans="1:26" s="33" customFormat="1" x14ac:dyDescent="0.2">
      <c r="A84" s="1725" t="s">
        <v>132</v>
      </c>
      <c r="B84" s="1725"/>
      <c r="C84" s="1725"/>
      <c r="D84" s="1558"/>
      <c r="E84" s="1744"/>
      <c r="F84" s="1558"/>
      <c r="G84" s="1744"/>
      <c r="H84" s="1558"/>
      <c r="I84" s="1744"/>
      <c r="J84" s="1558">
        <f>SUM(J85,J86,J87,J88,J89,J90,J91,J97,J98,J100,J101,J102,J103,J105,J106,J107,J108,J109,J112,J113,J115)+J92+J93+J95+J110+J111+J114</f>
        <v>97175.19</v>
      </c>
      <c r="K84" s="1558">
        <f>K85+K90+K91+K100+K102+K104+K109+K111+K112+K115+K103+K113</f>
        <v>131665</v>
      </c>
      <c r="L84" s="1749">
        <f>L85+L86+L87+L88+L89+L90+L91+L97+L98+L100+L101+L102+L103+L105+L106+L107+L108+L109+L112+L113+L115+L110+L111+L114+L104</f>
        <v>179287</v>
      </c>
      <c r="M84" s="1558">
        <f>M85+M86+M88+M89+M90+M97+M98+M100+M101+M102+M105+M106+M107+M108+M112+M115+M109+M87+M103+M113+M110+M111+M114+M92+M104</f>
        <v>122714</v>
      </c>
      <c r="N84" s="1558">
        <f>N85+N86+N88+N89+N90+N91+N97+N98+N100+N101+N102+N105+N106+N107+N108+N115+N109+N112+N113+N87+N103+N110+N111+N114+N104</f>
        <v>113400</v>
      </c>
      <c r="O84" s="1744">
        <f>O85+O86+O88+O89+O90+O91+O97+O98+O99+O100+O101+O104+O105+O106+O107+O115+O108+O111+O112+O87+O102+O109+O110+O113+O103+O96</f>
        <v>251864.21000000002</v>
      </c>
      <c r="P84" s="1919">
        <f>P85+P86+P88+P89+P90+P91+P97+P98+P100+P101+P102+P105+P106+P107+P108+P115+P109+P112+P113+P87+P103+P110+P111+P114+P104</f>
        <v>175950</v>
      </c>
      <c r="Q84" s="1919">
        <f>Q85+Q86+Q88+Q89+Q90+Q91+Q97+Q98+Q100+Q101+Q102+Q105+Q106+Q107+Q108+Q115+Q109+Q112+Q113+Q87+Q103+Q110+Q111+Q114+Q104</f>
        <v>213903.08000000002</v>
      </c>
      <c r="R84" s="1558">
        <f>SUM(R85:R115)</f>
        <v>182250</v>
      </c>
      <c r="S84" s="1558">
        <f>SUM(S85:S115)</f>
        <v>187450</v>
      </c>
      <c r="T84" s="1558">
        <f>SUM(T85:T115)</f>
        <v>187450</v>
      </c>
      <c r="U84" s="56"/>
      <c r="V84" s="56"/>
      <c r="W84" s="56"/>
    </row>
    <row r="85" spans="1:26" s="33" customFormat="1" x14ac:dyDescent="0.2">
      <c r="A85" s="914">
        <v>312</v>
      </c>
      <c r="B85" s="914" t="s">
        <v>91</v>
      </c>
      <c r="C85" s="914" t="s">
        <v>681</v>
      </c>
      <c r="D85" s="1750"/>
      <c r="E85" s="1115"/>
      <c r="F85" s="1115"/>
      <c r="G85" s="1635"/>
      <c r="H85" s="1115"/>
      <c r="I85" s="1115"/>
      <c r="J85" s="1115">
        <v>1500</v>
      </c>
      <c r="K85" s="1272">
        <v>1500</v>
      </c>
      <c r="L85" s="1520">
        <v>0</v>
      </c>
      <c r="M85" s="1272">
        <v>0</v>
      </c>
      <c r="N85" s="1520">
        <v>0</v>
      </c>
      <c r="O85" s="1805">
        <v>0</v>
      </c>
      <c r="P85" s="1520">
        <v>0</v>
      </c>
      <c r="Q85" s="1520"/>
      <c r="R85" s="1970">
        <v>0</v>
      </c>
      <c r="S85" s="1272">
        <v>0</v>
      </c>
      <c r="T85" s="1272">
        <v>0</v>
      </c>
      <c r="U85" s="37"/>
      <c r="V85" s="37"/>
      <c r="W85" s="37"/>
    </row>
    <row r="86" spans="1:26" s="33" customFormat="1" x14ac:dyDescent="0.2">
      <c r="A86" s="914">
        <v>312</v>
      </c>
      <c r="B86" s="914" t="s">
        <v>91</v>
      </c>
      <c r="C86" s="914" t="s">
        <v>133</v>
      </c>
      <c r="D86" s="1115"/>
      <c r="E86" s="1115"/>
      <c r="F86" s="1115"/>
      <c r="G86" s="1597"/>
      <c r="H86" s="1115"/>
      <c r="I86" s="1115"/>
      <c r="J86" s="1115">
        <v>0</v>
      </c>
      <c r="K86" s="1272">
        <v>0</v>
      </c>
      <c r="L86" s="1520">
        <v>0</v>
      </c>
      <c r="M86" s="1272">
        <v>0</v>
      </c>
      <c r="N86" s="1520">
        <v>0</v>
      </c>
      <c r="O86" s="1805">
        <v>0</v>
      </c>
      <c r="P86" s="1520">
        <v>0</v>
      </c>
      <c r="Q86" s="1520"/>
      <c r="R86" s="1970">
        <v>0</v>
      </c>
      <c r="S86" s="1272">
        <v>0</v>
      </c>
      <c r="T86" s="1272">
        <v>0</v>
      </c>
      <c r="U86" s="37"/>
      <c r="V86" s="37"/>
      <c r="W86" s="37"/>
    </row>
    <row r="87" spans="1:26" s="33" customFormat="1" x14ac:dyDescent="0.2">
      <c r="A87" s="914">
        <v>312</v>
      </c>
      <c r="B87" s="914" t="s">
        <v>91</v>
      </c>
      <c r="C87" s="914" t="s">
        <v>134</v>
      </c>
      <c r="D87" s="1115"/>
      <c r="E87" s="1115"/>
      <c r="F87" s="1115"/>
      <c r="G87" s="1597"/>
      <c r="H87" s="1115"/>
      <c r="I87" s="1115"/>
      <c r="J87" s="1115">
        <v>0</v>
      </c>
      <c r="K87" s="1272">
        <v>0</v>
      </c>
      <c r="L87" s="1520">
        <v>0</v>
      </c>
      <c r="M87" s="1272">
        <v>0</v>
      </c>
      <c r="N87" s="1520">
        <v>0</v>
      </c>
      <c r="O87" s="1805">
        <v>0</v>
      </c>
      <c r="P87" s="1520">
        <v>0</v>
      </c>
      <c r="Q87" s="1520"/>
      <c r="R87" s="1970">
        <v>0</v>
      </c>
      <c r="S87" s="1272">
        <v>0</v>
      </c>
      <c r="T87" s="1272">
        <v>0</v>
      </c>
      <c r="U87" s="37"/>
      <c r="V87" s="37"/>
      <c r="W87" s="37"/>
    </row>
    <row r="88" spans="1:26" s="33" customFormat="1" x14ac:dyDescent="0.2">
      <c r="A88" s="914">
        <v>312</v>
      </c>
      <c r="B88" s="914" t="s">
        <v>91</v>
      </c>
      <c r="C88" s="914" t="s">
        <v>617</v>
      </c>
      <c r="D88" s="1750"/>
      <c r="E88" s="1115"/>
      <c r="F88" s="1750"/>
      <c r="G88" s="1635"/>
      <c r="H88" s="1115"/>
      <c r="I88" s="1115"/>
      <c r="J88" s="1115">
        <v>0</v>
      </c>
      <c r="K88" s="1272">
        <v>0</v>
      </c>
      <c r="L88" s="1520">
        <v>0</v>
      </c>
      <c r="M88" s="1272">
        <v>0</v>
      </c>
      <c r="N88" s="1520">
        <v>0</v>
      </c>
      <c r="O88" s="1805">
        <v>0</v>
      </c>
      <c r="P88" s="1520">
        <v>0</v>
      </c>
      <c r="Q88" s="1520"/>
      <c r="R88" s="1970">
        <v>0</v>
      </c>
      <c r="S88" s="1272">
        <v>0</v>
      </c>
      <c r="T88" s="1272">
        <v>0</v>
      </c>
      <c r="U88" s="37"/>
      <c r="V88" s="37"/>
      <c r="W88" s="37"/>
    </row>
    <row r="89" spans="1:26" x14ac:dyDescent="0.2">
      <c r="A89" s="1074">
        <v>312</v>
      </c>
      <c r="B89" s="1074" t="s">
        <v>91</v>
      </c>
      <c r="C89" s="914" t="s">
        <v>135</v>
      </c>
      <c r="D89" s="1076"/>
      <c r="E89" s="1076"/>
      <c r="F89" s="1076"/>
      <c r="G89" s="1598"/>
      <c r="H89" s="1076"/>
      <c r="I89" s="1076"/>
      <c r="J89" s="1115">
        <v>0</v>
      </c>
      <c r="K89" s="1272">
        <v>0</v>
      </c>
      <c r="L89" s="1520">
        <v>0</v>
      </c>
      <c r="M89" s="1272">
        <v>0</v>
      </c>
      <c r="N89" s="1520">
        <v>0</v>
      </c>
      <c r="O89" s="1805">
        <v>0</v>
      </c>
      <c r="P89" s="1520">
        <v>0</v>
      </c>
      <c r="Q89" s="1520"/>
      <c r="R89" s="1970">
        <v>0</v>
      </c>
      <c r="S89" s="1521">
        <v>0</v>
      </c>
      <c r="T89" s="1521">
        <v>0</v>
      </c>
      <c r="U89" s="37"/>
      <c r="V89" s="37"/>
      <c r="W89" s="37"/>
    </row>
    <row r="90" spans="1:26" x14ac:dyDescent="0.2">
      <c r="A90" s="1074">
        <v>312</v>
      </c>
      <c r="B90" s="1074" t="s">
        <v>91</v>
      </c>
      <c r="C90" s="914" t="s">
        <v>136</v>
      </c>
      <c r="D90" s="1076"/>
      <c r="E90" s="1076"/>
      <c r="F90" s="1076"/>
      <c r="G90" s="1598"/>
      <c r="H90" s="1076"/>
      <c r="I90" s="1076"/>
      <c r="J90" s="1115">
        <v>5456.16</v>
      </c>
      <c r="K90" s="1272">
        <v>6606</v>
      </c>
      <c r="L90" s="1520">
        <v>6638</v>
      </c>
      <c r="M90" s="1272">
        <v>6638</v>
      </c>
      <c r="N90" s="1520">
        <v>7000</v>
      </c>
      <c r="O90" s="1805">
        <v>7051.85</v>
      </c>
      <c r="P90" s="1520">
        <v>7500</v>
      </c>
      <c r="Q90" s="1520">
        <v>7666</v>
      </c>
      <c r="R90" s="1970">
        <v>7800</v>
      </c>
      <c r="S90" s="1521">
        <v>8000</v>
      </c>
      <c r="T90" s="1521">
        <v>8000</v>
      </c>
      <c r="U90" s="37"/>
      <c r="V90" s="37"/>
      <c r="W90" s="37"/>
    </row>
    <row r="91" spans="1:26" x14ac:dyDescent="0.2">
      <c r="A91" s="1074">
        <v>312</v>
      </c>
      <c r="B91" s="1074" t="s">
        <v>91</v>
      </c>
      <c r="C91" s="914" t="s">
        <v>137</v>
      </c>
      <c r="D91" s="1076"/>
      <c r="E91" s="1076"/>
      <c r="F91" s="1076"/>
      <c r="G91" s="1598"/>
      <c r="H91" s="1076"/>
      <c r="I91" s="1076"/>
      <c r="J91" s="1115">
        <f>SUM(J92:J94)+J95+J96</f>
        <v>6401.6</v>
      </c>
      <c r="K91" s="1272">
        <v>3368</v>
      </c>
      <c r="L91" s="1520">
        <v>0</v>
      </c>
      <c r="M91" s="1272">
        <v>0</v>
      </c>
      <c r="N91" s="1520">
        <v>0</v>
      </c>
      <c r="O91" s="1805">
        <v>0</v>
      </c>
      <c r="P91" s="1520">
        <v>0</v>
      </c>
      <c r="Q91" s="1520"/>
      <c r="R91" s="1970">
        <v>0</v>
      </c>
      <c r="S91" s="1521">
        <v>0</v>
      </c>
      <c r="T91" s="1521">
        <v>0</v>
      </c>
      <c r="U91" s="37"/>
      <c r="V91" s="37"/>
      <c r="W91" s="37"/>
      <c r="X91" s="68"/>
      <c r="Y91" s="68"/>
      <c r="Z91" s="68"/>
    </row>
    <row r="92" spans="1:26" x14ac:dyDescent="0.2">
      <c r="A92" s="1074"/>
      <c r="B92" s="1074"/>
      <c r="C92" s="914" t="s">
        <v>683</v>
      </c>
      <c r="D92" s="1076"/>
      <c r="E92" s="1076"/>
      <c r="F92" s="1076"/>
      <c r="G92" s="1598"/>
      <c r="H92" s="1076"/>
      <c r="I92" s="1076"/>
      <c r="J92" s="1115">
        <v>0</v>
      </c>
      <c r="K92" s="1713">
        <v>3368</v>
      </c>
      <c r="L92" s="1520">
        <v>0</v>
      </c>
      <c r="M92" s="1272">
        <v>0</v>
      </c>
      <c r="N92" s="1520">
        <v>0</v>
      </c>
      <c r="O92" s="1805">
        <v>0</v>
      </c>
      <c r="P92" s="1520">
        <v>0</v>
      </c>
      <c r="Q92" s="1520"/>
      <c r="R92" s="1970"/>
      <c r="S92" s="1272"/>
      <c r="T92" s="1272"/>
      <c r="U92" s="37"/>
      <c r="V92" s="37"/>
      <c r="W92" s="37"/>
      <c r="X92" s="68"/>
      <c r="Y92" s="68"/>
      <c r="Z92" s="68"/>
    </row>
    <row r="93" spans="1:26" x14ac:dyDescent="0.2">
      <c r="A93" s="1074"/>
      <c r="B93" s="1074"/>
      <c r="C93" s="914" t="s">
        <v>537</v>
      </c>
      <c r="D93" s="1076"/>
      <c r="E93" s="1076"/>
      <c r="F93" s="1076"/>
      <c r="G93" s="1598"/>
      <c r="H93" s="1076"/>
      <c r="I93" s="1076"/>
      <c r="J93" s="1115">
        <v>0</v>
      </c>
      <c r="K93" s="1713"/>
      <c r="L93" s="1520"/>
      <c r="M93" s="1272"/>
      <c r="N93" s="1520"/>
      <c r="O93" s="1805"/>
      <c r="P93" s="1520"/>
      <c r="Q93" s="1520"/>
      <c r="R93" s="1970"/>
      <c r="S93" s="1272"/>
      <c r="T93" s="1272"/>
      <c r="U93" s="37"/>
      <c r="V93" s="37"/>
      <c r="W93" s="37"/>
      <c r="X93" s="68"/>
      <c r="Y93" s="68"/>
      <c r="Z93" s="68"/>
    </row>
    <row r="94" spans="1:26" x14ac:dyDescent="0.2">
      <c r="A94" s="1074"/>
      <c r="B94" s="1074"/>
      <c r="C94" s="914" t="s">
        <v>684</v>
      </c>
      <c r="D94" s="1076"/>
      <c r="E94" s="1076"/>
      <c r="F94" s="1076"/>
      <c r="G94" s="1598"/>
      <c r="H94" s="1076"/>
      <c r="I94" s="1076"/>
      <c r="J94" s="1115">
        <v>4924.76</v>
      </c>
      <c r="K94" s="1713"/>
      <c r="L94" s="1520"/>
      <c r="M94" s="1272"/>
      <c r="N94" s="1520"/>
      <c r="O94" s="1805"/>
      <c r="P94" s="1520"/>
      <c r="Q94" s="1520"/>
      <c r="R94" s="1970"/>
      <c r="S94" s="1272"/>
      <c r="T94" s="1272"/>
      <c r="U94" s="37"/>
      <c r="V94" s="37"/>
      <c r="W94" s="37"/>
      <c r="X94" s="68"/>
      <c r="Y94" s="68"/>
      <c r="Z94" s="68"/>
    </row>
    <row r="95" spans="1:26" x14ac:dyDescent="0.2">
      <c r="A95" s="1074"/>
      <c r="B95" s="1074"/>
      <c r="C95" s="914" t="s">
        <v>742</v>
      </c>
      <c r="D95" s="1076"/>
      <c r="E95" s="1076"/>
      <c r="F95" s="1076"/>
      <c r="G95" s="1598"/>
      <c r="H95" s="1076"/>
      <c r="I95" s="1076"/>
      <c r="J95" s="1115"/>
      <c r="K95" s="1713"/>
      <c r="L95" s="1520"/>
      <c r="M95" s="1272"/>
      <c r="N95" s="1520"/>
      <c r="O95" s="1805"/>
      <c r="P95" s="1520"/>
      <c r="Q95" s="1520"/>
      <c r="R95" s="1970"/>
      <c r="S95" s="1272"/>
      <c r="T95" s="1272"/>
      <c r="U95" s="37"/>
      <c r="V95" s="37"/>
      <c r="W95" s="37"/>
      <c r="X95" s="68"/>
      <c r="Y95" s="68"/>
      <c r="Z95" s="68"/>
    </row>
    <row r="96" spans="1:26" x14ac:dyDescent="0.2">
      <c r="A96" s="1074"/>
      <c r="B96" s="1074"/>
      <c r="C96" s="914" t="s">
        <v>691</v>
      </c>
      <c r="D96" s="1076"/>
      <c r="E96" s="1076"/>
      <c r="F96" s="1076"/>
      <c r="G96" s="1598"/>
      <c r="H96" s="1076"/>
      <c r="I96" s="1076"/>
      <c r="J96" s="1115">
        <v>1476.84</v>
      </c>
      <c r="K96" s="1713"/>
      <c r="L96" s="1520"/>
      <c r="M96" s="1272"/>
      <c r="N96" s="1520"/>
      <c r="O96" s="1884">
        <v>0</v>
      </c>
      <c r="P96" s="1520"/>
      <c r="Q96" s="1520"/>
      <c r="R96" s="1970"/>
      <c r="S96" s="1272"/>
      <c r="T96" s="1272"/>
      <c r="U96" s="37"/>
      <c r="V96" s="37"/>
      <c r="W96" s="37"/>
      <c r="X96" s="68"/>
      <c r="Y96" s="68"/>
      <c r="Z96" s="68"/>
    </row>
    <row r="97" spans="1:26" s="20" customFormat="1" x14ac:dyDescent="0.2">
      <c r="A97" s="914">
        <v>312</v>
      </c>
      <c r="B97" s="914" t="s">
        <v>91</v>
      </c>
      <c r="C97" s="914" t="s">
        <v>990</v>
      </c>
      <c r="D97" s="1071"/>
      <c r="E97" s="1115"/>
      <c r="F97" s="1071"/>
      <c r="G97" s="1284"/>
      <c r="H97" s="1115"/>
      <c r="I97" s="1115"/>
      <c r="J97" s="1115">
        <v>0</v>
      </c>
      <c r="K97" s="1272"/>
      <c r="L97" s="1520"/>
      <c r="M97" s="1272"/>
      <c r="N97" s="1520"/>
      <c r="O97" s="1884">
        <v>54221.16</v>
      </c>
      <c r="P97" s="1520"/>
      <c r="Q97" s="1520"/>
      <c r="R97" s="1970"/>
      <c r="S97" s="1272"/>
      <c r="T97" s="1272"/>
      <c r="U97" s="37"/>
      <c r="V97" s="37"/>
      <c r="W97" s="37"/>
      <c r="X97" s="69"/>
      <c r="Y97" s="69"/>
      <c r="Z97" s="69"/>
    </row>
    <row r="98" spans="1:26" s="20" customFormat="1" x14ac:dyDescent="0.2">
      <c r="A98" s="914">
        <v>312</v>
      </c>
      <c r="B98" s="914" t="s">
        <v>138</v>
      </c>
      <c r="C98" s="914" t="s">
        <v>970</v>
      </c>
      <c r="D98" s="1071"/>
      <c r="E98" s="1115"/>
      <c r="F98" s="1071"/>
      <c r="G98" s="1284"/>
      <c r="H98" s="1115"/>
      <c r="I98" s="1115"/>
      <c r="J98" s="1115">
        <v>16630</v>
      </c>
      <c r="K98" s="1272"/>
      <c r="L98" s="1520"/>
      <c r="M98" s="1272"/>
      <c r="N98" s="1520"/>
      <c r="O98" s="1884">
        <v>20800</v>
      </c>
      <c r="P98" s="1520"/>
      <c r="Q98" s="1520"/>
      <c r="R98" s="1970"/>
      <c r="S98" s="1272"/>
      <c r="T98" s="1272"/>
      <c r="U98" s="37"/>
      <c r="V98" s="37"/>
      <c r="W98" s="37"/>
      <c r="X98" s="69"/>
      <c r="Y98" s="69"/>
      <c r="Z98" s="69"/>
    </row>
    <row r="99" spans="1:26" s="20" customFormat="1" x14ac:dyDescent="0.2">
      <c r="A99" s="914">
        <v>312</v>
      </c>
      <c r="B99" s="914" t="s">
        <v>91</v>
      </c>
      <c r="C99" s="914" t="s">
        <v>971</v>
      </c>
      <c r="D99" s="1071"/>
      <c r="E99" s="1115"/>
      <c r="F99" s="1071"/>
      <c r="G99" s="1284"/>
      <c r="H99" s="1115"/>
      <c r="I99" s="1115"/>
      <c r="J99" s="1115"/>
      <c r="K99" s="1272"/>
      <c r="L99" s="1520"/>
      <c r="M99" s="1272"/>
      <c r="N99" s="1520"/>
      <c r="O99" s="1884"/>
      <c r="P99" s="1520"/>
      <c r="Q99" s="1520"/>
      <c r="R99" s="1970"/>
      <c r="S99" s="1272"/>
      <c r="T99" s="1272"/>
      <c r="U99" s="37"/>
      <c r="V99" s="37"/>
      <c r="W99" s="37"/>
      <c r="X99" s="69"/>
      <c r="Y99" s="69"/>
      <c r="Z99" s="69"/>
    </row>
    <row r="100" spans="1:26" s="20" customFormat="1" x14ac:dyDescent="0.2">
      <c r="A100" s="914">
        <v>312</v>
      </c>
      <c r="B100" s="914" t="s">
        <v>91</v>
      </c>
      <c r="C100" s="914" t="s">
        <v>1453</v>
      </c>
      <c r="D100" s="1071"/>
      <c r="E100" s="1115"/>
      <c r="F100" s="1071"/>
      <c r="G100" s="1284"/>
      <c r="H100" s="1115"/>
      <c r="I100" s="1115"/>
      <c r="J100" s="1115">
        <v>0</v>
      </c>
      <c r="K100" s="1272"/>
      <c r="L100" s="1520"/>
      <c r="M100" s="1272"/>
      <c r="N100" s="1520"/>
      <c r="O100" s="1884"/>
      <c r="P100" s="1520"/>
      <c r="Q100" s="1520">
        <v>21078</v>
      </c>
      <c r="R100" s="1970"/>
      <c r="S100" s="1272"/>
      <c r="T100" s="1272"/>
      <c r="U100" s="37"/>
      <c r="V100" s="37"/>
      <c r="W100" s="37"/>
      <c r="X100" s="69"/>
      <c r="Y100" s="69"/>
      <c r="Z100" s="69"/>
    </row>
    <row r="101" spans="1:26" s="20" customFormat="1" ht="12.75" customHeight="1" x14ac:dyDescent="0.2">
      <c r="A101" s="914">
        <v>312</v>
      </c>
      <c r="B101" s="914" t="s">
        <v>91</v>
      </c>
      <c r="C101" s="914" t="s">
        <v>139</v>
      </c>
      <c r="D101" s="1071"/>
      <c r="E101" s="1115"/>
      <c r="F101" s="1071"/>
      <c r="G101" s="1284"/>
      <c r="H101" s="1115"/>
      <c r="I101" s="1115"/>
      <c r="J101" s="1115">
        <v>0</v>
      </c>
      <c r="K101" s="1272"/>
      <c r="L101" s="1520"/>
      <c r="M101" s="1272"/>
      <c r="N101" s="1520"/>
      <c r="O101" s="1884">
        <v>4913.6000000000004</v>
      </c>
      <c r="P101" s="1520"/>
      <c r="Q101" s="1520"/>
      <c r="R101" s="1970"/>
      <c r="S101" s="1272"/>
      <c r="T101" s="1272"/>
      <c r="U101" s="37"/>
      <c r="V101" s="37"/>
      <c r="W101" s="37"/>
      <c r="X101" s="70"/>
      <c r="Y101" s="69"/>
      <c r="Z101" s="71"/>
    </row>
    <row r="102" spans="1:26" s="20" customFormat="1" x14ac:dyDescent="0.2">
      <c r="A102" s="914">
        <v>312</v>
      </c>
      <c r="B102" s="914" t="s">
        <v>91</v>
      </c>
      <c r="C102" s="914" t="s">
        <v>1004</v>
      </c>
      <c r="D102" s="1071"/>
      <c r="E102" s="1115"/>
      <c r="F102" s="1071"/>
      <c r="G102" s="1284"/>
      <c r="H102" s="1115"/>
      <c r="I102" s="1115"/>
      <c r="J102" s="1115">
        <v>3058.14</v>
      </c>
      <c r="K102" s="1272">
        <v>5747</v>
      </c>
      <c r="L102" s="1520">
        <v>6000</v>
      </c>
      <c r="M102" s="1272">
        <v>7000</v>
      </c>
      <c r="N102" s="1520">
        <v>7000</v>
      </c>
      <c r="O102" s="1884">
        <v>0</v>
      </c>
      <c r="P102" s="1520">
        <v>3000</v>
      </c>
      <c r="Q102" s="1520">
        <v>4000</v>
      </c>
      <c r="R102" s="1970">
        <v>5000</v>
      </c>
      <c r="S102" s="1272">
        <v>5000</v>
      </c>
      <c r="T102" s="1272">
        <v>5000</v>
      </c>
      <c r="U102" s="37"/>
      <c r="V102" s="37"/>
      <c r="W102" s="37"/>
      <c r="X102" s="72"/>
      <c r="Y102" s="72"/>
      <c r="Z102" s="72"/>
    </row>
    <row r="103" spans="1:26" s="20" customFormat="1" x14ac:dyDescent="0.2">
      <c r="A103" s="914">
        <v>312</v>
      </c>
      <c r="B103" s="914" t="s">
        <v>91</v>
      </c>
      <c r="C103" s="914" t="s">
        <v>785</v>
      </c>
      <c r="D103" s="1071"/>
      <c r="E103" s="1115"/>
      <c r="F103" s="1071"/>
      <c r="G103" s="1284"/>
      <c r="H103" s="1115"/>
      <c r="I103" s="1115"/>
      <c r="J103" s="1115">
        <v>0</v>
      </c>
      <c r="K103" s="1272">
        <v>1677</v>
      </c>
      <c r="L103" s="1520">
        <v>0</v>
      </c>
      <c r="M103" s="1272">
        <v>160</v>
      </c>
      <c r="N103" s="1520">
        <v>0</v>
      </c>
      <c r="O103" s="1884">
        <v>30717</v>
      </c>
      <c r="P103" s="1520">
        <v>54000</v>
      </c>
      <c r="Q103" s="2146">
        <v>54000</v>
      </c>
      <c r="R103" s="1970">
        <v>54000</v>
      </c>
      <c r="S103" s="1272">
        <v>54000</v>
      </c>
      <c r="T103" s="1272">
        <v>54000</v>
      </c>
      <c r="U103" s="37"/>
      <c r="V103" s="37"/>
      <c r="W103" s="37"/>
      <c r="X103" s="72"/>
      <c r="Y103" s="72"/>
      <c r="Z103" s="72"/>
    </row>
    <row r="104" spans="1:26" s="20" customFormat="1" x14ac:dyDescent="0.2">
      <c r="A104" s="914">
        <v>312</v>
      </c>
      <c r="B104" s="914" t="s">
        <v>784</v>
      </c>
      <c r="C104" s="914" t="s">
        <v>786</v>
      </c>
      <c r="D104" s="1071"/>
      <c r="E104" s="1115"/>
      <c r="F104" s="1071"/>
      <c r="G104" s="1284"/>
      <c r="H104" s="1115"/>
      <c r="I104" s="1115"/>
      <c r="J104" s="1115"/>
      <c r="K104" s="1272">
        <v>37646</v>
      </c>
      <c r="L104" s="1520">
        <v>32897</v>
      </c>
      <c r="M104" s="1272">
        <v>5746</v>
      </c>
      <c r="N104" s="1520">
        <v>5000</v>
      </c>
      <c r="O104" s="1884"/>
      <c r="P104" s="1520">
        <v>0</v>
      </c>
      <c r="Q104" s="1520">
        <v>0</v>
      </c>
      <c r="R104" s="1970">
        <v>0</v>
      </c>
      <c r="S104" s="1272">
        <v>0</v>
      </c>
      <c r="T104" s="1272">
        <v>0</v>
      </c>
      <c r="U104" s="37"/>
      <c r="V104" s="37"/>
      <c r="W104" s="37"/>
      <c r="X104" s="72"/>
      <c r="Y104" s="72"/>
      <c r="Z104" s="72"/>
    </row>
    <row r="105" spans="1:26" s="20" customFormat="1" x14ac:dyDescent="0.2">
      <c r="A105" s="914">
        <v>312</v>
      </c>
      <c r="B105" s="914" t="s">
        <v>784</v>
      </c>
      <c r="C105" s="914" t="s">
        <v>945</v>
      </c>
      <c r="D105" s="1071"/>
      <c r="E105" s="1115"/>
      <c r="F105" s="1071"/>
      <c r="G105" s="1284"/>
      <c r="H105" s="1115"/>
      <c r="I105" s="1115"/>
      <c r="J105" s="1115">
        <v>5148.4399999999996</v>
      </c>
      <c r="K105" s="1272"/>
      <c r="L105" s="1520"/>
      <c r="M105" s="1272"/>
      <c r="N105" s="1520"/>
      <c r="O105" s="1884">
        <v>0</v>
      </c>
      <c r="P105" s="1520"/>
      <c r="Q105" s="1520"/>
      <c r="R105" s="1970">
        <v>0</v>
      </c>
      <c r="S105" s="1272">
        <v>0</v>
      </c>
      <c r="T105" s="1272">
        <v>0</v>
      </c>
      <c r="U105" s="37"/>
      <c r="V105" s="37"/>
      <c r="W105" s="37"/>
    </row>
    <row r="106" spans="1:26" s="20" customFormat="1" x14ac:dyDescent="0.2">
      <c r="A106" s="914">
        <v>312</v>
      </c>
      <c r="B106" s="914" t="s">
        <v>91</v>
      </c>
      <c r="C106" s="914" t="s">
        <v>946</v>
      </c>
      <c r="D106" s="1071"/>
      <c r="E106" s="1115"/>
      <c r="F106" s="1071"/>
      <c r="G106" s="1284"/>
      <c r="H106" s="1115"/>
      <c r="I106" s="1115"/>
      <c r="J106" s="1115">
        <v>0</v>
      </c>
      <c r="K106" s="1272"/>
      <c r="L106" s="1520"/>
      <c r="M106" s="1272">
        <v>1820</v>
      </c>
      <c r="N106" s="1520">
        <v>0</v>
      </c>
      <c r="O106" s="1884">
        <v>4860</v>
      </c>
      <c r="P106" s="1520">
        <v>0</v>
      </c>
      <c r="Q106" s="1520"/>
      <c r="R106" s="1970">
        <v>0</v>
      </c>
      <c r="S106" s="1272">
        <v>0</v>
      </c>
      <c r="T106" s="1272">
        <v>0</v>
      </c>
      <c r="U106" s="37"/>
      <c r="V106" s="37"/>
      <c r="W106" s="37"/>
      <c r="X106" s="73"/>
    </row>
    <row r="107" spans="1:26" s="20" customFormat="1" x14ac:dyDescent="0.2">
      <c r="A107" s="914">
        <v>312</v>
      </c>
      <c r="B107" s="914" t="s">
        <v>91</v>
      </c>
      <c r="C107" s="914" t="s">
        <v>734</v>
      </c>
      <c r="D107" s="1071"/>
      <c r="E107" s="1115"/>
      <c r="F107" s="1071"/>
      <c r="G107" s="1284"/>
      <c r="H107" s="1115"/>
      <c r="I107" s="1115"/>
      <c r="J107" s="1115">
        <v>0</v>
      </c>
      <c r="K107" s="1272"/>
      <c r="L107" s="1520"/>
      <c r="M107" s="1272">
        <v>4000</v>
      </c>
      <c r="N107" s="1520">
        <v>0</v>
      </c>
      <c r="O107" s="1884"/>
      <c r="P107" s="1520">
        <v>0</v>
      </c>
      <c r="Q107" s="1520"/>
      <c r="R107" s="1970">
        <v>0</v>
      </c>
      <c r="S107" s="1272">
        <v>0</v>
      </c>
      <c r="T107" s="1272">
        <v>0</v>
      </c>
      <c r="U107" s="37"/>
      <c r="V107" s="37"/>
      <c r="W107" s="37"/>
      <c r="X107" s="73"/>
    </row>
    <row r="108" spans="1:26" s="20" customFormat="1" x14ac:dyDescent="0.2">
      <c r="A108" s="914">
        <v>312</v>
      </c>
      <c r="B108" s="914" t="s">
        <v>91</v>
      </c>
      <c r="C108" s="914" t="s">
        <v>936</v>
      </c>
      <c r="D108" s="1071"/>
      <c r="E108" s="1115"/>
      <c r="F108" s="1071"/>
      <c r="G108" s="1284"/>
      <c r="H108" s="1115"/>
      <c r="I108" s="1115"/>
      <c r="J108" s="1600">
        <v>0</v>
      </c>
      <c r="K108" s="1272"/>
      <c r="L108" s="1520"/>
      <c r="M108" s="1272"/>
      <c r="N108" s="1520"/>
      <c r="O108" s="1884">
        <v>6064.01</v>
      </c>
      <c r="P108" s="1520">
        <v>3000</v>
      </c>
      <c r="Q108" s="1520">
        <v>14393.6</v>
      </c>
      <c r="R108" s="1970"/>
      <c r="S108" s="1272"/>
      <c r="T108" s="1272"/>
      <c r="U108" s="37"/>
      <c r="V108" s="37"/>
      <c r="W108" s="37"/>
      <c r="X108" s="73"/>
    </row>
    <row r="109" spans="1:26" s="20" customFormat="1" x14ac:dyDescent="0.2">
      <c r="A109" s="914">
        <v>312</v>
      </c>
      <c r="B109" s="914" t="s">
        <v>91</v>
      </c>
      <c r="C109" s="914" t="s">
        <v>743</v>
      </c>
      <c r="D109" s="1071"/>
      <c r="E109" s="1115"/>
      <c r="F109" s="1071"/>
      <c r="G109" s="1284"/>
      <c r="H109" s="1115"/>
      <c r="I109" s="1115"/>
      <c r="J109" s="1115">
        <v>2072.44</v>
      </c>
      <c r="K109" s="1272">
        <v>7971</v>
      </c>
      <c r="L109" s="1520">
        <v>5607</v>
      </c>
      <c r="M109" s="1272">
        <v>3000</v>
      </c>
      <c r="N109" s="1520">
        <v>3000</v>
      </c>
      <c r="O109" s="1884">
        <v>0</v>
      </c>
      <c r="P109" s="1520"/>
      <c r="Q109" s="1520"/>
      <c r="R109" s="1970">
        <v>0</v>
      </c>
      <c r="S109" s="1272">
        <v>0</v>
      </c>
      <c r="T109" s="1272"/>
      <c r="U109" s="37"/>
      <c r="V109" s="37"/>
      <c r="W109" s="37"/>
      <c r="X109" s="73"/>
    </row>
    <row r="110" spans="1:26" s="20" customFormat="1" x14ac:dyDescent="0.2">
      <c r="A110" s="914">
        <v>312</v>
      </c>
      <c r="B110" s="914" t="s">
        <v>91</v>
      </c>
      <c r="C110" s="914" t="s">
        <v>619</v>
      </c>
      <c r="D110" s="1071"/>
      <c r="E110" s="1115"/>
      <c r="F110" s="1071"/>
      <c r="G110" s="1284"/>
      <c r="H110" s="1115"/>
      <c r="I110" s="1115"/>
      <c r="J110" s="1115">
        <v>684</v>
      </c>
      <c r="K110" s="1272"/>
      <c r="L110" s="1520">
        <v>475</v>
      </c>
      <c r="M110" s="1272">
        <v>62600</v>
      </c>
      <c r="N110" s="1520">
        <v>0</v>
      </c>
      <c r="O110" s="1884">
        <v>80162.67</v>
      </c>
      <c r="P110" s="1520">
        <v>70000</v>
      </c>
      <c r="Q110" s="1520">
        <v>70000</v>
      </c>
      <c r="R110" s="1970">
        <v>75000</v>
      </c>
      <c r="S110" s="1272">
        <v>75000</v>
      </c>
      <c r="T110" s="1272">
        <v>75000</v>
      </c>
      <c r="U110" s="37"/>
      <c r="V110" s="37"/>
      <c r="W110" s="37"/>
      <c r="X110" s="73"/>
    </row>
    <row r="111" spans="1:26" s="20" customFormat="1" x14ac:dyDescent="0.2">
      <c r="A111" s="914">
        <v>312</v>
      </c>
      <c r="B111" s="914" t="s">
        <v>91</v>
      </c>
      <c r="C111" s="914" t="s">
        <v>744</v>
      </c>
      <c r="D111" s="1071"/>
      <c r="E111" s="1115"/>
      <c r="F111" s="1071"/>
      <c r="G111" s="1284"/>
      <c r="H111" s="1115"/>
      <c r="I111" s="1115"/>
      <c r="J111" s="1115">
        <v>37286.800000000003</v>
      </c>
      <c r="K111" s="1272">
        <v>28312</v>
      </c>
      <c r="L111" s="1520">
        <v>40000</v>
      </c>
      <c r="M111" s="1272">
        <v>350</v>
      </c>
      <c r="N111" s="1520">
        <v>60000</v>
      </c>
      <c r="O111" s="1884">
        <v>434.48</v>
      </c>
      <c r="P111" s="1520">
        <v>450</v>
      </c>
      <c r="Q111" s="1520">
        <v>465.48</v>
      </c>
      <c r="R111" s="1970">
        <v>450</v>
      </c>
      <c r="S111" s="1272">
        <v>450</v>
      </c>
      <c r="T111" s="1272">
        <v>450</v>
      </c>
      <c r="U111" s="37"/>
      <c r="V111" s="37"/>
      <c r="W111" s="37"/>
      <c r="X111" s="73"/>
    </row>
    <row r="112" spans="1:26" s="20" customFormat="1" x14ac:dyDescent="0.2">
      <c r="A112" s="914">
        <v>312</v>
      </c>
      <c r="B112" s="914" t="s">
        <v>91</v>
      </c>
      <c r="C112" s="50" t="s">
        <v>969</v>
      </c>
      <c r="D112" s="1071"/>
      <c r="E112" s="1115"/>
      <c r="F112" s="1071"/>
      <c r="G112" s="1284"/>
      <c r="H112" s="1115"/>
      <c r="I112" s="1115"/>
      <c r="J112" s="1323">
        <v>297.97000000000003</v>
      </c>
      <c r="K112" s="1272">
        <v>360</v>
      </c>
      <c r="L112" s="1520">
        <v>380</v>
      </c>
      <c r="M112" s="1272">
        <v>400</v>
      </c>
      <c r="N112" s="1520">
        <v>400</v>
      </c>
      <c r="O112" s="1884">
        <v>5494.9</v>
      </c>
      <c r="P112" s="1520">
        <v>0</v>
      </c>
      <c r="Q112" s="1520">
        <v>0</v>
      </c>
      <c r="R112" s="1970">
        <v>0</v>
      </c>
      <c r="S112" s="1272">
        <v>0</v>
      </c>
      <c r="T112" s="1272">
        <v>0</v>
      </c>
      <c r="U112" s="37"/>
      <c r="V112" s="37"/>
      <c r="W112" s="37"/>
      <c r="X112" s="73"/>
    </row>
    <row r="113" spans="1:24" s="20" customFormat="1" x14ac:dyDescent="0.2">
      <c r="A113" s="914">
        <v>312</v>
      </c>
      <c r="B113" s="914" t="s">
        <v>91</v>
      </c>
      <c r="D113" s="1071"/>
      <c r="E113" s="1115"/>
      <c r="F113" s="1071"/>
      <c r="G113" s="1284"/>
      <c r="H113" s="1115"/>
      <c r="I113" s="1115"/>
      <c r="J113" s="1115">
        <v>0</v>
      </c>
      <c r="K113" s="1272">
        <v>6242</v>
      </c>
      <c r="L113" s="1520">
        <v>0</v>
      </c>
      <c r="M113" s="1272">
        <v>0</v>
      </c>
      <c r="N113" s="1520">
        <v>0</v>
      </c>
      <c r="O113" s="1884">
        <v>0</v>
      </c>
      <c r="P113" s="1520">
        <v>0</v>
      </c>
      <c r="Q113" s="1520"/>
      <c r="R113" s="1970">
        <v>0</v>
      </c>
      <c r="S113" s="1272">
        <v>0</v>
      </c>
      <c r="T113" s="1272">
        <v>0</v>
      </c>
      <c r="U113" s="37"/>
      <c r="V113" s="37"/>
      <c r="W113" s="37"/>
      <c r="X113" s="73"/>
    </row>
    <row r="114" spans="1:24" s="20" customFormat="1" x14ac:dyDescent="0.2">
      <c r="A114" s="914">
        <v>312</v>
      </c>
      <c r="B114" s="914" t="s">
        <v>91</v>
      </c>
      <c r="C114" s="914" t="s">
        <v>835</v>
      </c>
      <c r="D114" s="1071"/>
      <c r="E114" s="1115"/>
      <c r="F114" s="1071"/>
      <c r="G114" s="1284"/>
      <c r="H114" s="1115"/>
      <c r="I114" s="1115"/>
      <c r="J114" s="1115">
        <v>0</v>
      </c>
      <c r="K114" s="1272"/>
      <c r="L114" s="1520">
        <v>61290</v>
      </c>
      <c r="M114" s="1272">
        <v>0</v>
      </c>
      <c r="N114" s="1520">
        <v>0</v>
      </c>
      <c r="O114" s="1913"/>
      <c r="P114" s="1520">
        <v>0</v>
      </c>
      <c r="Q114" s="1520"/>
      <c r="R114" s="1970"/>
      <c r="S114" s="1272"/>
      <c r="T114" s="1272"/>
      <c r="U114" s="37"/>
      <c r="V114" s="37"/>
      <c r="W114" s="37"/>
      <c r="X114" s="73"/>
    </row>
    <row r="115" spans="1:24" s="20" customFormat="1" x14ac:dyDescent="0.2">
      <c r="A115" s="914">
        <v>312</v>
      </c>
      <c r="B115" s="914" t="s">
        <v>91</v>
      </c>
      <c r="C115" s="914" t="s">
        <v>745</v>
      </c>
      <c r="D115" s="1071"/>
      <c r="E115" s="1115"/>
      <c r="F115" s="1071"/>
      <c r="G115" s="1284"/>
      <c r="H115" s="1115"/>
      <c r="I115" s="1115"/>
      <c r="J115" s="1115">
        <v>18639.64</v>
      </c>
      <c r="K115" s="1272">
        <v>32236</v>
      </c>
      <c r="L115" s="1520">
        <v>26000</v>
      </c>
      <c r="M115" s="1272">
        <v>31000</v>
      </c>
      <c r="N115" s="1520">
        <v>31000</v>
      </c>
      <c r="O115" s="1884">
        <v>37144.54</v>
      </c>
      <c r="P115" s="1520">
        <v>38000</v>
      </c>
      <c r="Q115" s="1520">
        <v>42300</v>
      </c>
      <c r="R115" s="1970">
        <v>40000</v>
      </c>
      <c r="S115" s="1272">
        <v>45000</v>
      </c>
      <c r="T115" s="1272">
        <v>45000</v>
      </c>
      <c r="U115" s="37"/>
      <c r="V115" s="37"/>
      <c r="W115" s="37"/>
      <c r="X115" s="73"/>
    </row>
    <row r="116" spans="1:24" s="20" customFormat="1" x14ac:dyDescent="0.2">
      <c r="A116" s="50">
        <v>312</v>
      </c>
      <c r="B116" s="50">
        <v>1</v>
      </c>
      <c r="D116" s="58"/>
      <c r="E116" s="64"/>
      <c r="F116" s="58"/>
      <c r="G116" s="59"/>
      <c r="H116" s="64"/>
      <c r="I116" s="64"/>
      <c r="J116" s="64"/>
      <c r="K116" s="75"/>
      <c r="L116" s="75"/>
      <c r="M116" s="75"/>
      <c r="N116" s="75"/>
      <c r="O116" s="1914"/>
      <c r="P116" s="1326"/>
      <c r="Q116" s="1326"/>
      <c r="R116" s="75"/>
      <c r="S116" s="75"/>
      <c r="T116" s="75"/>
      <c r="U116" s="74"/>
      <c r="V116" s="74"/>
      <c r="W116" s="74"/>
    </row>
    <row r="117" spans="1:24" s="48" customFormat="1" x14ac:dyDescent="0.2">
      <c r="A117" s="1725" t="s">
        <v>140</v>
      </c>
      <c r="B117" s="1725"/>
      <c r="C117" s="1725"/>
      <c r="D117" s="1751"/>
      <c r="E117" s="1752"/>
      <c r="F117" s="1751"/>
      <c r="G117" s="1751"/>
      <c r="H117" s="1752"/>
      <c r="I117" s="1752"/>
      <c r="J117" s="1753">
        <f>J118+J119</f>
        <v>3000</v>
      </c>
      <c r="K117" s="1753">
        <f>K118+K119</f>
        <v>3000</v>
      </c>
      <c r="L117" s="1293">
        <f>SUM(L118,L119)</f>
        <v>5500</v>
      </c>
      <c r="M117" s="1753">
        <f>M118+M119+M120</f>
        <v>3000</v>
      </c>
      <c r="N117" s="1293">
        <f>SUM(N118,N119)</f>
        <v>3000</v>
      </c>
      <c r="O117" s="1871">
        <f>O118+O119+O120</f>
        <v>8232</v>
      </c>
      <c r="P117" s="1919">
        <f>SUM(P118,P119)</f>
        <v>3000</v>
      </c>
      <c r="Q117" s="1919">
        <f>Q118+Q119+Q120</f>
        <v>4000</v>
      </c>
      <c r="R117" s="1293">
        <f>SUM(R118,R119)</f>
        <v>3000</v>
      </c>
      <c r="S117" s="1293">
        <f>SUM(S118,S119)</f>
        <v>3000</v>
      </c>
      <c r="T117" s="1293">
        <f>SUM(T118,T119)</f>
        <v>3000</v>
      </c>
      <c r="U117" s="37"/>
      <c r="V117" s="37"/>
      <c r="W117" s="37"/>
    </row>
    <row r="118" spans="1:24" s="48" customFormat="1" x14ac:dyDescent="0.2">
      <c r="A118" s="914">
        <v>311</v>
      </c>
      <c r="B118" s="914"/>
      <c r="C118" s="1074" t="s">
        <v>757</v>
      </c>
      <c r="D118" s="1076"/>
      <c r="E118" s="1076"/>
      <c r="F118" s="1076"/>
      <c r="G118" s="1598"/>
      <c r="H118" s="1076"/>
      <c r="I118" s="1754"/>
      <c r="J118" s="1070">
        <v>3000</v>
      </c>
      <c r="K118" s="1115">
        <v>3000</v>
      </c>
      <c r="L118" s="1520">
        <v>3000</v>
      </c>
      <c r="M118" s="1070">
        <v>3000</v>
      </c>
      <c r="N118" s="1115">
        <v>3000</v>
      </c>
      <c r="O118" s="1806">
        <v>3000</v>
      </c>
      <c r="P118" s="1520">
        <v>3000</v>
      </c>
      <c r="Q118" s="1520">
        <v>3000</v>
      </c>
      <c r="R118" s="1953">
        <v>3000</v>
      </c>
      <c r="S118" s="1070">
        <v>3000</v>
      </c>
      <c r="T118" s="1070">
        <v>3000</v>
      </c>
      <c r="U118" s="76"/>
      <c r="V118" s="76"/>
      <c r="W118" s="76"/>
    </row>
    <row r="119" spans="1:24" s="20" customFormat="1" ht="22.5" x14ac:dyDescent="0.2">
      <c r="A119" s="914">
        <v>311</v>
      </c>
      <c r="B119" s="914"/>
      <c r="C119" s="1792" t="s">
        <v>968</v>
      </c>
      <c r="D119" s="1115"/>
      <c r="E119" s="1115"/>
      <c r="F119" s="1115"/>
      <c r="G119" s="1597"/>
      <c r="H119" s="1115"/>
      <c r="I119" s="1115"/>
      <c r="J119" s="1115">
        <v>0</v>
      </c>
      <c r="K119" s="1115">
        <v>0</v>
      </c>
      <c r="L119" s="1520">
        <v>2500</v>
      </c>
      <c r="M119" s="1115">
        <v>0</v>
      </c>
      <c r="N119" s="1115">
        <v>0</v>
      </c>
      <c r="O119" s="1892">
        <v>5232</v>
      </c>
      <c r="P119" s="1520">
        <v>0</v>
      </c>
      <c r="Q119" s="1520"/>
      <c r="R119" s="1961">
        <v>0</v>
      </c>
      <c r="S119" s="1115">
        <v>0</v>
      </c>
      <c r="T119" s="1115">
        <v>0</v>
      </c>
      <c r="U119" s="37"/>
      <c r="V119" s="37"/>
      <c r="W119" s="37"/>
      <c r="X119" s="73"/>
    </row>
    <row r="120" spans="1:24" s="20" customFormat="1" x14ac:dyDescent="0.2">
      <c r="A120" s="914">
        <v>311</v>
      </c>
      <c r="B120" s="914"/>
      <c r="C120" s="914" t="s">
        <v>673</v>
      </c>
      <c r="D120" s="1115"/>
      <c r="E120" s="1115"/>
      <c r="F120" s="1115"/>
      <c r="G120" s="1597"/>
      <c r="H120" s="1115"/>
      <c r="I120" s="1115"/>
      <c r="J120" s="1115">
        <v>0</v>
      </c>
      <c r="K120" s="1115">
        <v>0</v>
      </c>
      <c r="L120" s="1520">
        <v>0</v>
      </c>
      <c r="M120" s="1115">
        <v>0</v>
      </c>
      <c r="N120" s="1115">
        <v>0</v>
      </c>
      <c r="O120" s="1806">
        <v>0</v>
      </c>
      <c r="P120" s="1520">
        <v>0</v>
      </c>
      <c r="Q120" s="1520">
        <v>1000</v>
      </c>
      <c r="R120" s="1961">
        <v>0</v>
      </c>
      <c r="S120" s="1115">
        <v>0</v>
      </c>
      <c r="T120" s="1115">
        <v>0</v>
      </c>
      <c r="U120" s="74"/>
      <c r="V120" s="74"/>
      <c r="W120" s="37"/>
    </row>
    <row r="121" spans="1:24" s="20" customFormat="1" x14ac:dyDescent="0.2">
      <c r="A121" s="2293" t="s">
        <v>141</v>
      </c>
      <c r="B121" s="2293"/>
      <c r="C121" s="2293"/>
      <c r="D121" s="1736"/>
      <c r="E121" s="1736"/>
      <c r="F121" s="1736"/>
      <c r="G121" s="1736"/>
      <c r="H121" s="1736"/>
      <c r="I121" s="1736"/>
      <c r="J121" s="1736">
        <f>J84+J117</f>
        <v>100175.19</v>
      </c>
      <c r="K121" s="1736">
        <f>K117+K84</f>
        <v>134665</v>
      </c>
      <c r="L121" s="1736">
        <f>L84+L117</f>
        <v>184787</v>
      </c>
      <c r="M121" s="1736">
        <f>M84+M117</f>
        <v>125714</v>
      </c>
      <c r="N121" s="1736">
        <f t="shared" ref="N121:T121" si="9">SUM(N84,N117)</f>
        <v>116400</v>
      </c>
      <c r="O121" s="1737">
        <f>O117+O84</f>
        <v>260096.21000000002</v>
      </c>
      <c r="P121" s="1739">
        <f>SUM(P84,P117)</f>
        <v>178950</v>
      </c>
      <c r="Q121" s="1739">
        <f>SUM(Q84,Q117)</f>
        <v>217903.08000000002</v>
      </c>
      <c r="R121" s="1736">
        <f t="shared" si="9"/>
        <v>185250</v>
      </c>
      <c r="S121" s="1736">
        <f t="shared" si="9"/>
        <v>190450</v>
      </c>
      <c r="T121" s="1736">
        <f t="shared" si="9"/>
        <v>190450</v>
      </c>
      <c r="U121" s="56"/>
      <c r="V121" s="56"/>
      <c r="W121" s="56"/>
    </row>
    <row r="122" spans="1:24" s="17" customFormat="1" x14ac:dyDescent="0.2">
      <c r="A122" s="1668" t="s">
        <v>142</v>
      </c>
      <c r="B122" s="1668"/>
      <c r="C122" s="1668"/>
      <c r="D122" s="1670"/>
      <c r="E122" s="1670"/>
      <c r="F122" s="1670"/>
      <c r="G122" s="1670"/>
      <c r="H122" s="1670"/>
      <c r="I122" s="1670"/>
      <c r="J122" s="1670">
        <f>J32+J69+J121</f>
        <v>1379071.67</v>
      </c>
      <c r="K122" s="1670">
        <f>SUM(K32,K121,K69)</f>
        <v>1575644</v>
      </c>
      <c r="L122" s="1670">
        <f>L32+L69+L121</f>
        <v>1587130</v>
      </c>
      <c r="M122" s="1670">
        <f>M32+M69+M121</f>
        <v>1610786</v>
      </c>
      <c r="N122" s="1670">
        <f>SUM(N32,N69,N121)</f>
        <v>1621629</v>
      </c>
      <c r="O122" s="1841">
        <f>O121+O69+O32</f>
        <v>1879494.78</v>
      </c>
      <c r="P122" s="1755">
        <f>SUM(P32,P69,P121)</f>
        <v>1763829</v>
      </c>
      <c r="Q122" s="1755">
        <f>Q121+Q69+Q32</f>
        <v>1796470.08</v>
      </c>
      <c r="R122" s="1670">
        <f>SUM(R32,R69,R121)</f>
        <v>1584419</v>
      </c>
      <c r="S122" s="1670">
        <f>SUM(S32,S69,S121)</f>
        <v>1710543</v>
      </c>
      <c r="T122" s="1670">
        <f>SUM(T32,T69,T121)</f>
        <v>1765383</v>
      </c>
      <c r="U122" s="34"/>
      <c r="V122" s="34"/>
      <c r="W122" s="34"/>
    </row>
    <row r="123" spans="1:24" ht="12.75" customHeight="1" x14ac:dyDescent="0.2">
      <c r="M123" s="77"/>
      <c r="P123" s="1326"/>
      <c r="Q123" s="1326"/>
    </row>
    <row r="124" spans="1:24" ht="45" hidden="1" customHeight="1" x14ac:dyDescent="0.2">
      <c r="P124" s="1326"/>
      <c r="Q124" s="1326"/>
    </row>
    <row r="125" spans="1:24" ht="45" hidden="1" customHeight="1" x14ac:dyDescent="0.2">
      <c r="P125" s="1326"/>
      <c r="Q125" s="1326"/>
    </row>
    <row r="126" spans="1:24" ht="45" hidden="1" customHeight="1" x14ac:dyDescent="0.2">
      <c r="P126" s="1326"/>
      <c r="Q126" s="1326"/>
    </row>
    <row r="127" spans="1:24" ht="45" hidden="1" customHeight="1" x14ac:dyDescent="0.2">
      <c r="P127" s="1326"/>
      <c r="Q127" s="1326"/>
    </row>
    <row r="128" spans="1:24" ht="45" hidden="1" customHeight="1" x14ac:dyDescent="0.2">
      <c r="P128" s="1326"/>
      <c r="Q128" s="1326"/>
    </row>
    <row r="129" spans="1:42" ht="45" hidden="1" customHeight="1" x14ac:dyDescent="0.2">
      <c r="P129" s="1326"/>
      <c r="Q129" s="1326"/>
    </row>
    <row r="130" spans="1:42" ht="12.75" customHeight="1" x14ac:dyDescent="0.2">
      <c r="C130" s="464" t="s">
        <v>77</v>
      </c>
      <c r="P130" s="1326"/>
      <c r="Q130" s="1326"/>
    </row>
    <row r="131" spans="1:42" ht="12.75" customHeight="1" x14ac:dyDescent="0.25">
      <c r="M131" s="2296" t="s">
        <v>105</v>
      </c>
      <c r="N131" s="2296"/>
      <c r="O131" s="2296"/>
      <c r="P131" s="2296"/>
      <c r="Q131" s="2296"/>
      <c r="R131" s="2296"/>
      <c r="S131" s="2296"/>
      <c r="T131" s="1695"/>
      <c r="U131" s="25"/>
      <c r="V131" s="25"/>
      <c r="W131" s="25"/>
    </row>
    <row r="132" spans="1:42" ht="45" hidden="1" customHeight="1" thickBot="1" x14ac:dyDescent="0.25"/>
    <row r="133" spans="1:42" s="20" customFormat="1" ht="23.25" customHeight="1" x14ac:dyDescent="0.2">
      <c r="A133" s="1716" t="s">
        <v>77</v>
      </c>
      <c r="B133" s="1756"/>
      <c r="C133" s="1718"/>
      <c r="D133" s="1757" t="s">
        <v>143</v>
      </c>
      <c r="E133" s="1758" t="s">
        <v>144</v>
      </c>
      <c r="F133" s="1757" t="s">
        <v>143</v>
      </c>
      <c r="G133" s="1758" t="s">
        <v>144</v>
      </c>
      <c r="H133" s="1757" t="s">
        <v>143</v>
      </c>
      <c r="I133" s="1758" t="s">
        <v>144</v>
      </c>
      <c r="J133" s="1748">
        <v>2018</v>
      </c>
      <c r="K133" s="1547" t="s">
        <v>884</v>
      </c>
      <c r="L133" s="1547">
        <v>2021</v>
      </c>
      <c r="M133" s="1721">
        <v>2022</v>
      </c>
      <c r="N133" s="1722">
        <v>2023</v>
      </c>
      <c r="O133" s="1915" t="s">
        <v>983</v>
      </c>
      <c r="P133" s="1723">
        <v>2024</v>
      </c>
      <c r="Q133" s="1723" t="s">
        <v>984</v>
      </c>
      <c r="R133" s="1724">
        <v>2025</v>
      </c>
      <c r="S133" s="1724">
        <v>2026</v>
      </c>
      <c r="T133" s="1724">
        <v>2027</v>
      </c>
      <c r="U133" s="29"/>
      <c r="V133" s="29"/>
      <c r="W133" s="30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 s="1164"/>
    </row>
    <row r="134" spans="1:42" x14ac:dyDescent="0.2">
      <c r="A134" s="1074">
        <v>231</v>
      </c>
      <c r="B134" s="1074"/>
      <c r="C134" s="1113" t="s">
        <v>145</v>
      </c>
      <c r="D134" s="1099">
        <v>0</v>
      </c>
      <c r="E134" s="1099"/>
      <c r="F134" s="1099">
        <v>0</v>
      </c>
      <c r="G134" s="1099"/>
      <c r="H134" s="1099">
        <v>0</v>
      </c>
      <c r="I134" s="1099"/>
      <c r="J134" s="1070">
        <v>0</v>
      </c>
      <c r="K134" s="1070">
        <v>0</v>
      </c>
      <c r="L134" s="1520">
        <v>2500</v>
      </c>
      <c r="M134" s="1275">
        <v>0</v>
      </c>
      <c r="N134" s="1071">
        <v>0</v>
      </c>
      <c r="O134" s="1812">
        <v>0</v>
      </c>
      <c r="P134" s="1520">
        <v>0</v>
      </c>
      <c r="Q134" s="1520">
        <v>900</v>
      </c>
      <c r="R134" s="1961">
        <v>0</v>
      </c>
      <c r="S134" s="1070">
        <v>0</v>
      </c>
      <c r="T134" s="1070">
        <v>0</v>
      </c>
      <c r="U134" s="76"/>
      <c r="V134" s="76"/>
      <c r="W134" s="76"/>
      <c r="X134" s="1153"/>
      <c r="Y134" s="1153"/>
      <c r="Z134" s="1153"/>
      <c r="AA134" s="1160"/>
      <c r="AB134" s="1160"/>
      <c r="AC134" s="1160"/>
      <c r="AD134"/>
      <c r="AE134" s="1160"/>
      <c r="AF134"/>
      <c r="AG134" s="1145"/>
      <c r="AH134" s="1160"/>
      <c r="AI134" s="1160"/>
      <c r="AJ134" s="1145"/>
      <c r="AK134"/>
      <c r="AL134"/>
      <c r="AM134"/>
      <c r="AN134" s="1145"/>
      <c r="AO134" s="1145"/>
      <c r="AP134" s="1164"/>
    </row>
    <row r="135" spans="1:42" x14ac:dyDescent="0.2">
      <c r="A135" s="1074">
        <v>233</v>
      </c>
      <c r="B135" s="1074"/>
      <c r="C135" s="1113" t="s">
        <v>146</v>
      </c>
      <c r="D135" s="1099">
        <v>3000</v>
      </c>
      <c r="E135" s="1099"/>
      <c r="F135" s="1099">
        <v>3000</v>
      </c>
      <c r="G135" s="1099"/>
      <c r="H135" s="1099">
        <v>3000</v>
      </c>
      <c r="I135" s="1099"/>
      <c r="J135" s="1070">
        <v>10196.799999999999</v>
      </c>
      <c r="K135" s="1070">
        <v>11590</v>
      </c>
      <c r="L135" s="1520">
        <v>48769</v>
      </c>
      <c r="M135" s="1275">
        <v>23000</v>
      </c>
      <c r="N135" s="1071">
        <v>50000</v>
      </c>
      <c r="O135" s="1896">
        <v>6716</v>
      </c>
      <c r="P135" s="1520">
        <v>50000</v>
      </c>
      <c r="Q135" s="1520">
        <v>22244</v>
      </c>
      <c r="R135" s="1953">
        <v>280000</v>
      </c>
      <c r="S135" s="1070">
        <v>0</v>
      </c>
      <c r="T135" s="1070">
        <v>0</v>
      </c>
      <c r="U135" s="76"/>
      <c r="V135" s="76"/>
      <c r="W135" s="76"/>
      <c r="X135" s="1153"/>
      <c r="Y135" s="1153"/>
      <c r="Z135" s="1153"/>
      <c r="AA135" s="1160"/>
      <c r="AB135" s="1160"/>
      <c r="AC135" s="1160"/>
      <c r="AD135"/>
      <c r="AE135" s="1160"/>
      <c r="AF135" s="1160"/>
      <c r="AG135" s="1160"/>
      <c r="AH135" s="1160"/>
      <c r="AI135" s="1160"/>
      <c r="AJ135" s="1160"/>
      <c r="AK135"/>
      <c r="AL135"/>
      <c r="AM135"/>
      <c r="AN135" s="1160"/>
      <c r="AO135" s="1160"/>
      <c r="AP135" s="1164"/>
    </row>
    <row r="136" spans="1:42" x14ac:dyDescent="0.2">
      <c r="A136" s="2293" t="s">
        <v>130</v>
      </c>
      <c r="B136" s="2293"/>
      <c r="C136" s="2293"/>
      <c r="D136" s="1759">
        <f>SUM(D134,D135)</f>
        <v>3000</v>
      </c>
      <c r="E136" s="1759">
        <f>E134+E135</f>
        <v>0</v>
      </c>
      <c r="F136" s="1759">
        <f>SUM(F134,F135)</f>
        <v>3000</v>
      </c>
      <c r="G136" s="1759">
        <f>G134+G135</f>
        <v>0</v>
      </c>
      <c r="H136" s="1759">
        <f>SUM(H134,H135)</f>
        <v>3000</v>
      </c>
      <c r="I136" s="1759">
        <f>I134+I135</f>
        <v>0</v>
      </c>
      <c r="J136" s="1554">
        <f>J134+J135</f>
        <v>10196.799999999999</v>
      </c>
      <c r="K136" s="1554">
        <f>SUM(K134,K135)</f>
        <v>11590</v>
      </c>
      <c r="L136" s="1554">
        <f t="shared" ref="L136:S136" si="10">L134+L135</f>
        <v>51269</v>
      </c>
      <c r="M136" s="1554">
        <f t="shared" si="10"/>
        <v>23000</v>
      </c>
      <c r="N136" s="1554">
        <f t="shared" si="10"/>
        <v>50000</v>
      </c>
      <c r="O136" s="1759">
        <f t="shared" si="10"/>
        <v>6716</v>
      </c>
      <c r="P136" s="1739">
        <f>P134+P135</f>
        <v>50000</v>
      </c>
      <c r="Q136" s="1739">
        <f>Q135+Q134</f>
        <v>23144</v>
      </c>
      <c r="R136" s="1554">
        <f t="shared" si="10"/>
        <v>280000</v>
      </c>
      <c r="S136" s="1554">
        <f t="shared" si="10"/>
        <v>0</v>
      </c>
      <c r="T136" s="1554">
        <f t="shared" ref="T136" si="11">T134+T135</f>
        <v>0</v>
      </c>
      <c r="U136" s="78"/>
      <c r="V136" s="78"/>
      <c r="W136" s="78"/>
      <c r="X136" s="1153"/>
      <c r="Y136" s="1153"/>
      <c r="Z136" s="1153"/>
      <c r="AA136" s="1160"/>
      <c r="AB136" s="1160"/>
      <c r="AC136" s="1160"/>
      <c r="AD136"/>
      <c r="AE136" s="1160"/>
      <c r="AF136" s="1160"/>
      <c r="AG136" s="1160"/>
      <c r="AH136" s="1160"/>
      <c r="AI136" s="1160"/>
      <c r="AJ136" s="1160"/>
      <c r="AK136" s="1160"/>
      <c r="AL136" s="1160"/>
      <c r="AM136" s="1160"/>
      <c r="AN136" s="1160"/>
      <c r="AO136" s="1160"/>
      <c r="AP136" s="1164"/>
    </row>
    <row r="137" spans="1:4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 s="1872"/>
      <c r="P137" s="1327"/>
      <c r="Q137" s="1327"/>
      <c r="R137"/>
      <c r="S137"/>
      <c r="T137" s="1799"/>
      <c r="U137" s="78"/>
      <c r="V137" s="78"/>
      <c r="W137" s="78"/>
      <c r="X137" s="1153"/>
      <c r="Y137" s="1153"/>
      <c r="Z137" s="1153"/>
      <c r="AA137" s="1160"/>
      <c r="AB137" s="1160"/>
      <c r="AC137" s="1160"/>
      <c r="AD137"/>
      <c r="AE137" s="1160"/>
      <c r="AF137" s="1160"/>
      <c r="AG137" s="1160"/>
      <c r="AH137" s="1160"/>
      <c r="AI137" s="1160"/>
      <c r="AJ137" s="1160"/>
      <c r="AK137" s="1160"/>
      <c r="AL137" s="1160"/>
      <c r="AM137" s="1160"/>
      <c r="AN137" s="1160"/>
      <c r="AO137" s="1160"/>
      <c r="AP137" s="1164"/>
    </row>
    <row r="138" spans="1:42" x14ac:dyDescent="0.2">
      <c r="A138" s="1760" t="s">
        <v>140</v>
      </c>
      <c r="B138" s="1760"/>
      <c r="C138" s="1760"/>
      <c r="D138" s="1760"/>
      <c r="E138" s="1760"/>
      <c r="F138" s="1760"/>
      <c r="G138" s="1760"/>
      <c r="H138" s="1760"/>
      <c r="I138" s="1760"/>
      <c r="J138" s="1761">
        <v>2018</v>
      </c>
      <c r="K138" s="1547" t="s">
        <v>884</v>
      </c>
      <c r="L138" s="1547">
        <v>2021</v>
      </c>
      <c r="M138" s="1762">
        <v>2022</v>
      </c>
      <c r="N138" s="1763">
        <v>2023</v>
      </c>
      <c r="O138" s="1915" t="s">
        <v>983</v>
      </c>
      <c r="P138" s="1723">
        <v>2024</v>
      </c>
      <c r="Q138" s="1723" t="s">
        <v>984</v>
      </c>
      <c r="R138" s="1724">
        <v>2025</v>
      </c>
      <c r="S138" s="1724">
        <v>2026</v>
      </c>
      <c r="T138" s="1724">
        <v>2027</v>
      </c>
      <c r="U138" s="78"/>
      <c r="V138" s="78"/>
      <c r="W138" s="78"/>
      <c r="X138" s="1153"/>
      <c r="Y138" s="1153"/>
      <c r="Z138" s="1153"/>
      <c r="AA138" s="1160"/>
      <c r="AB138" s="1160"/>
      <c r="AC138" s="1160"/>
      <c r="AD138"/>
      <c r="AE138" s="1160"/>
      <c r="AF138" s="1160"/>
      <c r="AG138" s="1160"/>
      <c r="AH138" s="1160"/>
      <c r="AI138" s="1160"/>
      <c r="AJ138" s="1160"/>
      <c r="AK138" s="1160"/>
      <c r="AL138" s="1160"/>
      <c r="AM138" s="1160"/>
      <c r="AN138" s="1160"/>
      <c r="AO138" s="1160"/>
      <c r="AP138" s="1164"/>
    </row>
    <row r="139" spans="1:42" x14ac:dyDescent="0.2">
      <c r="A139" s="1709">
        <v>321</v>
      </c>
      <c r="B139" s="1709"/>
      <c r="C139" s="1709" t="s">
        <v>849</v>
      </c>
      <c r="D139" s="1323"/>
      <c r="E139" s="1323"/>
      <c r="F139" s="1323"/>
      <c r="G139" s="1323"/>
      <c r="H139" s="1323"/>
      <c r="I139" s="1323"/>
      <c r="J139" s="1323"/>
      <c r="K139" s="1323"/>
      <c r="L139" s="1709">
        <v>1800</v>
      </c>
      <c r="M139" s="1323"/>
      <c r="N139" s="1323"/>
      <c r="O139" s="1812">
        <v>0</v>
      </c>
      <c r="P139" s="1520">
        <v>0</v>
      </c>
      <c r="Q139" s="1520"/>
      <c r="R139" s="1962"/>
      <c r="S139" s="1323"/>
      <c r="T139" s="1323"/>
      <c r="U139" s="78"/>
      <c r="V139" s="78"/>
      <c r="W139" s="78"/>
      <c r="X139" s="1153"/>
      <c r="Y139" s="1153"/>
      <c r="Z139" s="1153"/>
      <c r="AA139" s="1160"/>
      <c r="AB139" s="1160"/>
      <c r="AC139" s="1160"/>
      <c r="AD139"/>
      <c r="AE139" s="1160"/>
      <c r="AF139" s="1160"/>
      <c r="AG139" s="1160"/>
      <c r="AH139" s="1160"/>
      <c r="AI139" s="1160"/>
      <c r="AJ139" s="1160"/>
      <c r="AK139" s="1160"/>
      <c r="AL139" s="1160"/>
      <c r="AM139" s="1160"/>
      <c r="AN139" s="1160"/>
      <c r="AO139" s="1160"/>
      <c r="AP139" s="1164"/>
    </row>
    <row r="140" spans="1:42" x14ac:dyDescent="0.2">
      <c r="A140" s="1323"/>
      <c r="B140" s="1323"/>
      <c r="C140" s="1323"/>
      <c r="D140" s="1323"/>
      <c r="E140" s="1323"/>
      <c r="F140" s="1323"/>
      <c r="G140" s="1323"/>
      <c r="H140" s="1323"/>
      <c r="I140" s="1323"/>
      <c r="J140" s="1323"/>
      <c r="K140" s="1323"/>
      <c r="L140" s="1323"/>
      <c r="M140" s="1323"/>
      <c r="N140" s="1323"/>
      <c r="O140" s="1812"/>
      <c r="P140" s="1520"/>
      <c r="Q140" s="1520"/>
      <c r="R140" s="1962"/>
      <c r="S140" s="1323"/>
      <c r="T140" s="1323"/>
      <c r="U140" s="78"/>
      <c r="V140" s="78"/>
      <c r="W140" s="78"/>
      <c r="X140" s="1153"/>
      <c r="Y140" s="1153"/>
      <c r="Z140" s="1153"/>
      <c r="AA140" s="1160"/>
      <c r="AB140" s="1160"/>
      <c r="AC140" s="1160"/>
      <c r="AD140"/>
      <c r="AE140" s="1160"/>
      <c r="AF140" s="1160"/>
      <c r="AG140" s="1160"/>
      <c r="AH140" s="1160"/>
      <c r="AI140" s="1160"/>
      <c r="AJ140" s="1160"/>
      <c r="AK140" s="1160"/>
      <c r="AL140" s="1160"/>
      <c r="AM140" s="1160"/>
      <c r="AN140" s="1160"/>
      <c r="AO140" s="1160"/>
      <c r="AP140" s="1164"/>
    </row>
    <row r="141" spans="1:42" hidden="1" x14ac:dyDescent="0.2">
      <c r="A141" s="1323"/>
      <c r="B141" s="1323"/>
      <c r="C141" s="1323"/>
      <c r="D141" s="1323"/>
      <c r="E141" s="1323"/>
      <c r="F141" s="1323"/>
      <c r="G141" s="1323"/>
      <c r="H141" s="1323"/>
      <c r="I141" s="1323"/>
      <c r="J141" s="1323"/>
      <c r="K141" s="1323"/>
      <c r="L141" s="1323"/>
      <c r="M141" s="1323"/>
      <c r="N141" s="1323"/>
      <c r="O141" s="1812"/>
      <c r="P141" s="1734"/>
      <c r="Q141" s="1734"/>
      <c r="R141" s="1323"/>
      <c r="S141" s="1323"/>
      <c r="T141" s="1323"/>
      <c r="U141" s="78"/>
      <c r="V141" s="78"/>
      <c r="W141" s="78"/>
      <c r="X141" s="1153"/>
      <c r="Y141" s="1153"/>
      <c r="Z141" s="1153"/>
      <c r="AA141" s="1160"/>
      <c r="AB141" s="1160"/>
      <c r="AC141" s="1160"/>
      <c r="AD141"/>
      <c r="AE141" s="1160"/>
      <c r="AF141" s="1160"/>
      <c r="AG141" s="1160"/>
      <c r="AH141" s="1160"/>
      <c r="AI141" s="1160"/>
      <c r="AJ141" s="1160"/>
      <c r="AK141" s="1160"/>
      <c r="AL141" s="1160"/>
      <c r="AM141" s="1160"/>
      <c r="AN141" s="1160"/>
      <c r="AO141" s="1160"/>
      <c r="AP141" s="1164"/>
    </row>
    <row r="142" spans="1:42" x14ac:dyDescent="0.2">
      <c r="A142" s="1764" t="s">
        <v>141</v>
      </c>
      <c r="B142" s="1764"/>
      <c r="C142" s="1764"/>
      <c r="D142" s="1764"/>
      <c r="E142" s="1764"/>
      <c r="F142" s="1764"/>
      <c r="G142" s="1764"/>
      <c r="H142" s="1764"/>
      <c r="I142" s="1764"/>
      <c r="J142" s="1764"/>
      <c r="K142" s="1764"/>
      <c r="L142" s="1765">
        <f>SUM(L139:L141)</f>
        <v>1800</v>
      </c>
      <c r="M142" s="1764"/>
      <c r="N142" s="1764"/>
      <c r="O142" s="1873">
        <f>SUM(O139:O141)</f>
        <v>0</v>
      </c>
      <c r="P142" s="1766">
        <f>P139</f>
        <v>0</v>
      </c>
      <c r="Q142" s="1766"/>
      <c r="R142" s="1764"/>
      <c r="S142" s="1764"/>
      <c r="T142" s="1764"/>
      <c r="U142" s="78"/>
      <c r="V142" s="78"/>
      <c r="W142" s="78"/>
      <c r="X142" s="1153"/>
      <c r="Y142" s="1153"/>
      <c r="Z142" s="1153"/>
      <c r="AA142" s="1160"/>
      <c r="AB142" s="1160"/>
      <c r="AC142" s="1160"/>
      <c r="AD142"/>
      <c r="AE142" s="1160"/>
      <c r="AF142" s="1160"/>
      <c r="AG142" s="1160"/>
      <c r="AH142" s="1160"/>
      <c r="AI142" s="1160"/>
      <c r="AJ142" s="1160"/>
      <c r="AK142" s="1160"/>
      <c r="AL142" s="1160"/>
      <c r="AM142" s="1160"/>
      <c r="AN142" s="1160"/>
      <c r="AO142" s="1160"/>
      <c r="AP142" s="1164"/>
    </row>
    <row r="143" spans="1:42" ht="15.75" customHeight="1" x14ac:dyDescent="0.2">
      <c r="A143" s="41"/>
      <c r="B143" s="41"/>
      <c r="C143" s="79"/>
      <c r="D143" s="42"/>
      <c r="E143" s="42"/>
      <c r="F143" s="42"/>
      <c r="G143" s="44"/>
      <c r="H143" s="42"/>
      <c r="I143" s="42"/>
      <c r="J143" s="42"/>
      <c r="K143" s="42"/>
      <c r="L143" s="42"/>
      <c r="M143" s="52"/>
      <c r="P143" s="1326"/>
      <c r="Q143" s="1326"/>
      <c r="X143" s="2299"/>
      <c r="Y143" s="2299"/>
      <c r="Z143" s="2299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s="1164"/>
    </row>
    <row r="144" spans="1:42" ht="15.75" x14ac:dyDescent="0.25">
      <c r="A144" s="41"/>
      <c r="B144" s="41"/>
      <c r="C144" s="79"/>
      <c r="D144" s="42"/>
      <c r="E144" s="42"/>
      <c r="F144" s="42"/>
      <c r="G144" s="44"/>
      <c r="H144" s="42"/>
      <c r="I144" s="42"/>
      <c r="J144" s="42"/>
      <c r="K144" s="42"/>
      <c r="L144" s="42"/>
      <c r="M144" s="2296" t="s">
        <v>131</v>
      </c>
      <c r="N144" s="2296"/>
      <c r="O144" s="2296"/>
      <c r="P144" s="2296"/>
      <c r="Q144" s="2296"/>
      <c r="R144" s="2296"/>
      <c r="S144" s="2296"/>
      <c r="T144" s="1695"/>
      <c r="U144" s="25"/>
      <c r="V144" s="25"/>
      <c r="W144" s="25"/>
    </row>
    <row r="145" spans="1:25" ht="13.5" hidden="1" thickBot="1" x14ac:dyDescent="0.25">
      <c r="A145" s="41"/>
      <c r="B145" s="41"/>
      <c r="C145" s="79"/>
      <c r="D145" s="42"/>
      <c r="E145" s="42"/>
      <c r="F145" s="42"/>
      <c r="G145" s="44"/>
      <c r="H145" s="42"/>
      <c r="I145" s="42"/>
      <c r="J145" s="42"/>
      <c r="K145" s="42"/>
      <c r="L145" s="42"/>
      <c r="M145" s="52"/>
    </row>
    <row r="146" spans="1:25" ht="23.25" customHeight="1" x14ac:dyDescent="0.2">
      <c r="A146" s="1716" t="s">
        <v>77</v>
      </c>
      <c r="B146" s="1756"/>
      <c r="C146" s="1718"/>
      <c r="D146" s="1757" t="s">
        <v>143</v>
      </c>
      <c r="E146" s="1758" t="s">
        <v>144</v>
      </c>
      <c r="F146" s="1757" t="s">
        <v>143</v>
      </c>
      <c r="G146" s="1758" t="s">
        <v>144</v>
      </c>
      <c r="H146" s="1757" t="s">
        <v>143</v>
      </c>
      <c r="I146" s="1758" t="s">
        <v>144</v>
      </c>
      <c r="J146" s="1748">
        <v>2018</v>
      </c>
      <c r="K146" s="1547" t="s">
        <v>884</v>
      </c>
      <c r="L146" s="1547">
        <v>2021</v>
      </c>
      <c r="M146" s="1721">
        <v>2022</v>
      </c>
      <c r="N146" s="1722">
        <v>2023</v>
      </c>
      <c r="O146" s="1915" t="s">
        <v>983</v>
      </c>
      <c r="P146" s="1723">
        <v>2024</v>
      </c>
      <c r="Q146" s="1723" t="s">
        <v>984</v>
      </c>
      <c r="R146" s="1724">
        <v>2025</v>
      </c>
      <c r="S146" s="1724">
        <v>2026</v>
      </c>
      <c r="T146" s="1724">
        <v>2027</v>
      </c>
      <c r="U146" s="54"/>
      <c r="V146" s="54"/>
      <c r="W146" s="55"/>
    </row>
    <row r="147" spans="1:25" x14ac:dyDescent="0.2">
      <c r="A147" s="1074">
        <v>322</v>
      </c>
      <c r="B147" s="1074"/>
      <c r="C147" s="1113" t="s">
        <v>759</v>
      </c>
      <c r="D147" s="1099">
        <v>0</v>
      </c>
      <c r="E147" s="1099">
        <v>0</v>
      </c>
      <c r="F147" s="1099">
        <v>0</v>
      </c>
      <c r="G147" s="1099">
        <v>0</v>
      </c>
      <c r="H147" s="1099">
        <v>0</v>
      </c>
      <c r="I147" s="1099">
        <v>0</v>
      </c>
      <c r="J147" s="1070">
        <v>155941.22</v>
      </c>
      <c r="K147" s="1273">
        <v>0</v>
      </c>
      <c r="L147" s="1520">
        <v>0</v>
      </c>
      <c r="M147" s="1520">
        <v>0</v>
      </c>
      <c r="N147" s="1273">
        <v>0</v>
      </c>
      <c r="O147" s="1812">
        <v>0</v>
      </c>
      <c r="P147" s="1520">
        <v>0</v>
      </c>
      <c r="Q147" s="1520"/>
      <c r="R147" s="1970">
        <v>0</v>
      </c>
      <c r="S147" s="1070">
        <v>0</v>
      </c>
      <c r="T147" s="1070">
        <v>0</v>
      </c>
      <c r="U147" s="76"/>
      <c r="V147" s="76"/>
      <c r="W147" s="76"/>
    </row>
    <row r="148" spans="1:25" hidden="1" x14ac:dyDescent="0.2">
      <c r="A148" s="1074">
        <v>322</v>
      </c>
      <c r="B148" s="1074"/>
      <c r="C148" s="1113" t="s">
        <v>682</v>
      </c>
      <c r="D148" s="1099">
        <v>0</v>
      </c>
      <c r="E148" s="1099">
        <v>0</v>
      </c>
      <c r="F148" s="1099">
        <v>0</v>
      </c>
      <c r="G148" s="1099">
        <v>0</v>
      </c>
      <c r="H148" s="1099">
        <v>0</v>
      </c>
      <c r="I148" s="1099">
        <v>0</v>
      </c>
      <c r="J148" s="1070">
        <v>2393188.44</v>
      </c>
      <c r="K148" s="1273">
        <v>2651080</v>
      </c>
      <c r="L148" s="1767">
        <v>1033074</v>
      </c>
      <c r="M148" s="1520">
        <v>0</v>
      </c>
      <c r="N148" s="1273">
        <v>0</v>
      </c>
      <c r="O148" s="1812">
        <v>0</v>
      </c>
      <c r="P148" s="1520">
        <v>0</v>
      </c>
      <c r="Q148" s="1520"/>
      <c r="R148" s="1970">
        <v>0</v>
      </c>
      <c r="S148" s="1070">
        <v>0</v>
      </c>
      <c r="T148" s="1070">
        <v>0</v>
      </c>
      <c r="U148" s="76"/>
      <c r="V148" s="76"/>
      <c r="W148" s="76"/>
      <c r="X148" s="80"/>
      <c r="Y148" s="81"/>
    </row>
    <row r="149" spans="1:25" x14ac:dyDescent="0.2">
      <c r="A149" s="1074">
        <v>322</v>
      </c>
      <c r="B149" s="1074"/>
      <c r="C149" s="1113" t="s">
        <v>812</v>
      </c>
      <c r="D149" s="1099">
        <v>0</v>
      </c>
      <c r="E149" s="1099">
        <v>0</v>
      </c>
      <c r="F149" s="1099">
        <v>0</v>
      </c>
      <c r="G149" s="1099">
        <v>0</v>
      </c>
      <c r="H149" s="1099">
        <v>0</v>
      </c>
      <c r="I149" s="1099">
        <v>0</v>
      </c>
      <c r="J149" s="1070">
        <v>0</v>
      </c>
      <c r="K149" s="1273">
        <v>0</v>
      </c>
      <c r="L149" s="1520"/>
      <c r="M149" s="1520">
        <v>0</v>
      </c>
      <c r="N149" s="1273">
        <v>0</v>
      </c>
      <c r="O149" s="1812">
        <v>13680</v>
      </c>
      <c r="P149" s="1520">
        <v>0</v>
      </c>
      <c r="Q149" s="1520"/>
      <c r="R149" s="1970">
        <v>0</v>
      </c>
      <c r="S149" s="1070">
        <v>0</v>
      </c>
      <c r="T149" s="1070">
        <v>0</v>
      </c>
      <c r="U149" s="76"/>
      <c r="V149" s="76"/>
      <c r="W149" s="76"/>
    </row>
    <row r="150" spans="1:25" hidden="1" x14ac:dyDescent="0.2">
      <c r="A150" s="1074">
        <v>322</v>
      </c>
      <c r="B150" s="1074"/>
      <c r="C150" s="1113" t="s">
        <v>758</v>
      </c>
      <c r="D150" s="1099">
        <v>179660.04</v>
      </c>
      <c r="E150" s="1099">
        <v>179660.04</v>
      </c>
      <c r="F150" s="1099">
        <v>179660.04</v>
      </c>
      <c r="G150" s="1099">
        <v>179660.04</v>
      </c>
      <c r="H150" s="1099">
        <v>179660.04</v>
      </c>
      <c r="I150" s="1099">
        <v>179660.04</v>
      </c>
      <c r="J150" s="1070">
        <v>0</v>
      </c>
      <c r="K150" s="1273">
        <v>284526</v>
      </c>
      <c r="L150" s="1520">
        <v>0</v>
      </c>
      <c r="M150" s="1520">
        <v>0</v>
      </c>
      <c r="N150" s="1273">
        <v>0</v>
      </c>
      <c r="O150" s="1812">
        <v>0</v>
      </c>
      <c r="P150" s="1520">
        <v>0</v>
      </c>
      <c r="Q150" s="1520"/>
      <c r="R150" s="1970">
        <v>0</v>
      </c>
      <c r="S150" s="1070">
        <v>0</v>
      </c>
      <c r="T150" s="1070">
        <v>0</v>
      </c>
      <c r="U150" s="76"/>
      <c r="V150" s="76"/>
      <c r="W150" s="76"/>
    </row>
    <row r="151" spans="1:25" x14ac:dyDescent="0.2">
      <c r="A151" s="1074">
        <v>332</v>
      </c>
      <c r="B151" s="1074"/>
      <c r="C151" s="1113" t="s">
        <v>881</v>
      </c>
      <c r="D151" s="1099">
        <v>200000</v>
      </c>
      <c r="E151" s="1099">
        <v>119317.84</v>
      </c>
      <c r="F151" s="1099">
        <v>200000</v>
      </c>
      <c r="G151" s="1099">
        <v>119317.84</v>
      </c>
      <c r="H151" s="1099">
        <v>200000</v>
      </c>
      <c r="I151" s="1099">
        <v>119317.84</v>
      </c>
      <c r="J151" s="1070">
        <v>10000</v>
      </c>
      <c r="K151" s="1273">
        <v>0</v>
      </c>
      <c r="L151" s="1520">
        <v>0</v>
      </c>
      <c r="M151" s="1520">
        <v>0</v>
      </c>
      <c r="N151" s="1273">
        <v>0</v>
      </c>
      <c r="O151" s="1812">
        <v>0</v>
      </c>
      <c r="P151" s="1520">
        <v>0</v>
      </c>
      <c r="Q151" s="1520"/>
      <c r="R151" s="1970">
        <v>0</v>
      </c>
      <c r="S151" s="1070">
        <v>0</v>
      </c>
      <c r="T151" s="1070">
        <v>0</v>
      </c>
      <c r="U151" s="76"/>
      <c r="V151" s="76"/>
      <c r="W151" s="76"/>
    </row>
    <row r="152" spans="1:25" x14ac:dyDescent="0.2">
      <c r="A152" s="1074">
        <v>332</v>
      </c>
      <c r="B152" s="1074"/>
      <c r="C152" s="1074" t="s">
        <v>1450</v>
      </c>
      <c r="D152" s="1099">
        <v>34114.85</v>
      </c>
      <c r="E152" s="1099">
        <v>34114.85</v>
      </c>
      <c r="F152" s="1099">
        <v>34114.85</v>
      </c>
      <c r="G152" s="1099">
        <v>34114.85</v>
      </c>
      <c r="H152" s="1099">
        <v>34114.85</v>
      </c>
      <c r="I152" s="1099">
        <v>34114.85</v>
      </c>
      <c r="J152" s="1070">
        <v>29961.11</v>
      </c>
      <c r="K152" s="1272">
        <v>11264</v>
      </c>
      <c r="L152" s="1520">
        <v>0</v>
      </c>
      <c r="M152" s="1520">
        <v>0</v>
      </c>
      <c r="N152" s="1272">
        <v>0</v>
      </c>
      <c r="O152" s="1812">
        <v>0</v>
      </c>
      <c r="P152" s="1520">
        <v>0</v>
      </c>
      <c r="Q152" s="1520"/>
      <c r="R152" s="1970">
        <v>285200</v>
      </c>
      <c r="S152" s="1070">
        <v>0</v>
      </c>
      <c r="T152" s="1070">
        <v>0</v>
      </c>
      <c r="U152" s="76"/>
      <c r="V152" s="76"/>
      <c r="W152" s="76"/>
    </row>
    <row r="153" spans="1:25" x14ac:dyDescent="0.2">
      <c r="A153" s="1074">
        <v>322</v>
      </c>
      <c r="B153" s="1074"/>
      <c r="C153" s="1074" t="s">
        <v>972</v>
      </c>
      <c r="D153" s="1099">
        <v>5000</v>
      </c>
      <c r="E153" s="1099">
        <v>5000</v>
      </c>
      <c r="F153" s="1099">
        <v>5000</v>
      </c>
      <c r="G153" s="1099">
        <v>5000</v>
      </c>
      <c r="H153" s="1099">
        <v>5000</v>
      </c>
      <c r="I153" s="1099">
        <v>5000</v>
      </c>
      <c r="J153" s="1070">
        <v>0</v>
      </c>
      <c r="K153" s="1272">
        <v>0</v>
      </c>
      <c r="L153" s="1520">
        <v>0</v>
      </c>
      <c r="M153" s="1520">
        <v>0</v>
      </c>
      <c r="N153" s="1272">
        <v>0</v>
      </c>
      <c r="O153" s="1896">
        <v>4989</v>
      </c>
      <c r="P153" s="1520">
        <v>5000</v>
      </c>
      <c r="Q153" s="1520">
        <v>5000</v>
      </c>
      <c r="R153" s="1970">
        <v>5000</v>
      </c>
      <c r="S153" s="1070">
        <v>5000</v>
      </c>
      <c r="T153" s="1070">
        <v>5000</v>
      </c>
      <c r="U153" s="76"/>
      <c r="V153" s="76"/>
      <c r="W153" s="76"/>
    </row>
    <row r="154" spans="1:25" x14ac:dyDescent="0.2">
      <c r="A154" s="1074">
        <v>332</v>
      </c>
      <c r="B154" s="1074"/>
      <c r="C154" s="1074" t="s">
        <v>877</v>
      </c>
      <c r="D154" s="1099">
        <v>0</v>
      </c>
      <c r="E154" s="1099"/>
      <c r="F154" s="1099">
        <v>0</v>
      </c>
      <c r="G154" s="1099"/>
      <c r="H154" s="1099">
        <v>0</v>
      </c>
      <c r="I154" s="1099"/>
      <c r="J154" s="1070">
        <v>0</v>
      </c>
      <c r="K154" s="1272">
        <v>12460</v>
      </c>
      <c r="L154" s="1520">
        <v>0</v>
      </c>
      <c r="M154" s="1520">
        <v>0</v>
      </c>
      <c r="N154" s="1272">
        <v>0</v>
      </c>
      <c r="O154" s="1812">
        <v>0</v>
      </c>
      <c r="P154" s="1520">
        <v>0</v>
      </c>
      <c r="Q154" s="1520"/>
      <c r="R154" s="1970">
        <v>0</v>
      </c>
      <c r="S154" s="1070">
        <v>0</v>
      </c>
      <c r="T154" s="1070">
        <v>0</v>
      </c>
      <c r="U154" s="76"/>
      <c r="V154" s="76"/>
      <c r="W154" s="76"/>
    </row>
    <row r="155" spans="1:25" x14ac:dyDescent="0.2">
      <c r="A155" s="1074">
        <v>332</v>
      </c>
      <c r="B155" s="1074"/>
      <c r="C155" s="1074" t="s">
        <v>769</v>
      </c>
      <c r="D155" s="1099">
        <v>49875</v>
      </c>
      <c r="E155" s="1099"/>
      <c r="F155" s="1099">
        <v>49875</v>
      </c>
      <c r="G155" s="1099"/>
      <c r="H155" s="1099">
        <v>49875</v>
      </c>
      <c r="I155" s="1099"/>
      <c r="J155" s="1070">
        <v>0</v>
      </c>
      <c r="K155" s="1272">
        <v>0</v>
      </c>
      <c r="L155" s="1520">
        <v>610000</v>
      </c>
      <c r="M155" s="1520">
        <v>0</v>
      </c>
      <c r="N155" s="1272">
        <v>0</v>
      </c>
      <c r="O155" s="1812">
        <v>0</v>
      </c>
      <c r="P155" s="1520">
        <v>0</v>
      </c>
      <c r="Q155" s="1520"/>
      <c r="R155" s="1970"/>
      <c r="S155" s="1071">
        <v>0</v>
      </c>
      <c r="T155" s="1071">
        <v>0</v>
      </c>
      <c r="U155" s="76"/>
      <c r="V155" s="76"/>
      <c r="W155" s="76"/>
    </row>
    <row r="156" spans="1:25" x14ac:dyDescent="0.2">
      <c r="A156" s="1074">
        <v>332</v>
      </c>
      <c r="B156" s="1074"/>
      <c r="C156" s="1074" t="s">
        <v>930</v>
      </c>
      <c r="D156" s="1099">
        <v>0</v>
      </c>
      <c r="E156" s="1099"/>
      <c r="F156" s="1099">
        <v>0</v>
      </c>
      <c r="G156" s="1099"/>
      <c r="H156" s="1099">
        <v>0</v>
      </c>
      <c r="I156" s="1099"/>
      <c r="J156" s="1070">
        <v>5000</v>
      </c>
      <c r="K156" s="1272">
        <v>0</v>
      </c>
      <c r="L156" s="1520">
        <v>0</v>
      </c>
      <c r="M156" s="1520">
        <v>0</v>
      </c>
      <c r="N156" s="1272">
        <v>27000</v>
      </c>
      <c r="O156" s="1812">
        <v>0</v>
      </c>
      <c r="P156" s="1520">
        <v>0</v>
      </c>
      <c r="Q156" s="1520"/>
      <c r="R156" s="1970">
        <v>0</v>
      </c>
      <c r="S156" s="1070">
        <v>0</v>
      </c>
      <c r="T156" s="1070">
        <v>0</v>
      </c>
      <c r="U156" s="76"/>
      <c r="V156" s="76"/>
      <c r="W156" s="76"/>
    </row>
    <row r="157" spans="1:25" x14ac:dyDescent="0.2">
      <c r="A157" s="1074">
        <v>239</v>
      </c>
      <c r="B157" s="1074" t="s">
        <v>94</v>
      </c>
      <c r="C157" s="1074" t="s">
        <v>147</v>
      </c>
      <c r="D157" s="1099"/>
      <c r="E157" s="1099"/>
      <c r="F157" s="1099"/>
      <c r="G157" s="1099"/>
      <c r="H157" s="1099"/>
      <c r="I157" s="1099"/>
      <c r="J157" s="1070">
        <v>0</v>
      </c>
      <c r="K157" s="1272">
        <v>0</v>
      </c>
      <c r="L157" s="1520">
        <v>0</v>
      </c>
      <c r="M157" s="1520">
        <v>0</v>
      </c>
      <c r="N157" s="1272">
        <v>0</v>
      </c>
      <c r="O157" s="1812">
        <v>0</v>
      </c>
      <c r="P157" s="1520">
        <v>0</v>
      </c>
      <c r="Q157" s="1520"/>
      <c r="R157" s="1970">
        <v>0</v>
      </c>
      <c r="S157" s="1070">
        <v>0</v>
      </c>
      <c r="T157" s="1070">
        <v>0</v>
      </c>
      <c r="U157" s="76"/>
      <c r="V157" s="76"/>
      <c r="W157" s="76"/>
    </row>
    <row r="158" spans="1:25" x14ac:dyDescent="0.2">
      <c r="A158" s="2293" t="s">
        <v>141</v>
      </c>
      <c r="B158" s="2293"/>
      <c r="C158" s="2293"/>
      <c r="D158" s="1759">
        <f>D150+D151+D152+D153+D155</f>
        <v>468649.89</v>
      </c>
      <c r="E158" s="1759">
        <f>SUM(E147:E157)</f>
        <v>338092.73</v>
      </c>
      <c r="F158" s="1759">
        <f>F150+F151+F152+F153+F155</f>
        <v>468649.89</v>
      </c>
      <c r="G158" s="1759">
        <f>SUM(G147:G157)</f>
        <v>338092.73</v>
      </c>
      <c r="H158" s="1759">
        <f>H150+H151+H152+H153+H155</f>
        <v>468649.89</v>
      </c>
      <c r="I158" s="1759">
        <f>SUM(I147:I157)</f>
        <v>338092.73</v>
      </c>
      <c r="J158" s="1554">
        <f>SUM(J147:J157)</f>
        <v>2594090.77</v>
      </c>
      <c r="K158" s="1554">
        <f>K150+K151+K152+K153+K155+K154+K157+K149+K156+K148+K147</f>
        <v>2959330</v>
      </c>
      <c r="L158" s="1554">
        <f>SUM(L147:L157)</f>
        <v>1643074</v>
      </c>
      <c r="M158" s="1554">
        <f>M147+M148+M149+M150+M151+M152+M153+M154+M155+M156+M157</f>
        <v>0</v>
      </c>
      <c r="N158" s="1736">
        <f>SUM(N147,N148,N149,N150,N151,N152,N153,N154,N155,N156,N157)</f>
        <v>27000</v>
      </c>
      <c r="O158" s="1737">
        <f>SUM(O147,O148,O149,O150,O151,O152,O153,O154,O155,O156,O157)</f>
        <v>18669</v>
      </c>
      <c r="P158" s="1739">
        <f>SUM(P147,P148,P149,P150,P151,P152,P153,P154,P155,P156,P157)</f>
        <v>5000</v>
      </c>
      <c r="Q158" s="1739">
        <f>SUM(Q147:Q157)</f>
        <v>5000</v>
      </c>
      <c r="R158" s="1736">
        <f>SUM(R147,R148,R149,R150,R151,R152,R153,R154,R155,R156,R157)</f>
        <v>290200</v>
      </c>
      <c r="S158" s="1554">
        <f>S147+S148+S149+S150+S151+S152+S153+S154+S155+S156+S157</f>
        <v>5000</v>
      </c>
      <c r="T158" s="1554">
        <f>T147+T148+T149+T150+T151+T152+T153+T154+T155+T156+T157</f>
        <v>5000</v>
      </c>
      <c r="U158" s="78"/>
      <c r="V158" s="78"/>
      <c r="W158" s="78"/>
    </row>
    <row r="159" spans="1:25" x14ac:dyDescent="0.2">
      <c r="A159" s="1668" t="s">
        <v>148</v>
      </c>
      <c r="B159" s="1669"/>
      <c r="C159" s="1668"/>
      <c r="D159" s="1768">
        <f>SUM(D136,D158)</f>
        <v>471649.89</v>
      </c>
      <c r="E159" s="1768">
        <f>E158+E136</f>
        <v>338092.73</v>
      </c>
      <c r="F159" s="1768">
        <f>SUM(F136,F158)</f>
        <v>471649.89</v>
      </c>
      <c r="G159" s="1768">
        <f>G158+G136</f>
        <v>338092.73</v>
      </c>
      <c r="H159" s="1768">
        <f>SUM(H136,H158)</f>
        <v>471649.89</v>
      </c>
      <c r="I159" s="1768">
        <f>I158+I136</f>
        <v>338092.73</v>
      </c>
      <c r="J159" s="1682">
        <f>J136+J158</f>
        <v>2604287.5699999998</v>
      </c>
      <c r="K159" s="1682">
        <f>SUM(K136,K158)</f>
        <v>2970920</v>
      </c>
      <c r="L159" s="1682">
        <f>L136+L158+L142</f>
        <v>1696143</v>
      </c>
      <c r="M159" s="1682">
        <f>M136+M158</f>
        <v>23000</v>
      </c>
      <c r="N159" s="1670">
        <f>SUM(N136,N158)</f>
        <v>77000</v>
      </c>
      <c r="O159" s="1841">
        <f>SUM(O136,O158)+O142</f>
        <v>25385</v>
      </c>
      <c r="P159" s="1755">
        <f>SUM(P136,P158)+P142</f>
        <v>55000</v>
      </c>
      <c r="Q159" s="1755">
        <f>SUM(Q136,Q158)+Q142</f>
        <v>28144</v>
      </c>
      <c r="R159" s="1670">
        <f>SUM(R136,R158)</f>
        <v>570200</v>
      </c>
      <c r="S159" s="1682">
        <f>S136+S158</f>
        <v>5000</v>
      </c>
      <c r="T159" s="1682">
        <f>T136+T158</f>
        <v>5000</v>
      </c>
      <c r="U159" s="83"/>
      <c r="V159" s="83"/>
      <c r="W159" s="83"/>
    </row>
    <row r="160" spans="1:25" x14ac:dyDescent="0.2">
      <c r="P160" s="1326"/>
      <c r="Q160" s="1326"/>
    </row>
    <row r="161" spans="3:17" hidden="1" x14ac:dyDescent="0.2">
      <c r="P161" s="1326"/>
      <c r="Q161" s="1326"/>
    </row>
    <row r="162" spans="3:17" hidden="1" x14ac:dyDescent="0.2">
      <c r="P162" s="1326"/>
      <c r="Q162" s="1326"/>
    </row>
    <row r="163" spans="3:17" hidden="1" x14ac:dyDescent="0.2">
      <c r="P163" s="1326"/>
      <c r="Q163" s="1326"/>
    </row>
    <row r="164" spans="3:17" hidden="1" x14ac:dyDescent="0.2">
      <c r="P164" s="1326"/>
      <c r="Q164" s="1326"/>
    </row>
    <row r="165" spans="3:17" hidden="1" x14ac:dyDescent="0.2">
      <c r="P165" s="1326"/>
      <c r="Q165" s="1326"/>
    </row>
    <row r="166" spans="3:17" hidden="1" x14ac:dyDescent="0.2">
      <c r="P166" s="1326"/>
      <c r="Q166" s="1326"/>
    </row>
    <row r="167" spans="3:17" hidden="1" x14ac:dyDescent="0.2">
      <c r="P167" s="1326"/>
      <c r="Q167" s="1326"/>
    </row>
    <row r="168" spans="3:17" hidden="1" x14ac:dyDescent="0.2">
      <c r="P168" s="1326"/>
      <c r="Q168" s="1326"/>
    </row>
    <row r="169" spans="3:17" hidden="1" x14ac:dyDescent="0.2">
      <c r="P169" s="1326"/>
      <c r="Q169" s="1326"/>
    </row>
    <row r="170" spans="3:17" hidden="1" x14ac:dyDescent="0.2">
      <c r="P170" s="1326"/>
      <c r="Q170" s="1326"/>
    </row>
    <row r="171" spans="3:17" hidden="1" x14ac:dyDescent="0.2">
      <c r="P171" s="1326"/>
      <c r="Q171" s="1326"/>
    </row>
    <row r="172" spans="3:17" hidden="1" x14ac:dyDescent="0.2">
      <c r="P172" s="1326"/>
      <c r="Q172" s="1326"/>
    </row>
    <row r="173" spans="3:17" hidden="1" x14ac:dyDescent="0.2">
      <c r="P173" s="1326"/>
      <c r="Q173" s="1326"/>
    </row>
    <row r="174" spans="3:17" hidden="1" x14ac:dyDescent="0.2">
      <c r="P174" s="1326"/>
      <c r="Q174" s="1326"/>
    </row>
    <row r="175" spans="3:17" x14ac:dyDescent="0.2">
      <c r="P175" s="1326"/>
      <c r="Q175" s="1326"/>
    </row>
    <row r="176" spans="3:17" x14ac:dyDescent="0.2">
      <c r="C176" s="464" t="s">
        <v>82</v>
      </c>
      <c r="P176" s="1326"/>
      <c r="Q176" s="1326"/>
    </row>
    <row r="177" spans="1:23" ht="15.75" hidden="1" x14ac:dyDescent="0.25">
      <c r="C177" s="84"/>
    </row>
    <row r="178" spans="1:23" ht="15.75" x14ac:dyDescent="0.25">
      <c r="C178" s="84"/>
      <c r="H178" s="85" t="s">
        <v>149</v>
      </c>
      <c r="I178" s="85"/>
      <c r="J178" s="86"/>
      <c r="K178" s="86"/>
      <c r="L178" s="86"/>
      <c r="M178" s="2300" t="s">
        <v>149</v>
      </c>
      <c r="N178" s="2300"/>
      <c r="O178" s="2300"/>
      <c r="P178" s="2300"/>
      <c r="Q178" s="2300"/>
      <c r="R178" s="2300"/>
      <c r="S178" s="2300"/>
      <c r="T178" s="1696"/>
      <c r="U178" s="86"/>
      <c r="V178" s="86"/>
      <c r="W178" s="86"/>
    </row>
    <row r="179" spans="1:23" ht="13.5" hidden="1" thickBot="1" x14ac:dyDescent="0.25"/>
    <row r="180" spans="1:23" ht="23.25" customHeight="1" x14ac:dyDescent="0.2">
      <c r="A180" s="1716" t="s">
        <v>82</v>
      </c>
      <c r="B180" s="1756"/>
      <c r="C180" s="1718"/>
      <c r="D180" s="1757" t="s">
        <v>143</v>
      </c>
      <c r="E180" s="1758" t="s">
        <v>144</v>
      </c>
      <c r="F180" s="1757" t="s">
        <v>143</v>
      </c>
      <c r="G180" s="1758" t="s">
        <v>144</v>
      </c>
      <c r="H180" s="1757" t="s">
        <v>143</v>
      </c>
      <c r="I180" s="1758" t="s">
        <v>144</v>
      </c>
      <c r="J180" s="1748">
        <v>2018</v>
      </c>
      <c r="K180" s="1547" t="s">
        <v>884</v>
      </c>
      <c r="L180" s="1547">
        <v>2021</v>
      </c>
      <c r="M180" s="1721">
        <v>2022</v>
      </c>
      <c r="N180" s="1722">
        <v>2023</v>
      </c>
      <c r="O180" s="1915" t="s">
        <v>983</v>
      </c>
      <c r="P180" s="1723">
        <v>2024</v>
      </c>
      <c r="Q180" s="1723" t="s">
        <v>984</v>
      </c>
      <c r="R180" s="1724">
        <v>2025</v>
      </c>
      <c r="S180" s="1724">
        <v>2026</v>
      </c>
      <c r="T180" s="1724">
        <v>2027</v>
      </c>
      <c r="U180" s="54"/>
      <c r="V180" s="54"/>
      <c r="W180" s="55"/>
    </row>
    <row r="181" spans="1:23" ht="15.6" customHeight="1" x14ac:dyDescent="0.2">
      <c r="A181" s="1112">
        <v>453</v>
      </c>
      <c r="B181" s="1279"/>
      <c r="C181" s="1121" t="s">
        <v>787</v>
      </c>
      <c r="D181" s="1769"/>
      <c r="E181" s="1770"/>
      <c r="F181" s="1769"/>
      <c r="G181" s="1770"/>
      <c r="H181" s="1769"/>
      <c r="I181" s="1770"/>
      <c r="J181" s="1302">
        <v>10000</v>
      </c>
      <c r="K181" s="1649"/>
      <c r="L181" s="1520">
        <v>400</v>
      </c>
      <c r="M181" s="1274">
        <v>400</v>
      </c>
      <c r="N181" s="1274">
        <v>0</v>
      </c>
      <c r="O181" s="1874">
        <v>0</v>
      </c>
      <c r="P181" s="1520">
        <v>0</v>
      </c>
      <c r="Q181" s="1520"/>
      <c r="R181" s="1984">
        <v>0</v>
      </c>
      <c r="S181" s="1274">
        <v>0</v>
      </c>
      <c r="T181" s="1274">
        <v>0</v>
      </c>
      <c r="U181" s="54"/>
      <c r="V181" s="54"/>
      <c r="W181" s="55"/>
    </row>
    <row r="182" spans="1:23" ht="15.6" customHeight="1" x14ac:dyDescent="0.2">
      <c r="A182" s="1112">
        <v>453</v>
      </c>
      <c r="B182" s="1279"/>
      <c r="C182" s="1121" t="s">
        <v>836</v>
      </c>
      <c r="D182" s="1769"/>
      <c r="E182" s="1770"/>
      <c r="F182" s="1769"/>
      <c r="G182" s="1770"/>
      <c r="H182" s="1769"/>
      <c r="I182" s="1770"/>
      <c r="J182" s="1302"/>
      <c r="K182" s="1274"/>
      <c r="L182" s="1520">
        <v>3088</v>
      </c>
      <c r="M182" s="1274">
        <v>0</v>
      </c>
      <c r="N182" s="1274">
        <v>0</v>
      </c>
      <c r="O182" s="1874">
        <v>0</v>
      </c>
      <c r="P182" s="1520">
        <v>0</v>
      </c>
      <c r="Q182" s="1520"/>
      <c r="R182" s="1984"/>
      <c r="S182" s="1274"/>
      <c r="T182" s="1274"/>
      <c r="U182" s="54"/>
      <c r="V182" s="54"/>
      <c r="W182" s="55"/>
    </row>
    <row r="183" spans="1:23" ht="15.6" customHeight="1" x14ac:dyDescent="0.2">
      <c r="A183" s="1112"/>
      <c r="B183" s="1279"/>
      <c r="C183" s="1121" t="s">
        <v>928</v>
      </c>
      <c r="D183" s="1769"/>
      <c r="E183" s="1770"/>
      <c r="F183" s="1769"/>
      <c r="G183" s="1770"/>
      <c r="H183" s="1769"/>
      <c r="I183" s="1770"/>
      <c r="J183" s="1302"/>
      <c r="K183" s="1274"/>
      <c r="L183" s="1520">
        <v>5240</v>
      </c>
      <c r="M183" s="1274">
        <v>79686</v>
      </c>
      <c r="N183" s="1274">
        <v>0</v>
      </c>
      <c r="O183" s="1874">
        <v>0</v>
      </c>
      <c r="P183" s="1520">
        <v>0</v>
      </c>
      <c r="Q183" s="1520"/>
      <c r="R183" s="1984"/>
      <c r="S183" s="1274"/>
      <c r="T183" s="1274"/>
      <c r="U183" s="54"/>
      <c r="V183" s="54"/>
      <c r="W183" s="55"/>
    </row>
    <row r="184" spans="1:23" ht="15.6" customHeight="1" x14ac:dyDescent="0.2">
      <c r="A184" s="1112"/>
      <c r="B184" s="1279"/>
      <c r="C184" s="1121" t="s">
        <v>813</v>
      </c>
      <c r="D184" s="1769"/>
      <c r="E184" s="1770"/>
      <c r="F184" s="1769"/>
      <c r="G184" s="1770"/>
      <c r="H184" s="1769"/>
      <c r="I184" s="1770"/>
      <c r="J184" s="1302"/>
      <c r="K184" s="1274">
        <v>11712</v>
      </c>
      <c r="L184" s="1520">
        <v>20683</v>
      </c>
      <c r="M184" s="1274">
        <v>23287</v>
      </c>
      <c r="N184" s="1274">
        <v>0</v>
      </c>
      <c r="O184" s="1912">
        <v>2776.8</v>
      </c>
      <c r="P184" s="1520">
        <v>0</v>
      </c>
      <c r="Q184" s="1520">
        <v>3366.9</v>
      </c>
      <c r="R184" s="1984"/>
      <c r="S184" s="1274"/>
      <c r="T184" s="1274"/>
      <c r="U184" s="54"/>
      <c r="V184" s="54"/>
      <c r="W184" s="55"/>
    </row>
    <row r="185" spans="1:23" ht="15.6" customHeight="1" x14ac:dyDescent="0.2">
      <c r="A185" s="1112"/>
      <c r="B185" s="1279"/>
      <c r="C185" s="1121" t="s">
        <v>973</v>
      </c>
      <c r="D185" s="1769"/>
      <c r="E185" s="1770"/>
      <c r="F185" s="1769"/>
      <c r="G185" s="1770"/>
      <c r="H185" s="1769"/>
      <c r="I185" s="1770"/>
      <c r="J185" s="1302"/>
      <c r="K185" s="1274"/>
      <c r="L185" s="1520"/>
      <c r="M185" s="1274"/>
      <c r="N185" s="1274"/>
      <c r="O185" s="1912">
        <v>301.06</v>
      </c>
      <c r="P185" s="1520"/>
      <c r="Q185" s="1520">
        <v>5735.4</v>
      </c>
      <c r="R185" s="1984"/>
      <c r="S185" s="1274"/>
      <c r="T185" s="1274"/>
      <c r="U185" s="54"/>
      <c r="V185" s="54"/>
      <c r="W185" s="55"/>
    </row>
    <row r="186" spans="1:23" ht="15.6" customHeight="1" x14ac:dyDescent="0.2">
      <c r="A186" s="1112"/>
      <c r="B186" s="1279"/>
      <c r="C186" s="1121" t="s">
        <v>883</v>
      </c>
      <c r="D186" s="1769"/>
      <c r="E186" s="1770"/>
      <c r="F186" s="1769"/>
      <c r="G186" s="1770"/>
      <c r="H186" s="1769"/>
      <c r="I186" s="1770"/>
      <c r="J186" s="1302"/>
      <c r="K186" s="1274">
        <v>8000</v>
      </c>
      <c r="L186" s="1539">
        <v>12539</v>
      </c>
      <c r="M186" s="1274">
        <v>0</v>
      </c>
      <c r="N186" s="1274">
        <v>0</v>
      </c>
      <c r="O186" s="1912">
        <v>0</v>
      </c>
      <c r="P186" s="1539">
        <v>0</v>
      </c>
      <c r="Q186" s="1539">
        <v>11827</v>
      </c>
      <c r="R186" s="1984"/>
      <c r="S186" s="1274"/>
      <c r="T186" s="1274"/>
      <c r="U186" s="54"/>
      <c r="V186" s="54"/>
      <c r="W186" s="55"/>
    </row>
    <row r="187" spans="1:23" ht="15.6" customHeight="1" x14ac:dyDescent="0.2">
      <c r="A187" s="1112"/>
      <c r="B187" s="1279"/>
      <c r="C187" s="1121" t="s">
        <v>954</v>
      </c>
      <c r="D187" s="1769"/>
      <c r="E187" s="1770"/>
      <c r="F187" s="1769"/>
      <c r="G187" s="1770"/>
      <c r="H187" s="1769"/>
      <c r="I187" s="1770"/>
      <c r="J187" s="1302"/>
      <c r="K187" s="1274">
        <v>29961</v>
      </c>
      <c r="L187" s="1539">
        <v>0</v>
      </c>
      <c r="M187" s="1274">
        <v>0</v>
      </c>
      <c r="N187" s="1274">
        <v>0</v>
      </c>
      <c r="O187" s="1912">
        <v>2996.21</v>
      </c>
      <c r="P187" s="1539">
        <v>0</v>
      </c>
      <c r="Q187" s="1539">
        <v>0</v>
      </c>
      <c r="R187" s="1984"/>
      <c r="S187" s="1274"/>
      <c r="T187" s="1274"/>
      <c r="U187" s="54"/>
      <c r="V187" s="54"/>
      <c r="W187" s="55"/>
    </row>
    <row r="188" spans="1:23" ht="15.6" customHeight="1" x14ac:dyDescent="0.2">
      <c r="A188" s="1074">
        <v>411</v>
      </c>
      <c r="B188" s="1074"/>
      <c r="C188" s="1074" t="s">
        <v>953</v>
      </c>
      <c r="D188" s="1769"/>
      <c r="E188" s="1770"/>
      <c r="F188" s="1769"/>
      <c r="G188" s="1770"/>
      <c r="H188" s="1769"/>
      <c r="I188" s="1770"/>
      <c r="J188" s="1070">
        <v>3908.02</v>
      </c>
      <c r="K188" s="1272">
        <v>2970</v>
      </c>
      <c r="L188" s="1520">
        <v>1900</v>
      </c>
      <c r="M188" s="1272">
        <v>1000</v>
      </c>
      <c r="N188" s="1272">
        <v>0</v>
      </c>
      <c r="O188" s="1884">
        <v>2023.71</v>
      </c>
      <c r="P188" s="1520">
        <v>0</v>
      </c>
      <c r="Q188" s="1520">
        <v>0</v>
      </c>
      <c r="R188" s="1970"/>
      <c r="S188" s="1275"/>
      <c r="T188" s="1275"/>
      <c r="U188" s="54"/>
      <c r="V188" s="54"/>
      <c r="W188" s="55"/>
    </row>
    <row r="189" spans="1:23" ht="15.6" customHeight="1" x14ac:dyDescent="0.2">
      <c r="A189" s="1074">
        <v>453</v>
      </c>
      <c r="B189" s="1074"/>
      <c r="C189" s="1074" t="s">
        <v>952</v>
      </c>
      <c r="D189" s="1769"/>
      <c r="E189" s="1770"/>
      <c r="F189" s="1769"/>
      <c r="G189" s="1770"/>
      <c r="H189" s="1769"/>
      <c r="I189" s="1770"/>
      <c r="J189" s="1070"/>
      <c r="K189" s="1272">
        <v>34600</v>
      </c>
      <c r="L189" s="1520">
        <v>6103</v>
      </c>
      <c r="M189" s="1272">
        <v>40000</v>
      </c>
      <c r="N189" s="1272">
        <v>0</v>
      </c>
      <c r="O189" s="1884">
        <v>27000</v>
      </c>
      <c r="P189" s="1520">
        <v>0</v>
      </c>
      <c r="Q189" s="1520">
        <v>300</v>
      </c>
      <c r="R189" s="1970"/>
      <c r="S189" s="1275"/>
      <c r="T189" s="1275"/>
      <c r="U189" s="54"/>
      <c r="V189" s="54"/>
      <c r="W189" s="55"/>
    </row>
    <row r="190" spans="1:23" ht="15.6" customHeight="1" x14ac:dyDescent="0.2">
      <c r="A190" s="1074">
        <v>453</v>
      </c>
      <c r="B190" s="1074"/>
      <c r="C190" s="1074" t="s">
        <v>951</v>
      </c>
      <c r="D190" s="1769"/>
      <c r="E190" s="1770"/>
      <c r="F190" s="1769"/>
      <c r="G190" s="1770"/>
      <c r="H190" s="1769"/>
      <c r="I190" s="1770"/>
      <c r="J190" s="1070"/>
      <c r="K190" s="1272">
        <v>62602</v>
      </c>
      <c r="L190" s="1520">
        <v>0</v>
      </c>
      <c r="M190" s="1272">
        <v>24878</v>
      </c>
      <c r="N190" s="1272">
        <v>0</v>
      </c>
      <c r="O190" s="1884">
        <v>0</v>
      </c>
      <c r="P190" s="1520">
        <v>0</v>
      </c>
      <c r="Q190" s="1520">
        <v>0</v>
      </c>
      <c r="R190" s="1970"/>
      <c r="S190" s="1275"/>
      <c r="T190" s="1275"/>
      <c r="U190" s="54"/>
      <c r="V190" s="54"/>
      <c r="W190" s="55"/>
    </row>
    <row r="191" spans="1:23" ht="15.6" customHeight="1" x14ac:dyDescent="0.2">
      <c r="A191" s="1074">
        <v>453</v>
      </c>
      <c r="B191" s="1074"/>
      <c r="C191" s="1074" t="s">
        <v>620</v>
      </c>
      <c r="D191" s="1769"/>
      <c r="E191" s="1770"/>
      <c r="F191" s="1769"/>
      <c r="G191" s="1770"/>
      <c r="H191" s="1769"/>
      <c r="I191" s="1770"/>
      <c r="J191" s="1070"/>
      <c r="K191" s="1272"/>
      <c r="L191" s="1520">
        <v>9955</v>
      </c>
      <c r="M191" s="1272">
        <v>2316</v>
      </c>
      <c r="N191" s="1272">
        <v>0</v>
      </c>
      <c r="O191" s="1884">
        <v>2911.93</v>
      </c>
      <c r="P191" s="1520">
        <v>0</v>
      </c>
      <c r="Q191" s="1326">
        <v>1802</v>
      </c>
      <c r="R191" s="1970"/>
      <c r="S191" s="1275"/>
      <c r="T191" s="1275"/>
      <c r="U191" s="54"/>
      <c r="V191" s="54"/>
      <c r="W191" s="55"/>
    </row>
    <row r="192" spans="1:23" ht="15.6" customHeight="1" x14ac:dyDescent="0.2">
      <c r="A192" s="1074">
        <v>454</v>
      </c>
      <c r="B192" s="1074" t="s">
        <v>91</v>
      </c>
      <c r="C192" s="1074" t="s">
        <v>950</v>
      </c>
      <c r="D192" s="1769"/>
      <c r="E192" s="1770"/>
      <c r="F192" s="1769"/>
      <c r="G192" s="1770"/>
      <c r="H192" s="1769"/>
      <c r="I192" s="1770"/>
      <c r="J192" s="1070">
        <v>0</v>
      </c>
      <c r="K192" s="1272">
        <v>0</v>
      </c>
      <c r="L192" s="1520">
        <v>37440</v>
      </c>
      <c r="M192" s="1272">
        <v>20539</v>
      </c>
      <c r="N192" s="1272">
        <v>0</v>
      </c>
      <c r="O192" s="1884">
        <v>22434.080000000002</v>
      </c>
      <c r="P192" s="1520">
        <v>10000</v>
      </c>
      <c r="Q192" s="1520">
        <v>24585.91</v>
      </c>
      <c r="R192" s="1970">
        <v>0</v>
      </c>
      <c r="S192" s="1275">
        <v>0</v>
      </c>
      <c r="T192" s="1275">
        <v>0</v>
      </c>
      <c r="U192" s="54"/>
      <c r="V192" s="54"/>
      <c r="W192" s="55"/>
    </row>
    <row r="193" spans="1:23" x14ac:dyDescent="0.2">
      <c r="A193" s="1074">
        <v>454</v>
      </c>
      <c r="B193" s="1074" t="s">
        <v>94</v>
      </c>
      <c r="C193" s="1074" t="s">
        <v>151</v>
      </c>
      <c r="D193" s="1099"/>
      <c r="E193" s="1074"/>
      <c r="F193" s="1099"/>
      <c r="G193" s="1074"/>
      <c r="H193" s="1099"/>
      <c r="I193" s="1074"/>
      <c r="J193" s="1070">
        <v>16000</v>
      </c>
      <c r="K193" s="1272">
        <v>0</v>
      </c>
      <c r="L193" s="1520">
        <v>0</v>
      </c>
      <c r="M193" s="1272">
        <v>0</v>
      </c>
      <c r="N193" s="1272">
        <v>0</v>
      </c>
      <c r="O193" s="1805">
        <v>0</v>
      </c>
      <c r="P193" s="1520">
        <v>0</v>
      </c>
      <c r="Q193" s="1520">
        <v>77582.28</v>
      </c>
      <c r="R193" s="1970">
        <v>0</v>
      </c>
      <c r="S193" s="1275">
        <v>0</v>
      </c>
      <c r="T193" s="1275">
        <v>0</v>
      </c>
      <c r="U193" s="76"/>
      <c r="V193" s="76"/>
      <c r="W193" s="76"/>
    </row>
    <row r="194" spans="1:23" x14ac:dyDescent="0.2">
      <c r="A194" s="1074">
        <v>456</v>
      </c>
      <c r="B194" s="1074" t="s">
        <v>94</v>
      </c>
      <c r="C194" s="1074" t="s">
        <v>837</v>
      </c>
      <c r="D194" s="1099"/>
      <c r="E194" s="1074"/>
      <c r="F194" s="1099"/>
      <c r="G194" s="1074"/>
      <c r="H194" s="1099"/>
      <c r="I194" s="1074"/>
      <c r="J194" s="1070"/>
      <c r="K194" s="1274">
        <v>17000</v>
      </c>
      <c r="L194" s="1520">
        <v>0</v>
      </c>
      <c r="M194" s="1272">
        <v>0</v>
      </c>
      <c r="N194" s="1272">
        <v>0</v>
      </c>
      <c r="O194" s="1805">
        <v>2970.05</v>
      </c>
      <c r="P194" s="1520">
        <v>0</v>
      </c>
      <c r="Q194" s="1520">
        <v>9283</v>
      </c>
      <c r="R194" s="1970">
        <v>0</v>
      </c>
      <c r="S194" s="1275">
        <v>0</v>
      </c>
      <c r="T194" s="1275">
        <v>0</v>
      </c>
      <c r="U194" s="76"/>
      <c r="V194" s="76"/>
      <c r="W194" s="76"/>
    </row>
    <row r="195" spans="1:23" x14ac:dyDescent="0.2">
      <c r="A195" s="1074">
        <v>456</v>
      </c>
      <c r="B195" s="1074" t="s">
        <v>117</v>
      </c>
      <c r="C195" s="1074" t="s">
        <v>788</v>
      </c>
      <c r="D195" s="1099"/>
      <c r="E195" s="1074"/>
      <c r="F195" s="1099"/>
      <c r="G195" s="1074"/>
      <c r="H195" s="1099"/>
      <c r="I195" s="1074"/>
      <c r="J195" s="1070">
        <v>16</v>
      </c>
      <c r="K195" s="1272">
        <v>18</v>
      </c>
      <c r="L195" s="1520">
        <v>10</v>
      </c>
      <c r="M195" s="1272">
        <v>0</v>
      </c>
      <c r="N195" s="1272">
        <v>0</v>
      </c>
      <c r="O195" s="1805">
        <v>0</v>
      </c>
      <c r="P195" s="1520">
        <v>0</v>
      </c>
      <c r="Q195" s="1520"/>
      <c r="R195" s="1970">
        <v>0</v>
      </c>
      <c r="S195" s="1275">
        <v>0</v>
      </c>
      <c r="T195" s="1275">
        <v>0</v>
      </c>
      <c r="U195" s="76"/>
      <c r="V195" s="76"/>
      <c r="W195" s="76"/>
    </row>
    <row r="196" spans="1:23" x14ac:dyDescent="0.2">
      <c r="A196" s="1771" t="s">
        <v>152</v>
      </c>
      <c r="B196" s="1771"/>
      <c r="C196" s="1771"/>
      <c r="D196" s="1759">
        <f>SUM(D193,D194,D195)</f>
        <v>0</v>
      </c>
      <c r="E196" s="1102"/>
      <c r="F196" s="1759">
        <f>SUM(F193,F194,F195)</f>
        <v>0</v>
      </c>
      <c r="G196" s="1102"/>
      <c r="H196" s="1759">
        <f>SUM(H193,H194,H195)</f>
        <v>0</v>
      </c>
      <c r="I196" s="1102"/>
      <c r="J196" s="1554">
        <f>SUM(J181:J195)</f>
        <v>29924.02</v>
      </c>
      <c r="K196" s="1554">
        <f>SUM(K181:K195)</f>
        <v>166863</v>
      </c>
      <c r="L196" s="1554">
        <f>SUM(L182:L195)+L181</f>
        <v>97358</v>
      </c>
      <c r="M196" s="1554">
        <f t="shared" ref="M196:S196" si="12">SUM(M181:M195)</f>
        <v>192106</v>
      </c>
      <c r="N196" s="1554">
        <f t="shared" si="12"/>
        <v>0</v>
      </c>
      <c r="O196" s="1759">
        <f>SUM(O181:O195)</f>
        <v>63413.840000000004</v>
      </c>
      <c r="P196" s="1739">
        <f>SUM(P181:P195)</f>
        <v>10000</v>
      </c>
      <c r="Q196" s="1739">
        <f>SUM(Q181:Q195)</f>
        <v>134482.49</v>
      </c>
      <c r="R196" s="1554">
        <f t="shared" si="12"/>
        <v>0</v>
      </c>
      <c r="S196" s="1554">
        <f t="shared" si="12"/>
        <v>0</v>
      </c>
      <c r="T196" s="1554">
        <f t="shared" ref="T196" si="13">SUM(T181:T195)</f>
        <v>0</v>
      </c>
      <c r="U196" s="78"/>
      <c r="V196" s="78"/>
      <c r="W196" s="78"/>
    </row>
    <row r="197" spans="1:23" x14ac:dyDescent="0.2">
      <c r="A197" s="41"/>
      <c r="B197" s="41"/>
      <c r="C197" s="41"/>
      <c r="D197" s="79"/>
      <c r="E197" s="79"/>
      <c r="F197" s="79"/>
      <c r="G197" s="87"/>
      <c r="H197" s="79"/>
      <c r="I197" s="79"/>
      <c r="J197" s="79"/>
      <c r="K197" s="79"/>
      <c r="L197" s="79"/>
      <c r="M197" s="52"/>
      <c r="P197" s="1326"/>
      <c r="Q197" s="1326"/>
    </row>
    <row r="198" spans="1:23" x14ac:dyDescent="0.2">
      <c r="A198" s="41"/>
      <c r="B198" s="41"/>
      <c r="C198" s="41"/>
      <c r="D198" s="79"/>
      <c r="E198" s="79"/>
      <c r="F198" s="79"/>
      <c r="G198" s="87"/>
      <c r="H198" s="79"/>
      <c r="I198" s="79"/>
      <c r="J198" s="79"/>
      <c r="K198" s="79"/>
      <c r="L198" s="79"/>
      <c r="M198" s="52"/>
      <c r="P198" s="1326"/>
      <c r="Q198" s="1326"/>
    </row>
    <row r="199" spans="1:23" x14ac:dyDescent="0.2">
      <c r="A199" s="41"/>
      <c r="B199" s="41"/>
      <c r="C199" s="41"/>
      <c r="D199" s="79"/>
      <c r="E199" s="79"/>
      <c r="F199" s="79"/>
      <c r="G199" s="87"/>
      <c r="H199" s="79"/>
      <c r="I199" s="79"/>
      <c r="J199" s="79"/>
      <c r="K199" s="79"/>
      <c r="L199" s="79"/>
      <c r="M199" s="52"/>
      <c r="P199" s="1326"/>
      <c r="Q199" s="1326"/>
    </row>
    <row r="200" spans="1:23" x14ac:dyDescent="0.2">
      <c r="A200" s="41"/>
      <c r="B200" s="41"/>
      <c r="C200" s="41"/>
      <c r="D200" s="911" t="s">
        <v>153</v>
      </c>
      <c r="E200" s="911"/>
      <c r="F200" s="911"/>
      <c r="G200" s="911"/>
      <c r="H200" s="911"/>
      <c r="I200" s="911"/>
      <c r="J200" s="912"/>
      <c r="K200" s="912"/>
      <c r="L200" s="912"/>
      <c r="M200" s="2300" t="s">
        <v>153</v>
      </c>
      <c r="N200" s="2300"/>
      <c r="O200" s="2300"/>
      <c r="P200" s="2300"/>
      <c r="Q200" s="2300"/>
      <c r="R200" s="2300"/>
      <c r="S200" s="2300"/>
      <c r="T200" s="1697"/>
      <c r="U200" s="88"/>
      <c r="V200" s="88"/>
      <c r="W200" s="89"/>
    </row>
    <row r="201" spans="1:23" x14ac:dyDescent="0.2">
      <c r="A201" s="41"/>
      <c r="B201" s="41"/>
      <c r="C201" s="41"/>
      <c r="D201" s="79"/>
      <c r="E201" s="79"/>
      <c r="F201" s="79"/>
      <c r="G201" s="87"/>
      <c r="H201" s="79"/>
      <c r="I201" s="79"/>
      <c r="J201" s="79"/>
      <c r="K201" s="79"/>
      <c r="L201" s="79"/>
      <c r="M201" s="52"/>
      <c r="P201" s="1326"/>
      <c r="Q201" s="1326"/>
    </row>
    <row r="202" spans="1:23" ht="23.25" customHeight="1" x14ac:dyDescent="0.2">
      <c r="A202" s="1716" t="s">
        <v>82</v>
      </c>
      <c r="B202" s="1756"/>
      <c r="C202" s="1718"/>
      <c r="D202" s="1757" t="s">
        <v>143</v>
      </c>
      <c r="E202" s="1758" t="s">
        <v>144</v>
      </c>
      <c r="F202" s="1757" t="s">
        <v>143</v>
      </c>
      <c r="G202" s="1758" t="s">
        <v>144</v>
      </c>
      <c r="H202" s="1757" t="s">
        <v>143</v>
      </c>
      <c r="I202" s="1758" t="s">
        <v>144</v>
      </c>
      <c r="J202" s="1748">
        <v>2018</v>
      </c>
      <c r="K202" s="1547" t="s">
        <v>884</v>
      </c>
      <c r="L202" s="1547">
        <v>2021</v>
      </c>
      <c r="M202" s="1721">
        <v>2022</v>
      </c>
      <c r="N202" s="1722">
        <v>2023</v>
      </c>
      <c r="O202" s="1915" t="s">
        <v>983</v>
      </c>
      <c r="P202" s="1723">
        <v>2024</v>
      </c>
      <c r="Q202" s="1723" t="s">
        <v>984</v>
      </c>
      <c r="R202" s="1724">
        <v>2025</v>
      </c>
      <c r="S202" s="1724">
        <v>2026</v>
      </c>
      <c r="T202" s="1724">
        <v>2027</v>
      </c>
      <c r="U202" s="54"/>
      <c r="V202" s="54"/>
      <c r="W202" s="55"/>
    </row>
    <row r="203" spans="1:23" x14ac:dyDescent="0.2">
      <c r="A203" s="1074">
        <v>513</v>
      </c>
      <c r="B203" s="1074" t="s">
        <v>94</v>
      </c>
      <c r="C203" s="1074" t="s">
        <v>83</v>
      </c>
      <c r="D203" s="1099">
        <v>310000</v>
      </c>
      <c r="E203" s="1301">
        <v>240110.47</v>
      </c>
      <c r="F203" s="1099">
        <v>310000</v>
      </c>
      <c r="G203" s="1301">
        <v>240110.47</v>
      </c>
      <c r="H203" s="1099">
        <v>310000</v>
      </c>
      <c r="I203" s="1301">
        <v>240110.47</v>
      </c>
      <c r="J203" s="1070">
        <v>3443706.4</v>
      </c>
      <c r="K203" s="1272">
        <v>2662858</v>
      </c>
      <c r="L203" s="1520">
        <v>0</v>
      </c>
      <c r="M203" s="1275">
        <v>0</v>
      </c>
      <c r="N203" s="1272">
        <v>0</v>
      </c>
      <c r="O203" s="1805">
        <v>0</v>
      </c>
      <c r="P203" s="1520">
        <v>0</v>
      </c>
      <c r="Q203" s="1520"/>
      <c r="R203" s="1961">
        <v>0</v>
      </c>
      <c r="S203" s="1071">
        <v>0</v>
      </c>
      <c r="T203" s="1071">
        <v>0</v>
      </c>
      <c r="U203" s="76"/>
      <c r="V203" s="76"/>
      <c r="W203" s="76"/>
    </row>
    <row r="204" spans="1:23" x14ac:dyDescent="0.2">
      <c r="A204" s="1074">
        <v>514</v>
      </c>
      <c r="B204" s="1074" t="s">
        <v>94</v>
      </c>
      <c r="C204" s="1074" t="s">
        <v>814</v>
      </c>
      <c r="D204" s="1099"/>
      <c r="E204" s="1070">
        <v>0</v>
      </c>
      <c r="F204" s="1099"/>
      <c r="G204" s="1070">
        <v>0</v>
      </c>
      <c r="H204" s="1099"/>
      <c r="I204" s="1070">
        <v>0</v>
      </c>
      <c r="J204" s="1070">
        <v>0</v>
      </c>
      <c r="K204" s="1272">
        <v>51231</v>
      </c>
      <c r="L204" s="1520">
        <v>0</v>
      </c>
      <c r="M204" s="1275">
        <v>0</v>
      </c>
      <c r="N204" s="1272">
        <v>0</v>
      </c>
      <c r="O204" s="1805">
        <v>0</v>
      </c>
      <c r="P204" s="1520">
        <v>0</v>
      </c>
      <c r="Q204" s="1520"/>
      <c r="R204" s="1961">
        <v>0</v>
      </c>
      <c r="S204" s="1070">
        <v>0</v>
      </c>
      <c r="T204" s="1070">
        <v>0</v>
      </c>
      <c r="U204" s="76"/>
      <c r="V204" s="76"/>
      <c r="W204" s="76"/>
    </row>
    <row r="205" spans="1:23" x14ac:dyDescent="0.2">
      <c r="A205" s="1074">
        <v>513</v>
      </c>
      <c r="B205" s="1074" t="s">
        <v>89</v>
      </c>
      <c r="C205" s="1074" t="s">
        <v>929</v>
      </c>
      <c r="D205" s="1099"/>
      <c r="E205" s="1070"/>
      <c r="F205" s="1099"/>
      <c r="G205" s="1070"/>
      <c r="H205" s="1099"/>
      <c r="I205" s="1070"/>
      <c r="J205" s="1070"/>
      <c r="K205" s="1272"/>
      <c r="L205" s="1520">
        <v>0</v>
      </c>
      <c r="M205" s="1275"/>
      <c r="N205" s="1272">
        <v>0</v>
      </c>
      <c r="O205" s="1884">
        <v>72261.210000000006</v>
      </c>
      <c r="P205" s="1520"/>
      <c r="Q205" s="1520">
        <v>50000</v>
      </c>
      <c r="R205" s="1961">
        <v>32501</v>
      </c>
      <c r="S205" s="1070"/>
      <c r="T205" s="1070"/>
      <c r="U205" s="76"/>
      <c r="V205" s="76"/>
      <c r="W205" s="76"/>
    </row>
    <row r="206" spans="1:23" x14ac:dyDescent="0.2">
      <c r="A206" s="1074">
        <v>513</v>
      </c>
      <c r="B206" s="1074" t="s">
        <v>94</v>
      </c>
      <c r="C206" s="1074" t="s">
        <v>838</v>
      </c>
      <c r="D206" s="1099"/>
      <c r="E206" s="1070"/>
      <c r="F206" s="1099"/>
      <c r="G206" s="1070"/>
      <c r="H206" s="1099"/>
      <c r="I206" s="1070"/>
      <c r="J206" s="1070"/>
      <c r="K206" s="1272"/>
      <c r="L206" s="1275">
        <v>150000</v>
      </c>
      <c r="M206" s="1275"/>
      <c r="N206" s="1272">
        <v>0</v>
      </c>
      <c r="O206" s="1805">
        <v>0</v>
      </c>
      <c r="P206" s="1520">
        <v>0</v>
      </c>
      <c r="Q206" s="1520"/>
      <c r="R206" s="1961"/>
      <c r="S206" s="1070"/>
      <c r="T206" s="1070"/>
      <c r="U206" s="76"/>
      <c r="V206" s="76"/>
      <c r="W206" s="76"/>
    </row>
    <row r="207" spans="1:23" x14ac:dyDescent="0.2">
      <c r="A207" s="1771" t="s">
        <v>154</v>
      </c>
      <c r="B207" s="1771"/>
      <c r="C207" s="1771"/>
      <c r="D207" s="1759">
        <f>SUM(D203,D204)</f>
        <v>310000</v>
      </c>
      <c r="E207" s="1759">
        <f>E203+E204</f>
        <v>240110.47</v>
      </c>
      <c r="F207" s="1759">
        <f>SUM(F203,F204)</f>
        <v>310000</v>
      </c>
      <c r="G207" s="1759">
        <f>G203+G204</f>
        <v>240110.47</v>
      </c>
      <c r="H207" s="1759">
        <f>SUM(H203,H204)</f>
        <v>310000</v>
      </c>
      <c r="I207" s="1759">
        <f>I203+I204</f>
        <v>240110.47</v>
      </c>
      <c r="J207" s="1554">
        <f>SUM(J203:J204)</f>
        <v>3443706.4</v>
      </c>
      <c r="K207" s="1554">
        <f>SUM(K203,K204)</f>
        <v>2714089</v>
      </c>
      <c r="L207" s="1554">
        <f>SUM(L203:L204)+L206</f>
        <v>150000</v>
      </c>
      <c r="M207" s="1554">
        <f>M203+M204</f>
        <v>0</v>
      </c>
      <c r="N207" s="1554">
        <f>N203+N204+N206+N205</f>
        <v>0</v>
      </c>
      <c r="O207" s="1759">
        <f>O203+O204+O206+O205</f>
        <v>72261.210000000006</v>
      </c>
      <c r="P207" s="1739">
        <f>P203+P204+P206</f>
        <v>0</v>
      </c>
      <c r="Q207" s="1739">
        <f>SUM(Q203:Q206)</f>
        <v>50000</v>
      </c>
      <c r="R207" s="1554">
        <f>SUM(R203:R206)</f>
        <v>32501</v>
      </c>
      <c r="S207" s="1554">
        <f>S203+S204</f>
        <v>0</v>
      </c>
      <c r="T207" s="1554">
        <f>T203+T204</f>
        <v>0</v>
      </c>
      <c r="U207" s="78"/>
      <c r="V207" s="78"/>
      <c r="W207" s="78"/>
    </row>
    <row r="208" spans="1:23" x14ac:dyDescent="0.2">
      <c r="A208" s="1668" t="s">
        <v>82</v>
      </c>
      <c r="B208" s="1669"/>
      <c r="C208" s="1668"/>
      <c r="D208" s="1768">
        <f>SUM(D196,D207)</f>
        <v>310000</v>
      </c>
      <c r="E208" s="1768">
        <f>E196+E207</f>
        <v>240110.47</v>
      </c>
      <c r="F208" s="1768">
        <f>SUM(F196,F207)</f>
        <v>310000</v>
      </c>
      <c r="G208" s="1768">
        <f>G196+G207</f>
        <v>240110.47</v>
      </c>
      <c r="H208" s="1768">
        <f>SUM(H196,H207)</f>
        <v>310000</v>
      </c>
      <c r="I208" s="1768">
        <f>I196+I207</f>
        <v>240110.47</v>
      </c>
      <c r="J208" s="1682">
        <f>J196+J207</f>
        <v>3473630.42</v>
      </c>
      <c r="K208" s="1682">
        <f>SUM(K196,K207)</f>
        <v>2880952</v>
      </c>
      <c r="L208" s="1682">
        <f>L196+L207</f>
        <v>247358</v>
      </c>
      <c r="M208" s="1682">
        <f>M196+M207</f>
        <v>192106</v>
      </c>
      <c r="N208" s="1670">
        <f>SUM(N196,N207)</f>
        <v>0</v>
      </c>
      <c r="O208" s="1841">
        <f>SUM(O196,O207)</f>
        <v>135675.05000000002</v>
      </c>
      <c r="P208" s="1755">
        <f>SUM(P196,P207)</f>
        <v>10000</v>
      </c>
      <c r="Q208" s="1755">
        <f>SUM(Q196,Q207)</f>
        <v>184482.49</v>
      </c>
      <c r="R208" s="1670">
        <f>SUM(R196,R207)</f>
        <v>32501</v>
      </c>
      <c r="S208" s="1682">
        <f>S207+S196</f>
        <v>0</v>
      </c>
      <c r="T208" s="1682">
        <f>T207+T196</f>
        <v>0</v>
      </c>
      <c r="U208" s="83"/>
      <c r="V208" s="83"/>
      <c r="W208" s="83"/>
    </row>
    <row r="209" spans="1:24" hidden="1" x14ac:dyDescent="0.2">
      <c r="A209" s="88"/>
      <c r="B209" s="20"/>
      <c r="C209" s="88"/>
      <c r="D209" s="88"/>
      <c r="E209" s="90"/>
      <c r="F209" s="88"/>
      <c r="G209" s="88"/>
      <c r="H209" s="90"/>
      <c r="I209" s="90"/>
      <c r="J209" s="90"/>
      <c r="K209" s="90"/>
      <c r="L209" s="90"/>
      <c r="M209" s="91"/>
      <c r="N209" s="20"/>
      <c r="O209" s="21"/>
      <c r="R209" s="20"/>
      <c r="S209" s="72"/>
      <c r="T209" s="72"/>
    </row>
    <row r="210" spans="1:24" hidden="1" x14ac:dyDescent="0.2">
      <c r="A210" s="88"/>
      <c r="B210" s="20"/>
      <c r="C210" s="88"/>
      <c r="D210" s="88"/>
      <c r="E210" s="90"/>
      <c r="F210" s="88"/>
      <c r="G210" s="88"/>
      <c r="H210" s="90"/>
      <c r="I210" s="90"/>
      <c r="J210" s="90"/>
      <c r="K210" s="90"/>
      <c r="L210" s="90"/>
      <c r="M210" s="91"/>
      <c r="N210" s="20"/>
      <c r="O210" s="21"/>
      <c r="R210" s="20"/>
      <c r="S210" s="72"/>
      <c r="T210" s="72"/>
    </row>
    <row r="211" spans="1:24" hidden="1" x14ac:dyDescent="0.2">
      <c r="A211" s="88"/>
      <c r="B211" s="20"/>
      <c r="C211" s="88"/>
      <c r="D211" s="88"/>
      <c r="E211" s="90"/>
      <c r="F211" s="88"/>
      <c r="G211" s="88"/>
      <c r="H211" s="90"/>
      <c r="I211" s="90"/>
      <c r="J211" s="90"/>
      <c r="K211" s="90"/>
      <c r="L211" s="90"/>
      <c r="M211" s="91"/>
      <c r="N211" s="20"/>
      <c r="O211" s="21"/>
      <c r="R211" s="20"/>
      <c r="S211" s="72"/>
      <c r="T211" s="72"/>
    </row>
    <row r="212" spans="1:24" x14ac:dyDescent="0.2">
      <c r="A212" s="88"/>
      <c r="B212" s="20"/>
      <c r="C212" s="88"/>
      <c r="D212" s="88"/>
      <c r="E212" s="90"/>
      <c r="F212" s="88"/>
      <c r="G212" s="88"/>
      <c r="H212" s="90"/>
      <c r="I212" s="90"/>
      <c r="J212" s="90"/>
      <c r="K212" s="90"/>
      <c r="L212" s="90"/>
      <c r="M212" s="91"/>
      <c r="N212" s="20"/>
      <c r="O212" s="21"/>
      <c r="P212" s="1326"/>
      <c r="Q212" s="1326"/>
      <c r="R212" s="20"/>
      <c r="S212" s="72"/>
      <c r="T212" s="72"/>
    </row>
    <row r="213" spans="1:24" hidden="1" x14ac:dyDescent="0.2">
      <c r="A213" s="88"/>
      <c r="B213" s="20"/>
      <c r="C213" s="88"/>
      <c r="D213" s="88"/>
      <c r="E213" s="90"/>
      <c r="F213" s="88"/>
      <c r="G213" s="88"/>
      <c r="H213" s="90"/>
      <c r="I213" s="90"/>
      <c r="J213" s="90"/>
      <c r="K213" s="90"/>
      <c r="L213" s="90"/>
      <c r="M213" s="91"/>
      <c r="N213" s="20"/>
      <c r="O213" s="21"/>
      <c r="P213" s="1326"/>
      <c r="Q213" s="1326"/>
      <c r="R213" s="20"/>
      <c r="S213" s="72"/>
      <c r="T213" s="72"/>
    </row>
    <row r="214" spans="1:24" hidden="1" x14ac:dyDescent="0.2">
      <c r="A214" s="88"/>
      <c r="B214" s="20"/>
      <c r="C214" s="88"/>
      <c r="D214" s="88"/>
      <c r="E214" s="90"/>
      <c r="F214" s="88"/>
      <c r="G214" s="88"/>
      <c r="H214" s="90"/>
      <c r="I214" s="90"/>
      <c r="J214" s="90"/>
      <c r="K214" s="90"/>
      <c r="L214" s="90"/>
      <c r="M214" s="91"/>
      <c r="N214" s="20"/>
      <c r="O214" s="21"/>
      <c r="P214" s="1326"/>
      <c r="Q214" s="1326"/>
      <c r="R214" s="20"/>
      <c r="S214" s="72"/>
      <c r="T214" s="72"/>
    </row>
    <row r="215" spans="1:24" hidden="1" x14ac:dyDescent="0.2">
      <c r="A215" s="88"/>
      <c r="B215" s="20"/>
      <c r="C215" s="88"/>
      <c r="D215" s="88"/>
      <c r="E215" s="90"/>
      <c r="F215" s="88"/>
      <c r="G215" s="88"/>
      <c r="H215" s="90"/>
      <c r="I215" s="90"/>
      <c r="J215" s="90"/>
      <c r="K215" s="90"/>
      <c r="L215" s="90"/>
      <c r="M215" s="91"/>
      <c r="N215" s="20"/>
      <c r="O215" s="21"/>
      <c r="P215" s="1326"/>
      <c r="Q215" s="1326"/>
      <c r="R215" s="20"/>
      <c r="S215" s="72"/>
      <c r="T215" s="72"/>
    </row>
    <row r="216" spans="1:24" x14ac:dyDescent="0.2">
      <c r="A216" s="88"/>
      <c r="B216" s="20"/>
      <c r="C216" s="88"/>
      <c r="D216" s="88"/>
      <c r="E216" s="90"/>
      <c r="F216" s="88"/>
      <c r="G216" s="88"/>
      <c r="H216" s="90"/>
      <c r="I216" s="90"/>
      <c r="J216" s="90"/>
      <c r="K216" s="90"/>
      <c r="L216" s="90"/>
      <c r="M216" s="91"/>
      <c r="N216" s="20"/>
      <c r="O216" s="21"/>
      <c r="P216" s="1326"/>
      <c r="Q216" s="1326"/>
      <c r="R216" s="20" t="s">
        <v>943</v>
      </c>
      <c r="S216" s="72"/>
      <c r="T216" s="72"/>
    </row>
    <row r="217" spans="1:24" x14ac:dyDescent="0.2">
      <c r="A217" s="41"/>
      <c r="B217" s="41"/>
      <c r="C217" s="41"/>
      <c r="D217" s="41"/>
      <c r="E217" s="41"/>
      <c r="F217" s="41"/>
      <c r="G217" s="92"/>
      <c r="H217" s="41"/>
      <c r="I217" s="41"/>
      <c r="J217" s="41"/>
      <c r="K217" s="41"/>
      <c r="L217" s="41"/>
      <c r="M217" s="52"/>
      <c r="P217" s="1326"/>
      <c r="Q217" s="1326"/>
    </row>
    <row r="218" spans="1:24" x14ac:dyDescent="0.2">
      <c r="A218" s="41"/>
      <c r="B218" s="41"/>
      <c r="C218" s="464" t="s">
        <v>155</v>
      </c>
      <c r="D218" s="717"/>
      <c r="E218" s="718"/>
      <c r="F218" s="718"/>
      <c r="G218" s="719"/>
      <c r="H218" s="718"/>
      <c r="I218" s="718"/>
      <c r="J218" s="718"/>
      <c r="K218" s="717"/>
      <c r="L218" s="717"/>
      <c r="M218" s="720"/>
      <c r="N218" s="721"/>
      <c r="O218" s="1875"/>
      <c r="P218" s="1326"/>
      <c r="Q218" s="1326"/>
    </row>
    <row r="219" spans="1:24" x14ac:dyDescent="0.2">
      <c r="A219" s="41"/>
      <c r="B219" s="41"/>
      <c r="C219" s="41"/>
      <c r="D219" s="41"/>
      <c r="E219" s="41"/>
      <c r="F219" s="41"/>
      <c r="G219" s="92"/>
      <c r="H219" s="41"/>
      <c r="I219" s="41"/>
      <c r="J219" s="41"/>
      <c r="K219" s="41"/>
      <c r="L219" s="41"/>
      <c r="M219" s="52"/>
      <c r="P219" s="1326"/>
      <c r="Q219" s="1326"/>
    </row>
    <row r="220" spans="1:24" ht="23.25" customHeight="1" x14ac:dyDescent="0.2">
      <c r="A220" s="1716"/>
      <c r="B220" s="1756"/>
      <c r="C220" s="1718"/>
      <c r="D220" s="1757" t="s">
        <v>143</v>
      </c>
      <c r="E220" s="1758" t="s">
        <v>144</v>
      </c>
      <c r="F220" s="1757" t="s">
        <v>143</v>
      </c>
      <c r="G220" s="1758" t="s">
        <v>144</v>
      </c>
      <c r="H220" s="1757" t="s">
        <v>143</v>
      </c>
      <c r="I220" s="1758" t="s">
        <v>144</v>
      </c>
      <c r="J220" s="1748">
        <v>2018</v>
      </c>
      <c r="K220" s="1547" t="s">
        <v>884</v>
      </c>
      <c r="L220" s="1547">
        <v>2021</v>
      </c>
      <c r="M220" s="1721">
        <v>2022</v>
      </c>
      <c r="N220" s="1722">
        <v>2023</v>
      </c>
      <c r="O220" s="1915" t="s">
        <v>983</v>
      </c>
      <c r="P220" s="1723">
        <v>2024</v>
      </c>
      <c r="Q220" s="1723" t="s">
        <v>984</v>
      </c>
      <c r="R220" s="1724">
        <v>2025</v>
      </c>
      <c r="S220" s="1724">
        <v>2026</v>
      </c>
      <c r="T220" s="1724">
        <v>2027</v>
      </c>
      <c r="U220" s="54"/>
      <c r="V220" s="54"/>
      <c r="W220" s="55"/>
    </row>
    <row r="221" spans="1:24" s="1114" customFormat="1" x14ac:dyDescent="0.2">
      <c r="A221" s="2301" t="s">
        <v>156</v>
      </c>
      <c r="B221" s="2301"/>
      <c r="C221" s="2301"/>
      <c r="D221" s="1772"/>
      <c r="E221" s="1522"/>
      <c r="F221" s="1772"/>
      <c r="G221" s="1522"/>
      <c r="H221" s="1772"/>
      <c r="I221" s="1522"/>
      <c r="J221" s="1522">
        <f>SUM(J222:J246)</f>
        <v>538966</v>
      </c>
      <c r="K221" s="1522">
        <f>SUM(K222:K244)+K245+K246</f>
        <v>701035.64999999991</v>
      </c>
      <c r="L221" s="1522">
        <f>SUM(L222:L248)+L250</f>
        <v>697854</v>
      </c>
      <c r="M221" s="1522">
        <f>SUM(M222:M250)</f>
        <v>684265</v>
      </c>
      <c r="N221" s="1522">
        <f>SUM(N233:N244:N222)+N245+N246+N248</f>
        <v>806053</v>
      </c>
      <c r="O221" s="1876">
        <f>SUM(O222:O250)</f>
        <v>818017.06</v>
      </c>
      <c r="P221" s="1773">
        <f t="shared" ref="P221:T221" si="14">SUM(P222:P250)</f>
        <v>820362</v>
      </c>
      <c r="Q221" s="1773">
        <f t="shared" si="14"/>
        <v>870790.6</v>
      </c>
      <c r="R221" s="1522">
        <f t="shared" si="14"/>
        <v>800360</v>
      </c>
      <c r="S221" s="1522">
        <f t="shared" si="14"/>
        <v>759223</v>
      </c>
      <c r="T221" s="1522">
        <f t="shared" si="14"/>
        <v>759223</v>
      </c>
      <c r="U221" s="1075"/>
      <c r="V221" s="1075"/>
      <c r="W221" s="1075"/>
    </row>
    <row r="222" spans="1:24" s="1114" customFormat="1" x14ac:dyDescent="0.2">
      <c r="A222" s="1278"/>
      <c r="B222" s="1278"/>
      <c r="C222" s="1774" t="s">
        <v>133</v>
      </c>
      <c r="D222" s="1775"/>
      <c r="E222" s="1776"/>
      <c r="F222" s="1775"/>
      <c r="G222" s="1776"/>
      <c r="H222" s="1775"/>
      <c r="I222" s="1776"/>
      <c r="J222" s="1776">
        <v>522284</v>
      </c>
      <c r="K222" s="1273">
        <v>611019</v>
      </c>
      <c r="L222" s="1273">
        <v>619676</v>
      </c>
      <c r="M222" s="1272">
        <v>574231</v>
      </c>
      <c r="N222" s="1520">
        <v>722324</v>
      </c>
      <c r="O222" s="1805">
        <v>695902</v>
      </c>
      <c r="P222" s="1520">
        <v>733368</v>
      </c>
      <c r="Q222" s="1520">
        <v>738533</v>
      </c>
      <c r="R222" s="1970">
        <v>738533</v>
      </c>
      <c r="S222" s="1275">
        <v>733368</v>
      </c>
      <c r="T222" s="1275">
        <v>733368</v>
      </c>
      <c r="U222" s="1942"/>
      <c r="V222" s="1075"/>
      <c r="W222" s="1075"/>
      <c r="X222" s="1303"/>
    </row>
    <row r="223" spans="1:24" s="1114" customFormat="1" x14ac:dyDescent="0.2">
      <c r="A223" s="1278"/>
      <c r="B223" s="1278"/>
      <c r="C223" s="1709" t="s">
        <v>991</v>
      </c>
      <c r="D223" s="1775"/>
      <c r="E223" s="1776"/>
      <c r="F223" s="1775"/>
      <c r="G223" s="1776"/>
      <c r="H223" s="1775"/>
      <c r="I223" s="1776"/>
      <c r="J223" s="1776"/>
      <c r="K223" s="1273"/>
      <c r="L223" s="1273">
        <v>4100</v>
      </c>
      <c r="M223" s="1272">
        <v>0</v>
      </c>
      <c r="N223" s="1520">
        <v>0</v>
      </c>
      <c r="O223" s="1805">
        <v>8293</v>
      </c>
      <c r="P223" s="1520">
        <v>0</v>
      </c>
      <c r="Q223" s="1520">
        <v>8293</v>
      </c>
      <c r="R223" s="1970"/>
      <c r="S223" s="1275"/>
      <c r="T223" s="1275"/>
      <c r="U223" s="1943"/>
      <c r="V223" s="1075"/>
      <c r="W223" s="1075"/>
    </row>
    <row r="224" spans="1:24" s="1114" customFormat="1" x14ac:dyDescent="0.2">
      <c r="A224" s="1278"/>
      <c r="B224" s="1278"/>
      <c r="C224" s="1940" t="s">
        <v>1008</v>
      </c>
      <c r="D224" s="1775"/>
      <c r="E224" s="1776"/>
      <c r="F224" s="1775"/>
      <c r="G224" s="1776"/>
      <c r="H224" s="1775"/>
      <c r="I224" s="1776"/>
      <c r="J224" s="1776"/>
      <c r="K224" s="1273"/>
      <c r="L224" s="1273"/>
      <c r="M224" s="1272"/>
      <c r="N224" s="1520"/>
      <c r="O224" s="1805"/>
      <c r="P224" s="1520"/>
      <c r="Q224" s="1520">
        <v>0</v>
      </c>
      <c r="R224" s="1970"/>
      <c r="S224" s="1275"/>
      <c r="T224" s="1275"/>
      <c r="U224" s="1075"/>
      <c r="V224" s="1075"/>
      <c r="W224" s="1075"/>
    </row>
    <row r="225" spans="1:23" s="1114" customFormat="1" x14ac:dyDescent="0.2">
      <c r="A225" s="1278"/>
      <c r="B225" s="1278"/>
      <c r="C225" s="1774" t="s">
        <v>815</v>
      </c>
      <c r="D225" s="1775"/>
      <c r="E225" s="1776"/>
      <c r="F225" s="1775"/>
      <c r="G225" s="1776"/>
      <c r="H225" s="1775"/>
      <c r="I225" s="1776"/>
      <c r="J225" s="1776"/>
      <c r="K225" s="1273">
        <v>6156</v>
      </c>
      <c r="L225" s="1273">
        <v>3658</v>
      </c>
      <c r="M225" s="1272">
        <v>2439</v>
      </c>
      <c r="N225" s="1520">
        <v>0</v>
      </c>
      <c r="O225" s="1805">
        <v>53867.15</v>
      </c>
      <c r="P225" s="1520">
        <v>57816</v>
      </c>
      <c r="Q225" s="1520">
        <v>39212</v>
      </c>
      <c r="R225" s="1970">
        <v>0</v>
      </c>
      <c r="S225" s="1275">
        <v>0</v>
      </c>
      <c r="T225" s="1275">
        <v>0</v>
      </c>
      <c r="U225" s="1075"/>
      <c r="V225" s="1075"/>
      <c r="W225" s="1075"/>
    </row>
    <row r="226" spans="1:23" s="1114" customFormat="1" x14ac:dyDescent="0.2">
      <c r="A226" s="1278"/>
      <c r="B226" s="1278"/>
      <c r="C226" s="1774" t="s">
        <v>878</v>
      </c>
      <c r="D226" s="1775"/>
      <c r="E226" s="1776"/>
      <c r="F226" s="1775"/>
      <c r="G226" s="1776"/>
      <c r="H226" s="1775"/>
      <c r="I226" s="1776"/>
      <c r="J226" s="1776"/>
      <c r="K226" s="1273">
        <v>3657</v>
      </c>
      <c r="L226" s="1273"/>
      <c r="M226" s="1272"/>
      <c r="N226" s="1520"/>
      <c r="O226" s="1805">
        <v>4316</v>
      </c>
      <c r="P226" s="1520">
        <v>3096</v>
      </c>
      <c r="Q226" s="1520">
        <v>3425</v>
      </c>
      <c r="R226" s="1970">
        <v>0</v>
      </c>
      <c r="S226" s="1275">
        <v>0</v>
      </c>
      <c r="T226" s="1275">
        <v>0</v>
      </c>
      <c r="U226" s="1075"/>
      <c r="V226" s="1075"/>
      <c r="W226" s="1075"/>
    </row>
    <row r="227" spans="1:23" s="1114" customFormat="1" x14ac:dyDescent="0.2">
      <c r="A227" s="1278"/>
      <c r="B227" s="1278"/>
      <c r="C227" s="1774" t="s">
        <v>1011</v>
      </c>
      <c r="D227" s="1775"/>
      <c r="E227" s="1776"/>
      <c r="F227" s="1775"/>
      <c r="G227" s="1776"/>
      <c r="H227" s="1775"/>
      <c r="I227" s="1776"/>
      <c r="J227" s="1776"/>
      <c r="K227" s="1273"/>
      <c r="L227" s="1273"/>
      <c r="M227" s="1272"/>
      <c r="N227" s="1520"/>
      <c r="O227" s="1805"/>
      <c r="P227" s="1520"/>
      <c r="Q227" s="1520">
        <v>5186</v>
      </c>
      <c r="R227" s="1970">
        <v>10372</v>
      </c>
      <c r="S227" s="1275"/>
      <c r="T227" s="1275"/>
      <c r="U227" s="1075"/>
      <c r="V227" s="1075"/>
      <c r="W227" s="1075"/>
    </row>
    <row r="228" spans="1:23" s="1114" customFormat="1" x14ac:dyDescent="0.2">
      <c r="A228" s="1278"/>
      <c r="B228" s="1278"/>
      <c r="C228" s="1774" t="s">
        <v>1014</v>
      </c>
      <c r="D228" s="1775"/>
      <c r="E228" s="1776"/>
      <c r="F228" s="1775"/>
      <c r="G228" s="1776"/>
      <c r="H228" s="1775"/>
      <c r="I228" s="1776"/>
      <c r="J228" s="1776"/>
      <c r="K228" s="1273"/>
      <c r="L228" s="1273">
        <v>8342</v>
      </c>
      <c r="M228" s="1272">
        <v>17308</v>
      </c>
      <c r="N228" s="1520">
        <v>0</v>
      </c>
      <c r="O228" s="1805">
        <v>0</v>
      </c>
      <c r="P228" s="1520">
        <v>0</v>
      </c>
      <c r="Q228" s="1520">
        <v>18836</v>
      </c>
      <c r="R228" s="1970">
        <v>25600</v>
      </c>
      <c r="S228" s="1275"/>
      <c r="T228" s="1275"/>
      <c r="U228" s="1942"/>
      <c r="V228" s="1075"/>
      <c r="W228" s="1075"/>
    </row>
    <row r="229" spans="1:23" s="1114" customFormat="1" x14ac:dyDescent="0.2">
      <c r="A229" s="1278"/>
      <c r="B229" s="1278"/>
      <c r="C229" s="1774" t="s">
        <v>1009</v>
      </c>
      <c r="D229" s="1775"/>
      <c r="E229" s="1776"/>
      <c r="F229" s="1775"/>
      <c r="G229" s="1776"/>
      <c r="H229" s="1775"/>
      <c r="I229" s="1776"/>
      <c r="J229" s="1776"/>
      <c r="K229" s="1273"/>
      <c r="L229" s="1273"/>
      <c r="M229" s="1272"/>
      <c r="N229" s="1520"/>
      <c r="O229" s="1805"/>
      <c r="P229" s="1520"/>
      <c r="Q229" s="1520">
        <v>14097</v>
      </c>
      <c r="R229" s="1970"/>
      <c r="S229" s="1275"/>
      <c r="T229" s="1275"/>
      <c r="U229" s="1075"/>
      <c r="V229" s="1075"/>
      <c r="W229" s="1075"/>
    </row>
    <row r="230" spans="1:23" s="1114" customFormat="1" x14ac:dyDescent="0.2">
      <c r="A230" s="1278"/>
      <c r="B230" s="1278"/>
      <c r="C230" s="1774" t="s">
        <v>942</v>
      </c>
      <c r="D230" s="1775"/>
      <c r="E230" s="1776"/>
      <c r="F230" s="1775"/>
      <c r="G230" s="1776"/>
      <c r="H230" s="1775"/>
      <c r="I230" s="1776"/>
      <c r="J230" s="1776"/>
      <c r="K230" s="1273"/>
      <c r="L230" s="1273">
        <v>800</v>
      </c>
      <c r="M230" s="1272">
        <v>7200</v>
      </c>
      <c r="N230" s="1520">
        <v>7200</v>
      </c>
      <c r="O230" s="1805">
        <v>5694</v>
      </c>
      <c r="P230" s="1520">
        <v>0</v>
      </c>
      <c r="Q230" s="1520">
        <v>0</v>
      </c>
      <c r="R230" s="1970">
        <v>0</v>
      </c>
      <c r="S230" s="1275">
        <v>0</v>
      </c>
      <c r="T230" s="1275">
        <v>0</v>
      </c>
      <c r="U230" s="1075"/>
      <c r="V230" s="1075"/>
      <c r="W230" s="1075"/>
    </row>
    <row r="231" spans="1:23" s="1114" customFormat="1" x14ac:dyDescent="0.2">
      <c r="A231" s="1278"/>
      <c r="B231" s="1278"/>
      <c r="C231" s="1774" t="s">
        <v>941</v>
      </c>
      <c r="D231" s="1775"/>
      <c r="E231" s="1776"/>
      <c r="F231" s="1775"/>
      <c r="G231" s="1776"/>
      <c r="H231" s="1775"/>
      <c r="I231" s="1776"/>
      <c r="J231" s="1776"/>
      <c r="K231" s="1273"/>
      <c r="L231" s="1273">
        <v>4600</v>
      </c>
      <c r="M231" s="1272">
        <v>6900</v>
      </c>
      <c r="N231" s="1520">
        <v>7900</v>
      </c>
      <c r="O231" s="1805">
        <v>712</v>
      </c>
      <c r="P231" s="1520">
        <v>0</v>
      </c>
      <c r="Q231" s="1520">
        <v>0</v>
      </c>
      <c r="R231" s="1970">
        <v>0</v>
      </c>
      <c r="S231" s="1275">
        <v>0</v>
      </c>
      <c r="T231" s="1275">
        <v>0</v>
      </c>
      <c r="U231" s="1075"/>
      <c r="V231" s="1075"/>
      <c r="W231" s="1075"/>
    </row>
    <row r="232" spans="1:23" s="1114" customFormat="1" x14ac:dyDescent="0.2">
      <c r="A232" s="1278"/>
      <c r="B232" s="1278"/>
      <c r="C232" s="1774" t="s">
        <v>940</v>
      </c>
      <c r="D232" s="1775"/>
      <c r="E232" s="1776"/>
      <c r="F232" s="1775"/>
      <c r="G232" s="1776"/>
      <c r="H232" s="1775"/>
      <c r="I232" s="1776"/>
      <c r="J232" s="1776"/>
      <c r="K232" s="1273"/>
      <c r="L232" s="1273"/>
      <c r="M232" s="1272">
        <v>23943</v>
      </c>
      <c r="N232" s="1520"/>
      <c r="O232" s="1805">
        <v>7229</v>
      </c>
      <c r="P232" s="1520"/>
      <c r="Q232" s="1520">
        <v>0</v>
      </c>
      <c r="R232" s="1970"/>
      <c r="S232" s="1275"/>
      <c r="T232" s="1275"/>
      <c r="U232" s="1075"/>
      <c r="V232" s="1075"/>
      <c r="W232" s="1075"/>
    </row>
    <row r="233" spans="1:23" x14ac:dyDescent="0.2">
      <c r="A233" s="1113"/>
      <c r="B233" s="1113"/>
      <c r="C233" s="1113" t="s">
        <v>693</v>
      </c>
      <c r="D233" s="1099"/>
      <c r="E233" s="1070"/>
      <c r="F233" s="1099"/>
      <c r="G233" s="1070"/>
      <c r="H233" s="1099"/>
      <c r="I233" s="1070"/>
      <c r="J233" s="1070"/>
      <c r="K233" s="1273">
        <v>2037.6</v>
      </c>
      <c r="L233" s="1273">
        <v>1995</v>
      </c>
      <c r="M233" s="1272">
        <v>2700</v>
      </c>
      <c r="N233" s="1520">
        <v>2700</v>
      </c>
      <c r="O233" s="1805">
        <v>2330</v>
      </c>
      <c r="P233" s="1520">
        <v>2500</v>
      </c>
      <c r="Q233" s="1520">
        <v>3150</v>
      </c>
      <c r="R233" s="1970">
        <v>3150</v>
      </c>
      <c r="S233" s="1275">
        <v>3150</v>
      </c>
      <c r="T233" s="1275">
        <v>3150</v>
      </c>
      <c r="U233" s="76"/>
      <c r="V233" s="76"/>
      <c r="W233" s="76"/>
    </row>
    <row r="234" spans="1:23" x14ac:dyDescent="0.2">
      <c r="A234" s="1113"/>
      <c r="B234" s="1113"/>
      <c r="C234" s="1113" t="s">
        <v>1006</v>
      </c>
      <c r="D234" s="1099"/>
      <c r="E234" s="1070"/>
      <c r="F234" s="1099"/>
      <c r="G234" s="1070"/>
      <c r="H234" s="1099"/>
      <c r="I234" s="1070"/>
      <c r="J234" s="1070"/>
      <c r="K234" s="1273">
        <v>0</v>
      </c>
      <c r="L234" s="1273">
        <v>0</v>
      </c>
      <c r="M234" s="1272">
        <v>0</v>
      </c>
      <c r="N234" s="1520">
        <v>0</v>
      </c>
      <c r="O234" s="1805">
        <v>0</v>
      </c>
      <c r="P234" s="1520">
        <v>0</v>
      </c>
      <c r="Q234" s="1520">
        <v>9000</v>
      </c>
      <c r="R234" s="1970">
        <v>0</v>
      </c>
      <c r="S234" s="1275">
        <v>0</v>
      </c>
      <c r="T234" s="1275">
        <v>0</v>
      </c>
      <c r="U234" s="76"/>
      <c r="V234" s="76"/>
      <c r="W234" s="76"/>
    </row>
    <row r="235" spans="1:23" x14ac:dyDescent="0.2">
      <c r="A235" s="1113"/>
      <c r="B235" s="1113"/>
      <c r="C235" s="1113" t="s">
        <v>1007</v>
      </c>
      <c r="D235" s="1099"/>
      <c r="E235" s="1070"/>
      <c r="F235" s="1099"/>
      <c r="G235" s="1070"/>
      <c r="H235" s="1099"/>
      <c r="I235" s="1070"/>
      <c r="J235" s="1070"/>
      <c r="K235" s="1273"/>
      <c r="L235" s="1273"/>
      <c r="M235" s="1272"/>
      <c r="N235" s="1520"/>
      <c r="O235" s="1805"/>
      <c r="P235" s="1520"/>
      <c r="Q235" s="1520">
        <v>4794</v>
      </c>
      <c r="R235" s="1970"/>
      <c r="S235" s="1275"/>
      <c r="T235" s="1275"/>
      <c r="U235" s="76"/>
      <c r="V235" s="76"/>
      <c r="W235" s="76"/>
    </row>
    <row r="236" spans="1:23" x14ac:dyDescent="0.2">
      <c r="A236" s="1113"/>
      <c r="B236" s="1113"/>
      <c r="C236" s="1113" t="s">
        <v>694</v>
      </c>
      <c r="D236" s="1099"/>
      <c r="E236" s="1070"/>
      <c r="F236" s="1099"/>
      <c r="G236" s="1070"/>
      <c r="H236" s="1099"/>
      <c r="I236" s="1070"/>
      <c r="J236" s="1070"/>
      <c r="K236" s="1273">
        <v>1233</v>
      </c>
      <c r="L236" s="1273">
        <v>1408</v>
      </c>
      <c r="M236" s="1272">
        <v>2256</v>
      </c>
      <c r="N236" s="1520">
        <v>2256</v>
      </c>
      <c r="O236" s="1805">
        <v>2560.4</v>
      </c>
      <c r="P236" s="1520">
        <v>2740</v>
      </c>
      <c r="Q236" s="1520">
        <v>2256</v>
      </c>
      <c r="R236" s="1970">
        <v>2740</v>
      </c>
      <c r="S236" s="1275">
        <v>2740</v>
      </c>
      <c r="T236" s="1275">
        <v>2740</v>
      </c>
      <c r="U236" s="76"/>
      <c r="V236" s="76"/>
      <c r="W236" s="76"/>
    </row>
    <row r="237" spans="1:23" x14ac:dyDescent="0.2">
      <c r="A237" s="1113"/>
      <c r="B237" s="1113"/>
      <c r="C237" s="1113" t="s">
        <v>695</v>
      </c>
      <c r="D237" s="1099"/>
      <c r="E237" s="1070"/>
      <c r="F237" s="1099"/>
      <c r="G237" s="1070"/>
      <c r="H237" s="1099"/>
      <c r="I237" s="1070"/>
      <c r="J237" s="1070"/>
      <c r="K237" s="1273">
        <v>5000</v>
      </c>
      <c r="L237" s="1273">
        <v>0</v>
      </c>
      <c r="M237" s="1272">
        <v>5000</v>
      </c>
      <c r="N237" s="1520">
        <v>6500</v>
      </c>
      <c r="O237" s="1805">
        <v>5000</v>
      </c>
      <c r="P237" s="1520">
        <v>5000</v>
      </c>
      <c r="Q237" s="1520">
        <v>5000</v>
      </c>
      <c r="R237" s="1970">
        <v>5000</v>
      </c>
      <c r="S237" s="1275">
        <v>5000</v>
      </c>
      <c r="T237" s="1275">
        <v>5000</v>
      </c>
      <c r="U237" s="76"/>
      <c r="V237" s="76"/>
      <c r="W237" s="76"/>
    </row>
    <row r="238" spans="1:23" x14ac:dyDescent="0.2">
      <c r="A238" s="1113"/>
      <c r="B238" s="1113"/>
      <c r="C238" s="1113" t="s">
        <v>696</v>
      </c>
      <c r="D238" s="1099"/>
      <c r="E238" s="1070"/>
      <c r="F238" s="1099"/>
      <c r="G238" s="1070"/>
      <c r="H238" s="1099"/>
      <c r="I238" s="1070"/>
      <c r="J238" s="1070"/>
      <c r="K238" s="1273">
        <v>26</v>
      </c>
      <c r="L238" s="1273">
        <v>2842</v>
      </c>
      <c r="M238" s="1272">
        <v>7098</v>
      </c>
      <c r="N238" s="1520">
        <v>7098</v>
      </c>
      <c r="O238" s="1805">
        <v>7142</v>
      </c>
      <c r="P238" s="1520">
        <v>7232</v>
      </c>
      <c r="Q238" s="1520">
        <v>7008</v>
      </c>
      <c r="R238" s="1970">
        <v>7360</v>
      </c>
      <c r="S238" s="1275">
        <v>7360</v>
      </c>
      <c r="T238" s="1275">
        <v>7360</v>
      </c>
      <c r="U238" s="76"/>
      <c r="V238" s="76"/>
      <c r="W238" s="76"/>
    </row>
    <row r="239" spans="1:23" x14ac:dyDescent="0.2">
      <c r="A239" s="1113"/>
      <c r="B239" s="1113"/>
      <c r="C239" s="1113" t="s">
        <v>1005</v>
      </c>
      <c r="D239" s="1099"/>
      <c r="E239" s="1070"/>
      <c r="F239" s="1099"/>
      <c r="G239" s="1070"/>
      <c r="H239" s="1099"/>
      <c r="I239" s="1070"/>
      <c r="J239" s="1070"/>
      <c r="K239" s="1273"/>
      <c r="L239" s="1273"/>
      <c r="M239" s="1272"/>
      <c r="N239" s="1520"/>
      <c r="O239" s="1805"/>
      <c r="P239" s="1520"/>
      <c r="Q239" s="1520">
        <v>400</v>
      </c>
      <c r="R239" s="1970"/>
      <c r="S239" s="1275"/>
      <c r="T239" s="1275"/>
      <c r="U239" s="76"/>
      <c r="V239" s="76"/>
      <c r="W239" s="76"/>
    </row>
    <row r="240" spans="1:23" x14ac:dyDescent="0.2">
      <c r="A240" s="1113"/>
      <c r="B240" s="1113"/>
      <c r="C240" s="1113" t="s">
        <v>725</v>
      </c>
      <c r="D240" s="1099"/>
      <c r="E240" s="1070"/>
      <c r="F240" s="1099"/>
      <c r="G240" s="1070"/>
      <c r="H240" s="1099"/>
      <c r="I240" s="1070"/>
      <c r="J240" s="1070"/>
      <c r="K240" s="1273">
        <v>6936</v>
      </c>
      <c r="L240" s="1273">
        <v>4621</v>
      </c>
      <c r="M240" s="1272">
        <v>7282</v>
      </c>
      <c r="N240" s="1520">
        <v>7284</v>
      </c>
      <c r="O240" s="1805">
        <v>5578</v>
      </c>
      <c r="P240" s="1520">
        <v>5578</v>
      </c>
      <c r="Q240" s="1520">
        <v>5339</v>
      </c>
      <c r="R240" s="1970">
        <v>5339</v>
      </c>
      <c r="S240" s="1275">
        <v>5339</v>
      </c>
      <c r="T240" s="1275">
        <v>5339</v>
      </c>
      <c r="U240" s="76"/>
      <c r="V240" s="76"/>
      <c r="W240" s="76"/>
    </row>
    <row r="241" spans="1:23" x14ac:dyDescent="0.2">
      <c r="A241" s="1113"/>
      <c r="B241" s="1113"/>
      <c r="C241" s="1113" t="s">
        <v>834</v>
      </c>
      <c r="D241" s="1099"/>
      <c r="E241" s="1070"/>
      <c r="F241" s="1099"/>
      <c r="G241" s="1070"/>
      <c r="H241" s="1099"/>
      <c r="I241" s="1070"/>
      <c r="J241" s="1070"/>
      <c r="K241" s="1337"/>
      <c r="L241" s="1273">
        <v>17280</v>
      </c>
      <c r="M241" s="1272">
        <v>6892</v>
      </c>
      <c r="N241" s="1520">
        <v>27567</v>
      </c>
      <c r="O241" s="1805">
        <v>0</v>
      </c>
      <c r="P241" s="1520">
        <v>0</v>
      </c>
      <c r="Q241" s="1520">
        <v>0</v>
      </c>
      <c r="R241" s="1970">
        <v>0</v>
      </c>
      <c r="S241" s="1275">
        <v>0</v>
      </c>
      <c r="T241" s="1275">
        <v>0</v>
      </c>
      <c r="U241" s="76"/>
      <c r="V241" s="76"/>
      <c r="W241" s="76"/>
    </row>
    <row r="242" spans="1:23" x14ac:dyDescent="0.2">
      <c r="A242" s="1113"/>
      <c r="B242" s="1113"/>
      <c r="C242" s="1113" t="s">
        <v>697</v>
      </c>
      <c r="D242" s="1099"/>
      <c r="E242" s="1070"/>
      <c r="F242" s="1099"/>
      <c r="G242" s="1070"/>
      <c r="H242" s="1099"/>
      <c r="I242" s="1070"/>
      <c r="J242" s="1070"/>
      <c r="K242" s="1337">
        <v>4050</v>
      </c>
      <c r="L242" s="1273">
        <v>2450</v>
      </c>
      <c r="M242" s="1272">
        <v>3150</v>
      </c>
      <c r="N242" s="1520">
        <v>3150</v>
      </c>
      <c r="O242" s="1805">
        <v>2550</v>
      </c>
      <c r="P242" s="1520">
        <v>2700</v>
      </c>
      <c r="Q242" s="1520">
        <v>2650</v>
      </c>
      <c r="R242" s="1970">
        <v>2000</v>
      </c>
      <c r="S242" s="1275">
        <v>2000</v>
      </c>
      <c r="T242" s="1275">
        <v>2000</v>
      </c>
      <c r="U242" s="76"/>
      <c r="V242" s="76"/>
      <c r="W242" s="76"/>
    </row>
    <row r="243" spans="1:23" x14ac:dyDescent="0.2">
      <c r="A243" s="1113"/>
      <c r="B243" s="1113"/>
      <c r="C243" s="1113" t="s">
        <v>816</v>
      </c>
      <c r="D243" s="1099"/>
      <c r="E243" s="1070"/>
      <c r="F243" s="1099"/>
      <c r="G243" s="1070"/>
      <c r="H243" s="1099"/>
      <c r="I243" s="1070"/>
      <c r="J243" s="1070"/>
      <c r="K243" s="1273">
        <v>8838</v>
      </c>
      <c r="L243" s="1273">
        <v>3373</v>
      </c>
      <c r="M243" s="1272">
        <v>1518</v>
      </c>
      <c r="N243" s="1520">
        <v>0</v>
      </c>
      <c r="O243" s="1805">
        <v>6750</v>
      </c>
      <c r="P243" s="1520">
        <v>0</v>
      </c>
      <c r="Q243" s="1520">
        <v>1672</v>
      </c>
      <c r="R243" s="1970">
        <v>0</v>
      </c>
      <c r="S243" s="1275">
        <v>0</v>
      </c>
      <c r="T243" s="1275">
        <v>0</v>
      </c>
      <c r="U243" s="76"/>
      <c r="V243" s="76"/>
      <c r="W243" s="76"/>
    </row>
    <row r="244" spans="1:23" x14ac:dyDescent="0.2">
      <c r="A244" s="1113"/>
      <c r="B244" s="1113"/>
      <c r="C244" s="1113" t="s">
        <v>698</v>
      </c>
      <c r="D244" s="1099"/>
      <c r="E244" s="1070"/>
      <c r="F244" s="1099"/>
      <c r="G244" s="1070"/>
      <c r="H244" s="1099"/>
      <c r="I244" s="1070"/>
      <c r="J244" s="1070">
        <v>664</v>
      </c>
      <c r="K244" s="1273">
        <v>265.60000000000002</v>
      </c>
      <c r="L244" s="1273">
        <v>299</v>
      </c>
      <c r="M244" s="1272">
        <v>582</v>
      </c>
      <c r="N244" s="1520">
        <v>382</v>
      </c>
      <c r="O244" s="1805">
        <v>249</v>
      </c>
      <c r="P244" s="1520">
        <v>332</v>
      </c>
      <c r="Q244" s="1520">
        <v>265.60000000000002</v>
      </c>
      <c r="R244" s="1970">
        <v>266</v>
      </c>
      <c r="S244" s="1275">
        <v>266</v>
      </c>
      <c r="T244" s="1275">
        <v>266</v>
      </c>
      <c r="U244" s="76"/>
      <c r="V244" s="76"/>
      <c r="W244" s="76"/>
    </row>
    <row r="245" spans="1:23" x14ac:dyDescent="0.2">
      <c r="A245" s="1113"/>
      <c r="B245" s="1113"/>
      <c r="C245" s="1113" t="s">
        <v>789</v>
      </c>
      <c r="D245" s="1099"/>
      <c r="E245" s="1070"/>
      <c r="F245" s="1099"/>
      <c r="G245" s="1070"/>
      <c r="H245" s="1099"/>
      <c r="I245" s="1070"/>
      <c r="J245" s="1070">
        <v>11833</v>
      </c>
      <c r="K245" s="1337">
        <v>51067</v>
      </c>
      <c r="L245" s="1273">
        <v>20856</v>
      </c>
      <c r="M245" s="1272">
        <v>14400</v>
      </c>
      <c r="N245" s="1520">
        <v>0</v>
      </c>
      <c r="O245" s="1805">
        <v>0</v>
      </c>
      <c r="P245" s="1520">
        <v>0</v>
      </c>
      <c r="Q245" s="1520">
        <v>0</v>
      </c>
      <c r="R245" s="1970">
        <v>0</v>
      </c>
      <c r="S245" s="1275">
        <v>0</v>
      </c>
      <c r="T245" s="1275">
        <v>0</v>
      </c>
      <c r="U245" s="76"/>
      <c r="V245" s="76"/>
      <c r="W245" s="76"/>
    </row>
    <row r="246" spans="1:23" x14ac:dyDescent="0.2">
      <c r="A246" s="1113"/>
      <c r="B246" s="1113"/>
      <c r="C246" s="1113" t="s">
        <v>879</v>
      </c>
      <c r="D246" s="1099"/>
      <c r="E246" s="1070"/>
      <c r="F246" s="1099"/>
      <c r="G246" s="1070"/>
      <c r="H246" s="1099"/>
      <c r="I246" s="1070"/>
      <c r="J246" s="1070">
        <v>4185</v>
      </c>
      <c r="K246" s="1273">
        <v>750.45</v>
      </c>
      <c r="L246" s="1273">
        <v>554</v>
      </c>
      <c r="M246" s="1272">
        <v>16</v>
      </c>
      <c r="N246" s="1520">
        <v>0</v>
      </c>
      <c r="O246" s="1805">
        <v>8344.51</v>
      </c>
      <c r="P246" s="1520">
        <v>0</v>
      </c>
      <c r="Q246" s="1520">
        <v>174</v>
      </c>
      <c r="R246" s="1970">
        <v>0</v>
      </c>
      <c r="S246" s="1275">
        <v>0</v>
      </c>
      <c r="T246" s="1275">
        <v>0</v>
      </c>
      <c r="U246" s="76"/>
      <c r="V246" s="76"/>
      <c r="W246" s="76"/>
    </row>
    <row r="247" spans="1:23" x14ac:dyDescent="0.2">
      <c r="A247" s="1113"/>
      <c r="B247" s="1113"/>
      <c r="C247" s="1113" t="s">
        <v>1010</v>
      </c>
      <c r="D247" s="1099"/>
      <c r="E247" s="1070"/>
      <c r="F247" s="1099"/>
      <c r="G247" s="1070"/>
      <c r="H247" s="1099"/>
      <c r="I247" s="1070"/>
      <c r="J247" s="1070"/>
      <c r="K247" s="1273"/>
      <c r="L247" s="1273"/>
      <c r="M247" s="1272"/>
      <c r="N247" s="1520"/>
      <c r="O247" s="1805"/>
      <c r="P247" s="1520"/>
      <c r="Q247" s="1520">
        <v>0</v>
      </c>
      <c r="R247" s="1970">
        <v>0</v>
      </c>
      <c r="S247" s="1275">
        <v>0</v>
      </c>
      <c r="T247" s="1275">
        <v>0</v>
      </c>
      <c r="U247" s="76"/>
      <c r="V247" s="76"/>
      <c r="W247" s="76"/>
    </row>
    <row r="248" spans="1:23" x14ac:dyDescent="0.2">
      <c r="A248" s="1113"/>
      <c r="B248" s="1113"/>
      <c r="C248" s="1113" t="s">
        <v>939</v>
      </c>
      <c r="D248" s="1099"/>
      <c r="E248" s="1070"/>
      <c r="F248" s="1099"/>
      <c r="G248" s="1070"/>
      <c r="H248" s="1099"/>
      <c r="I248" s="1070"/>
      <c r="J248" s="1070"/>
      <c r="K248" s="1273"/>
      <c r="L248" s="1273"/>
      <c r="M248" s="1272">
        <v>1150</v>
      </c>
      <c r="N248" s="1520">
        <v>11692</v>
      </c>
      <c r="O248" s="1805">
        <v>0</v>
      </c>
      <c r="P248" s="1520">
        <v>0</v>
      </c>
      <c r="Q248" s="1520">
        <v>0</v>
      </c>
      <c r="R248" s="1970">
        <v>0</v>
      </c>
      <c r="S248" s="1275">
        <v>0</v>
      </c>
      <c r="T248" s="1275">
        <v>0</v>
      </c>
      <c r="U248" s="76"/>
      <c r="V248" s="76"/>
      <c r="W248" s="76"/>
    </row>
    <row r="249" spans="1:23" x14ac:dyDescent="0.2">
      <c r="A249" s="1113"/>
      <c r="B249" s="1113"/>
      <c r="C249" s="1113" t="s">
        <v>992</v>
      </c>
      <c r="D249" s="1099"/>
      <c r="E249" s="1070"/>
      <c r="F249" s="1099"/>
      <c r="G249" s="1070"/>
      <c r="H249" s="1099"/>
      <c r="I249" s="1070"/>
      <c r="J249" s="1070"/>
      <c r="K249" s="1273"/>
      <c r="L249" s="1273"/>
      <c r="M249" s="1272"/>
      <c r="N249" s="1520"/>
      <c r="O249" s="1805">
        <v>1500</v>
      </c>
      <c r="P249" s="1520"/>
      <c r="Q249" s="1520">
        <v>1500</v>
      </c>
      <c r="R249" s="1970"/>
      <c r="S249" s="1275"/>
      <c r="T249" s="1275"/>
      <c r="U249" s="76"/>
      <c r="V249" s="76"/>
      <c r="W249" s="76"/>
    </row>
    <row r="250" spans="1:23" x14ac:dyDescent="0.2">
      <c r="A250" s="1113"/>
      <c r="B250" s="1113"/>
      <c r="C250" s="1113" t="s">
        <v>947</v>
      </c>
      <c r="D250" s="1099"/>
      <c r="E250" s="1070"/>
      <c r="F250" s="1099"/>
      <c r="G250" s="1070"/>
      <c r="H250" s="1099"/>
      <c r="I250" s="1070"/>
      <c r="J250" s="1070"/>
      <c r="K250" s="1273"/>
      <c r="L250" s="1273">
        <v>1000</v>
      </c>
      <c r="M250" s="1272">
        <v>200</v>
      </c>
      <c r="N250" s="1520">
        <v>0</v>
      </c>
      <c r="O250" s="1805">
        <v>0</v>
      </c>
      <c r="P250" s="1520">
        <v>0</v>
      </c>
      <c r="Q250" s="1520">
        <v>0</v>
      </c>
      <c r="R250" s="1970"/>
      <c r="S250" s="1275"/>
      <c r="T250" s="1275"/>
      <c r="U250" s="76"/>
      <c r="V250" s="76"/>
      <c r="W250" s="76"/>
    </row>
    <row r="251" spans="1:23" s="1114" customFormat="1" x14ac:dyDescent="0.2">
      <c r="A251" s="2301" t="s">
        <v>157</v>
      </c>
      <c r="B251" s="2301"/>
      <c r="C251" s="2301"/>
      <c r="D251" s="1772"/>
      <c r="E251" s="1522"/>
      <c r="F251" s="1772"/>
      <c r="G251" s="1522"/>
      <c r="H251" s="1772"/>
      <c r="I251" s="1522"/>
      <c r="J251" s="1522">
        <f>SUM(J252:J266)</f>
        <v>140837</v>
      </c>
      <c r="K251" s="1522">
        <f>SUM(K252:K266)</f>
        <v>181167.57</v>
      </c>
      <c r="L251" s="1522">
        <v>206310</v>
      </c>
      <c r="M251" s="1522">
        <f>SUM(M252:M269)</f>
        <v>224939</v>
      </c>
      <c r="N251" s="1522">
        <f>SUM(N259:N266:N252)+N268+N269+N267</f>
        <v>219289</v>
      </c>
      <c r="O251" s="1876">
        <f>SUM(O252:O269)</f>
        <v>227288.2</v>
      </c>
      <c r="P251" s="1773">
        <f>SUM(P252:P269)</f>
        <v>124945</v>
      </c>
      <c r="Q251" s="1773">
        <f>SUM(Q252:Q269)</f>
        <v>182564</v>
      </c>
      <c r="R251" s="1522">
        <f>SUM(R259:R266:R252)+R269</f>
        <v>114829</v>
      </c>
      <c r="S251" s="1522">
        <f>SUM(S259:S266:S252)+S269</f>
        <v>0</v>
      </c>
      <c r="T251" s="1522">
        <f>SUM(T259:T266:T252)+T269</f>
        <v>0</v>
      </c>
      <c r="U251" s="1075"/>
      <c r="V251" s="1075"/>
      <c r="W251" s="1075"/>
    </row>
    <row r="252" spans="1:23" s="1114" customFormat="1" x14ac:dyDescent="0.2">
      <c r="A252" s="1278"/>
      <c r="B252" s="1278"/>
      <c r="C252" s="1774" t="s">
        <v>133</v>
      </c>
      <c r="D252" s="1775"/>
      <c r="E252" s="1776"/>
      <c r="F252" s="1775"/>
      <c r="G252" s="1776"/>
      <c r="H252" s="1775"/>
      <c r="I252" s="1776"/>
      <c r="J252" s="1776">
        <v>140259</v>
      </c>
      <c r="K252" s="1273">
        <v>171436</v>
      </c>
      <c r="L252" s="1273">
        <v>193089</v>
      </c>
      <c r="M252" s="1272">
        <v>132303</v>
      </c>
      <c r="N252" s="1520">
        <v>171983</v>
      </c>
      <c r="O252" s="1805">
        <v>106029</v>
      </c>
      <c r="P252" s="1520">
        <v>116719</v>
      </c>
      <c r="Q252" s="1520">
        <v>109861</v>
      </c>
      <c r="R252" s="1970">
        <v>109861</v>
      </c>
      <c r="S252" s="1275">
        <v>0</v>
      </c>
      <c r="T252" s="1275">
        <v>0</v>
      </c>
      <c r="U252" s="1075"/>
      <c r="V252" s="1075"/>
      <c r="W252" s="1075"/>
    </row>
    <row r="253" spans="1:23" s="1114" customFormat="1" x14ac:dyDescent="0.2">
      <c r="A253" s="1278"/>
      <c r="B253" s="1278"/>
      <c r="C253" s="1709" t="s">
        <v>991</v>
      </c>
      <c r="D253" s="1775"/>
      <c r="E253" s="1776"/>
      <c r="F253" s="1775"/>
      <c r="G253" s="1776"/>
      <c r="H253" s="1775"/>
      <c r="I253" s="1776"/>
      <c r="J253" s="1776"/>
      <c r="K253" s="1273">
        <v>1700</v>
      </c>
      <c r="L253" s="1273">
        <v>950</v>
      </c>
      <c r="M253" s="1272">
        <v>0</v>
      </c>
      <c r="N253" s="1520">
        <v>0</v>
      </c>
      <c r="O253" s="1805">
        <v>1963</v>
      </c>
      <c r="P253" s="1520">
        <v>0</v>
      </c>
      <c r="Q253" s="1520">
        <v>1464</v>
      </c>
      <c r="R253" s="1970"/>
      <c r="S253" s="1275"/>
      <c r="T253" s="1275"/>
      <c r="U253" s="1075"/>
      <c r="V253" s="1075"/>
      <c r="W253" s="1075"/>
    </row>
    <row r="254" spans="1:23" s="1114" customFormat="1" x14ac:dyDescent="0.2">
      <c r="A254" s="1278"/>
      <c r="B254" s="1278"/>
      <c r="C254" s="1709" t="s">
        <v>938</v>
      </c>
      <c r="D254" s="1775"/>
      <c r="E254" s="1776"/>
      <c r="F254" s="1775"/>
      <c r="G254" s="1776"/>
      <c r="H254" s="1775"/>
      <c r="I254" s="1776"/>
      <c r="J254" s="1776"/>
      <c r="K254" s="1273"/>
      <c r="L254" s="1273"/>
      <c r="M254" s="1272">
        <v>80000</v>
      </c>
      <c r="N254" s="1520">
        <v>40000</v>
      </c>
      <c r="O254" s="1805">
        <v>110000</v>
      </c>
      <c r="P254" s="1520"/>
      <c r="Q254" s="1520">
        <v>51000</v>
      </c>
      <c r="R254" s="1970">
        <v>0</v>
      </c>
      <c r="S254" s="1275">
        <v>0</v>
      </c>
      <c r="T254" s="1275">
        <v>0</v>
      </c>
      <c r="U254" s="1075"/>
      <c r="V254" s="1075"/>
      <c r="W254" s="1075"/>
    </row>
    <row r="255" spans="1:23" s="1114" customFormat="1" x14ac:dyDescent="0.2">
      <c r="A255" s="1278"/>
      <c r="B255" s="1278"/>
      <c r="C255" s="1941" t="s">
        <v>1007</v>
      </c>
      <c r="D255" s="1775"/>
      <c r="E255" s="1776"/>
      <c r="F255" s="1775"/>
      <c r="G255" s="1776"/>
      <c r="H255" s="1775"/>
      <c r="I255" s="1776"/>
      <c r="J255" s="1776"/>
      <c r="K255" s="1273"/>
      <c r="L255" s="1273"/>
      <c r="M255" s="1272"/>
      <c r="N255" s="1520"/>
      <c r="O255" s="1805"/>
      <c r="P255" s="1520"/>
      <c r="Q255" s="1520">
        <v>731</v>
      </c>
      <c r="R255" s="1970"/>
      <c r="S255" s="1275"/>
      <c r="T255" s="1275"/>
      <c r="U255" s="1075"/>
      <c r="V255" s="1075"/>
      <c r="W255" s="1075"/>
    </row>
    <row r="256" spans="1:23" s="1114" customFormat="1" x14ac:dyDescent="0.2">
      <c r="A256" s="1278"/>
      <c r="B256" s="1278"/>
      <c r="C256" s="1941" t="s">
        <v>1009</v>
      </c>
      <c r="D256" s="1775"/>
      <c r="E256" s="1776"/>
      <c r="F256" s="1775"/>
      <c r="G256" s="1776"/>
      <c r="H256" s="1775"/>
      <c r="I256" s="1776"/>
      <c r="J256" s="1776"/>
      <c r="K256" s="1273"/>
      <c r="L256" s="1273"/>
      <c r="M256" s="1272"/>
      <c r="N256" s="1520"/>
      <c r="O256" s="1805"/>
      <c r="P256" s="1520"/>
      <c r="Q256" s="1520">
        <v>6423</v>
      </c>
      <c r="R256" s="1970"/>
      <c r="S256" s="1275"/>
      <c r="T256" s="1275"/>
      <c r="U256" s="1075"/>
      <c r="V256" s="1075"/>
      <c r="W256" s="1075"/>
    </row>
    <row r="257" spans="1:23" s="1114" customFormat="1" x14ac:dyDescent="0.2">
      <c r="A257" s="1278"/>
      <c r="B257" s="1278"/>
      <c r="C257" s="1774" t="s">
        <v>1015</v>
      </c>
      <c r="D257" s="1775"/>
      <c r="E257" s="1776"/>
      <c r="F257" s="1775"/>
      <c r="G257" s="1776"/>
      <c r="H257" s="1775"/>
      <c r="I257" s="1776"/>
      <c r="J257" s="1776"/>
      <c r="K257" s="1273">
        <v>1421.37</v>
      </c>
      <c r="L257" s="1273">
        <v>3718</v>
      </c>
      <c r="M257" s="1272">
        <v>6959</v>
      </c>
      <c r="N257" s="1520">
        <v>0</v>
      </c>
      <c r="O257" s="1805">
        <v>0</v>
      </c>
      <c r="P257" s="1520">
        <v>0</v>
      </c>
      <c r="Q257" s="1520">
        <v>2161</v>
      </c>
      <c r="R257" s="1970"/>
      <c r="S257" s="1275"/>
      <c r="T257" s="1275"/>
      <c r="U257" s="1942"/>
      <c r="V257" s="1075"/>
      <c r="W257" s="1075"/>
    </row>
    <row r="258" spans="1:23" s="1114" customFormat="1" x14ac:dyDescent="0.2">
      <c r="A258" s="1278"/>
      <c r="B258" s="1278"/>
      <c r="C258" s="1774" t="s">
        <v>1014</v>
      </c>
      <c r="D258" s="1775"/>
      <c r="E258" s="1776"/>
      <c r="F258" s="1775"/>
      <c r="G258" s="1776"/>
      <c r="H258" s="1775"/>
      <c r="I258" s="1776"/>
      <c r="J258" s="1776"/>
      <c r="K258" s="1273"/>
      <c r="L258" s="1273"/>
      <c r="M258" s="1272"/>
      <c r="N258" s="1520"/>
      <c r="O258" s="1805"/>
      <c r="P258" s="1520"/>
      <c r="Q258" s="1520">
        <v>5708</v>
      </c>
      <c r="R258" s="1970"/>
      <c r="S258" s="1275"/>
      <c r="T258" s="1275"/>
      <c r="U258" s="1942"/>
      <c r="V258" s="1075"/>
      <c r="W258" s="1075"/>
    </row>
    <row r="259" spans="1:23" x14ac:dyDescent="0.2">
      <c r="A259" s="1113"/>
      <c r="B259" s="1113"/>
      <c r="C259" s="1113" t="s">
        <v>693</v>
      </c>
      <c r="D259" s="1099"/>
      <c r="E259" s="1070"/>
      <c r="F259" s="1099"/>
      <c r="G259" s="1070"/>
      <c r="H259" s="1099"/>
      <c r="I259" s="1070"/>
      <c r="J259" s="1070">
        <v>312</v>
      </c>
      <c r="K259" s="1273">
        <v>260</v>
      </c>
      <c r="L259" s="1273">
        <v>300</v>
      </c>
      <c r="M259" s="1272">
        <v>350</v>
      </c>
      <c r="N259" s="1520">
        <v>350</v>
      </c>
      <c r="O259" s="1805">
        <v>248</v>
      </c>
      <c r="P259" s="1520">
        <v>300</v>
      </c>
      <c r="Q259" s="1520">
        <v>400</v>
      </c>
      <c r="R259" s="1970">
        <v>400</v>
      </c>
      <c r="S259" s="1275">
        <v>0</v>
      </c>
      <c r="T259" s="1275">
        <v>0</v>
      </c>
      <c r="U259" s="76"/>
      <c r="V259" s="76"/>
      <c r="W259" s="76"/>
    </row>
    <row r="260" spans="1:23" x14ac:dyDescent="0.2">
      <c r="A260" s="1113"/>
      <c r="B260" s="1113"/>
      <c r="C260" s="1113" t="s">
        <v>699</v>
      </c>
      <c r="D260" s="1099"/>
      <c r="E260" s="1070"/>
      <c r="F260" s="1099"/>
      <c r="G260" s="1070"/>
      <c r="H260" s="1099"/>
      <c r="I260" s="1070"/>
      <c r="J260" s="1070"/>
      <c r="K260" s="1273"/>
      <c r="L260" s="1273">
        <v>0</v>
      </c>
      <c r="M260" s="1272">
        <v>0</v>
      </c>
      <c r="N260" s="1520">
        <v>0</v>
      </c>
      <c r="O260" s="1805">
        <v>0</v>
      </c>
      <c r="P260" s="1520">
        <v>0</v>
      </c>
      <c r="Q260" s="1520">
        <v>0</v>
      </c>
      <c r="R260" s="1970">
        <v>0</v>
      </c>
      <c r="S260" s="1275">
        <v>0</v>
      </c>
      <c r="T260" s="1275">
        <v>0</v>
      </c>
      <c r="U260" s="76"/>
      <c r="V260" s="76"/>
      <c r="W260" s="76"/>
    </row>
    <row r="261" spans="1:23" x14ac:dyDescent="0.2">
      <c r="A261" s="1113"/>
      <c r="B261" s="1113"/>
      <c r="C261" s="1113" t="s">
        <v>694</v>
      </c>
      <c r="D261" s="1099"/>
      <c r="E261" s="1070"/>
      <c r="F261" s="1099"/>
      <c r="G261" s="1070"/>
      <c r="H261" s="1099"/>
      <c r="I261" s="1070"/>
      <c r="J261" s="1070"/>
      <c r="K261" s="1273">
        <v>1266</v>
      </c>
      <c r="L261" s="1273">
        <v>1063</v>
      </c>
      <c r="M261" s="1272">
        <v>1391</v>
      </c>
      <c r="N261" s="1520">
        <v>1390</v>
      </c>
      <c r="O261" s="1805">
        <v>1959.6</v>
      </c>
      <c r="P261" s="1520">
        <v>1960</v>
      </c>
      <c r="Q261" s="1520">
        <v>1248</v>
      </c>
      <c r="R261" s="1734">
        <v>1000</v>
      </c>
      <c r="S261" s="1275">
        <v>0</v>
      </c>
      <c r="T261" s="1275">
        <v>0</v>
      </c>
      <c r="U261" s="76"/>
      <c r="V261" s="76"/>
      <c r="W261" s="76"/>
    </row>
    <row r="262" spans="1:23" x14ac:dyDescent="0.2">
      <c r="A262" s="1113"/>
      <c r="B262" s="1113"/>
      <c r="C262" s="1113" t="s">
        <v>695</v>
      </c>
      <c r="D262" s="1099"/>
      <c r="E262" s="1070"/>
      <c r="F262" s="1099"/>
      <c r="G262" s="1070"/>
      <c r="H262" s="1099"/>
      <c r="I262" s="1070"/>
      <c r="J262" s="1070"/>
      <c r="K262" s="1273">
        <v>2250</v>
      </c>
      <c r="L262" s="1273">
        <v>0</v>
      </c>
      <c r="M262" s="1272">
        <v>0</v>
      </c>
      <c r="N262" s="1520">
        <v>2000</v>
      </c>
      <c r="O262" s="1805">
        <v>2150</v>
      </c>
      <c r="P262" s="1520">
        <v>2000</v>
      </c>
      <c r="Q262" s="1520">
        <v>1650</v>
      </c>
      <c r="R262" s="1734">
        <v>1650</v>
      </c>
      <c r="S262" s="1275">
        <v>0</v>
      </c>
      <c r="T262" s="1275">
        <v>0</v>
      </c>
      <c r="U262" s="76"/>
      <c r="V262" s="76"/>
      <c r="W262" s="76"/>
    </row>
    <row r="263" spans="1:23" x14ac:dyDescent="0.2">
      <c r="A263" s="1113"/>
      <c r="B263" s="1113"/>
      <c r="C263" s="1113" t="s">
        <v>696</v>
      </c>
      <c r="D263" s="1099"/>
      <c r="E263" s="1070"/>
      <c r="F263" s="1099"/>
      <c r="G263" s="1070"/>
      <c r="H263" s="1099"/>
      <c r="I263" s="1070"/>
      <c r="J263" s="1070"/>
      <c r="K263" s="1273"/>
      <c r="L263" s="1273">
        <v>538</v>
      </c>
      <c r="M263" s="1272">
        <v>1178</v>
      </c>
      <c r="N263" s="1520">
        <v>1800</v>
      </c>
      <c r="O263" s="1805">
        <v>902</v>
      </c>
      <c r="P263" s="1520">
        <v>1000</v>
      </c>
      <c r="Q263" s="1520">
        <v>518</v>
      </c>
      <c r="R263" s="1734">
        <v>518</v>
      </c>
      <c r="S263" s="1275">
        <v>0</v>
      </c>
      <c r="T263" s="1275">
        <v>0</v>
      </c>
      <c r="U263" s="76"/>
      <c r="V263" s="76"/>
      <c r="W263" s="76"/>
    </row>
    <row r="264" spans="1:23" x14ac:dyDescent="0.2">
      <c r="A264" s="1113"/>
      <c r="B264" s="1113"/>
      <c r="C264" s="1113" t="s">
        <v>725</v>
      </c>
      <c r="D264" s="1099"/>
      <c r="E264" s="1070"/>
      <c r="F264" s="1099"/>
      <c r="G264" s="1070"/>
      <c r="H264" s="1099"/>
      <c r="I264" s="1070"/>
      <c r="J264" s="1070"/>
      <c r="K264" s="1273">
        <v>2268</v>
      </c>
      <c r="L264" s="1273">
        <v>1352</v>
      </c>
      <c r="M264" s="1272">
        <v>1842</v>
      </c>
      <c r="N264" s="1520">
        <v>1000</v>
      </c>
      <c r="O264" s="1805">
        <v>947</v>
      </c>
      <c r="P264" s="1520">
        <v>950</v>
      </c>
      <c r="Q264" s="1520">
        <v>950</v>
      </c>
      <c r="R264" s="1734">
        <v>950</v>
      </c>
      <c r="S264" s="1275">
        <v>0</v>
      </c>
      <c r="T264" s="1275">
        <v>0</v>
      </c>
      <c r="U264" s="76"/>
      <c r="V264" s="76"/>
      <c r="W264" s="76"/>
    </row>
    <row r="265" spans="1:23" x14ac:dyDescent="0.2">
      <c r="A265" s="1113"/>
      <c r="B265" s="1113"/>
      <c r="C265" s="1113" t="s">
        <v>697</v>
      </c>
      <c r="D265" s="1099"/>
      <c r="E265" s="1070"/>
      <c r="F265" s="1099"/>
      <c r="G265" s="1070"/>
      <c r="H265" s="1099"/>
      <c r="I265" s="1070"/>
      <c r="J265" s="1070"/>
      <c r="K265" s="1273">
        <v>450</v>
      </c>
      <c r="L265" s="1273">
        <v>450</v>
      </c>
      <c r="M265" s="1272">
        <v>600</v>
      </c>
      <c r="N265" s="1520">
        <v>600</v>
      </c>
      <c r="O265" s="1805">
        <v>900</v>
      </c>
      <c r="P265" s="1520">
        <v>900</v>
      </c>
      <c r="Q265" s="1520">
        <v>450</v>
      </c>
      <c r="R265" s="1734">
        <v>450</v>
      </c>
      <c r="S265" s="1275">
        <v>0</v>
      </c>
      <c r="T265" s="1275">
        <v>0</v>
      </c>
      <c r="U265" s="76"/>
      <c r="V265" s="76"/>
      <c r="W265" s="76"/>
    </row>
    <row r="266" spans="1:23" x14ac:dyDescent="0.2">
      <c r="A266" s="1113"/>
      <c r="B266" s="1113"/>
      <c r="C266" s="1113" t="s">
        <v>698</v>
      </c>
      <c r="D266" s="1099"/>
      <c r="E266" s="1070"/>
      <c r="F266" s="1099"/>
      <c r="G266" s="1070"/>
      <c r="H266" s="1099"/>
      <c r="I266" s="1070"/>
      <c r="J266" s="1070">
        <v>266</v>
      </c>
      <c r="K266" s="1273">
        <v>116.2</v>
      </c>
      <c r="L266" s="1273">
        <v>182</v>
      </c>
      <c r="M266" s="1272">
        <v>166</v>
      </c>
      <c r="N266" s="1520">
        <v>166</v>
      </c>
      <c r="O266" s="1805">
        <v>116.2</v>
      </c>
      <c r="P266" s="1520">
        <v>116</v>
      </c>
      <c r="Q266" s="1520">
        <v>0</v>
      </c>
      <c r="R266" s="1734">
        <v>0</v>
      </c>
      <c r="S266" s="1275">
        <v>0</v>
      </c>
      <c r="T266" s="1275">
        <v>0</v>
      </c>
      <c r="U266" s="76"/>
      <c r="V266" s="76"/>
      <c r="W266" s="76"/>
    </row>
    <row r="267" spans="1:23" x14ac:dyDescent="0.2">
      <c r="A267" s="1113"/>
      <c r="B267" s="1113"/>
      <c r="C267" s="1113" t="s">
        <v>866</v>
      </c>
      <c r="D267" s="1099"/>
      <c r="E267" s="1070"/>
      <c r="F267" s="1099"/>
      <c r="G267" s="1070"/>
      <c r="H267" s="1099"/>
      <c r="I267" s="1070"/>
      <c r="J267" s="1070"/>
      <c r="K267" s="1273">
        <v>1500</v>
      </c>
      <c r="L267" s="1273">
        <v>2000</v>
      </c>
      <c r="M267" s="1272">
        <v>150</v>
      </c>
      <c r="N267" s="1520">
        <v>0</v>
      </c>
      <c r="O267" s="1805">
        <v>1963</v>
      </c>
      <c r="P267" s="1520">
        <v>1000</v>
      </c>
      <c r="Q267" s="1520">
        <v>0</v>
      </c>
      <c r="R267" s="1734">
        <v>1000</v>
      </c>
      <c r="S267" s="1275">
        <v>0</v>
      </c>
      <c r="T267" s="1275">
        <v>0</v>
      </c>
      <c r="U267" s="76"/>
      <c r="V267" s="76"/>
      <c r="W267" s="76"/>
    </row>
    <row r="268" spans="1:23" x14ac:dyDescent="0.2">
      <c r="A268" s="1113"/>
      <c r="B268" s="1113"/>
      <c r="C268" s="1113" t="s">
        <v>816</v>
      </c>
      <c r="D268" s="1099"/>
      <c r="E268" s="1070"/>
      <c r="F268" s="1099"/>
      <c r="G268" s="1070"/>
      <c r="H268" s="1099"/>
      <c r="I268" s="1070"/>
      <c r="J268" s="1070"/>
      <c r="K268" s="1273"/>
      <c r="L268" s="1273">
        <v>1168</v>
      </c>
      <c r="M268" s="1272">
        <v>0</v>
      </c>
      <c r="N268" s="1520">
        <v>0</v>
      </c>
      <c r="O268" s="1805">
        <v>0</v>
      </c>
      <c r="P268" s="1520">
        <v>0</v>
      </c>
      <c r="Q268" s="1520">
        <v>0</v>
      </c>
      <c r="R268" s="1734">
        <v>0</v>
      </c>
      <c r="S268" s="1275"/>
      <c r="T268" s="1275"/>
      <c r="U268" s="76"/>
      <c r="V268" s="76"/>
      <c r="W268" s="76"/>
    </row>
    <row r="269" spans="1:23" x14ac:dyDescent="0.2">
      <c r="A269" s="1113"/>
      <c r="B269" s="1113"/>
      <c r="C269" s="1113" t="s">
        <v>869</v>
      </c>
      <c r="D269" s="1099"/>
      <c r="E269" s="1070"/>
      <c r="F269" s="1099"/>
      <c r="G269" s="1070"/>
      <c r="H269" s="1099"/>
      <c r="I269" s="1070"/>
      <c r="J269" s="1070"/>
      <c r="K269" s="1273">
        <v>79.19</v>
      </c>
      <c r="L269" s="1273">
        <v>0</v>
      </c>
      <c r="M269" s="1272">
        <v>0</v>
      </c>
      <c r="N269" s="1520">
        <v>0</v>
      </c>
      <c r="O269" s="1805">
        <v>110.4</v>
      </c>
      <c r="P269" s="1520">
        <v>0</v>
      </c>
      <c r="Q269" s="1520">
        <v>0</v>
      </c>
      <c r="R269" s="1734">
        <v>0</v>
      </c>
      <c r="S269" s="1273"/>
      <c r="T269" s="1273"/>
      <c r="U269" s="76"/>
      <c r="V269" s="76"/>
      <c r="W269" s="76"/>
    </row>
    <row r="270" spans="1:23" x14ac:dyDescent="0.2">
      <c r="A270" s="2301" t="s">
        <v>158</v>
      </c>
      <c r="B270" s="2301"/>
      <c r="C270" s="2301"/>
      <c r="D270" s="1772"/>
      <c r="E270" s="1522"/>
      <c r="F270" s="1772"/>
      <c r="G270" s="1522"/>
      <c r="H270" s="1772"/>
      <c r="I270" s="1522"/>
      <c r="J270" s="1522">
        <f>SUM(J271:J277)</f>
        <v>16206</v>
      </c>
      <c r="K270" s="1522">
        <f>SUM(K271:K285)</f>
        <v>47848.49</v>
      </c>
      <c r="L270" s="1522">
        <f>SUM(L271:L285)</f>
        <v>60849</v>
      </c>
      <c r="M270" s="1522">
        <f>SUM(M271:M285)</f>
        <v>70568</v>
      </c>
      <c r="N270" s="1522">
        <f>SUM(N271:N277)+N280</f>
        <v>63672</v>
      </c>
      <c r="O270" s="1876">
        <f t="shared" ref="O270:T270" si="15">SUM(O271:O285)</f>
        <v>100299.06999999999</v>
      </c>
      <c r="P270" s="1773">
        <f t="shared" si="15"/>
        <v>103544</v>
      </c>
      <c r="Q270" s="1773">
        <f t="shared" si="15"/>
        <v>84870</v>
      </c>
      <c r="R270" s="1522">
        <f t="shared" si="15"/>
        <v>299550</v>
      </c>
      <c r="S270" s="1522">
        <f t="shared" si="15"/>
        <v>304000</v>
      </c>
      <c r="T270" s="1522">
        <f t="shared" si="15"/>
        <v>304100</v>
      </c>
      <c r="U270" s="76"/>
      <c r="V270" s="76"/>
      <c r="W270" s="76"/>
    </row>
    <row r="271" spans="1:23" x14ac:dyDescent="0.2">
      <c r="A271" s="1113"/>
      <c r="B271" s="1113"/>
      <c r="C271" s="1113" t="s">
        <v>700</v>
      </c>
      <c r="D271" s="1099"/>
      <c r="E271" s="1070"/>
      <c r="F271" s="1099"/>
      <c r="G271" s="1070"/>
      <c r="H271" s="1099"/>
      <c r="I271" s="1070"/>
      <c r="J271" s="1070"/>
      <c r="K271" s="1273">
        <v>1476</v>
      </c>
      <c r="L271" s="1273">
        <v>1181</v>
      </c>
      <c r="M271" s="1272">
        <v>2000</v>
      </c>
      <c r="N271" s="1520">
        <v>2500</v>
      </c>
      <c r="O271" s="1884">
        <v>4283.3</v>
      </c>
      <c r="P271" s="1520">
        <v>4500</v>
      </c>
      <c r="Q271" s="1520">
        <v>4500</v>
      </c>
      <c r="R271" s="1970">
        <v>4600</v>
      </c>
      <c r="S271" s="1275">
        <v>4700</v>
      </c>
      <c r="T271" s="1275">
        <v>4800</v>
      </c>
      <c r="U271" s="76"/>
      <c r="V271" s="76"/>
      <c r="W271" s="76"/>
    </row>
    <row r="272" spans="1:23" x14ac:dyDescent="0.2">
      <c r="A272" s="1113"/>
      <c r="B272" s="1113"/>
      <c r="C272" s="1113" t="s">
        <v>702</v>
      </c>
      <c r="D272" s="1099"/>
      <c r="E272" s="1070"/>
      <c r="F272" s="1099"/>
      <c r="G272" s="1070"/>
      <c r="H272" s="1099"/>
      <c r="I272" s="1070"/>
      <c r="J272" s="1070">
        <v>12301</v>
      </c>
      <c r="K272" s="1273">
        <v>4970.74</v>
      </c>
      <c r="L272" s="1273">
        <v>5327</v>
      </c>
      <c r="M272" s="1272">
        <v>17000</v>
      </c>
      <c r="N272" s="1520">
        <v>21500</v>
      </c>
      <c r="O272" s="1884">
        <v>19574.82</v>
      </c>
      <c r="P272" s="1520">
        <v>22500</v>
      </c>
      <c r="Q272" s="1520">
        <v>14000</v>
      </c>
      <c r="R272" s="1970">
        <v>20000</v>
      </c>
      <c r="S272" s="1275">
        <v>20000</v>
      </c>
      <c r="T272" s="1275">
        <v>20000</v>
      </c>
      <c r="U272" s="76"/>
      <c r="V272" s="76"/>
      <c r="W272" s="76"/>
    </row>
    <row r="273" spans="1:23" x14ac:dyDescent="0.2">
      <c r="A273" s="1113"/>
      <c r="B273" s="1113"/>
      <c r="C273" s="1113" t="s">
        <v>790</v>
      </c>
      <c r="D273" s="1099"/>
      <c r="E273" s="1070"/>
      <c r="F273" s="1099"/>
      <c r="G273" s="1070"/>
      <c r="H273" s="1099"/>
      <c r="I273" s="1070"/>
      <c r="J273" s="1070"/>
      <c r="K273" s="1273">
        <v>5215.2</v>
      </c>
      <c r="L273" s="1273">
        <v>6110</v>
      </c>
      <c r="M273" s="1272">
        <v>4368</v>
      </c>
      <c r="N273" s="1520">
        <v>3900</v>
      </c>
      <c r="O273" s="1884">
        <v>7469</v>
      </c>
      <c r="P273" s="1520">
        <v>9000</v>
      </c>
      <c r="Q273" s="1520">
        <v>11270</v>
      </c>
      <c r="R273" s="1970">
        <v>10800</v>
      </c>
      <c r="S273" s="1275">
        <v>10800</v>
      </c>
      <c r="T273" s="1275">
        <v>10800</v>
      </c>
      <c r="U273" s="76"/>
      <c r="V273" s="76"/>
      <c r="W273" s="76"/>
    </row>
    <row r="274" spans="1:23" x14ac:dyDescent="0.2">
      <c r="A274" s="1113"/>
      <c r="B274" s="1113"/>
      <c r="C274" s="1113" t="s">
        <v>703</v>
      </c>
      <c r="D274" s="1099"/>
      <c r="E274" s="1070"/>
      <c r="F274" s="1099"/>
      <c r="G274" s="1070"/>
      <c r="H274" s="1099"/>
      <c r="I274" s="1070"/>
      <c r="J274" s="1070"/>
      <c r="K274" s="1273">
        <v>0</v>
      </c>
      <c r="L274" s="1273">
        <v>3100</v>
      </c>
      <c r="M274" s="1272">
        <v>3100</v>
      </c>
      <c r="N274" s="1520">
        <v>3100</v>
      </c>
      <c r="O274" s="1884">
        <v>0</v>
      </c>
      <c r="P274" s="1520">
        <v>3100</v>
      </c>
      <c r="Q274" s="1520">
        <v>2700</v>
      </c>
      <c r="R274" s="1970">
        <v>2200</v>
      </c>
      <c r="S274" s="1275">
        <v>2200</v>
      </c>
      <c r="T274" s="1275">
        <v>2200</v>
      </c>
      <c r="U274" s="76"/>
      <c r="V274" s="76"/>
      <c r="W274" s="76"/>
    </row>
    <row r="275" spans="1:23" x14ac:dyDescent="0.2">
      <c r="A275" s="1113"/>
      <c r="B275" s="1113"/>
      <c r="C275" s="1709" t="s">
        <v>850</v>
      </c>
      <c r="D275" s="1099"/>
      <c r="E275" s="1070"/>
      <c r="F275" s="1099"/>
      <c r="G275" s="1070"/>
      <c r="H275" s="1099"/>
      <c r="I275" s="1070"/>
      <c r="J275" s="1070"/>
      <c r="K275" s="1273"/>
      <c r="L275" s="1273">
        <v>5227</v>
      </c>
      <c r="M275" s="1272">
        <v>0</v>
      </c>
      <c r="N275" s="1520">
        <v>0</v>
      </c>
      <c r="O275" s="1884">
        <v>279</v>
      </c>
      <c r="P275" s="1520">
        <v>0</v>
      </c>
      <c r="Q275" s="1520">
        <v>0</v>
      </c>
      <c r="R275" s="1970"/>
      <c r="S275" s="1275"/>
      <c r="T275" s="1275"/>
      <c r="U275" s="76"/>
      <c r="V275" s="76"/>
      <c r="W275" s="76"/>
    </row>
    <row r="276" spans="1:23" x14ac:dyDescent="0.2">
      <c r="A276" s="1113"/>
      <c r="B276" s="1113"/>
      <c r="C276" s="1113" t="s">
        <v>704</v>
      </c>
      <c r="D276" s="1099"/>
      <c r="E276" s="1070"/>
      <c r="F276" s="1099"/>
      <c r="G276" s="1070"/>
      <c r="H276" s="1099"/>
      <c r="I276" s="1070"/>
      <c r="J276" s="1070">
        <v>3805</v>
      </c>
      <c r="K276" s="1273">
        <v>4644</v>
      </c>
      <c r="L276" s="1273">
        <v>7887</v>
      </c>
      <c r="M276" s="1272">
        <v>15000</v>
      </c>
      <c r="N276" s="1520">
        <v>13000</v>
      </c>
      <c r="O276" s="1884">
        <v>22834</v>
      </c>
      <c r="P276" s="1520">
        <v>20000</v>
      </c>
      <c r="Q276" s="1520">
        <v>29172</v>
      </c>
      <c r="R276" s="1970">
        <v>0</v>
      </c>
      <c r="S276" s="1275">
        <v>0</v>
      </c>
      <c r="T276" s="1275">
        <v>0</v>
      </c>
      <c r="U276" s="76"/>
      <c r="V276" s="76"/>
      <c r="W276" s="76"/>
    </row>
    <row r="277" spans="1:23" x14ac:dyDescent="0.2">
      <c r="A277" s="1113"/>
      <c r="B277" s="1113"/>
      <c r="C277" s="1113" t="s">
        <v>701</v>
      </c>
      <c r="D277" s="1099"/>
      <c r="E277" s="1070"/>
      <c r="F277" s="1099"/>
      <c r="G277" s="1070"/>
      <c r="H277" s="1099"/>
      <c r="I277" s="1070"/>
      <c r="J277" s="1070">
        <v>100</v>
      </c>
      <c r="K277" s="1273">
        <v>100</v>
      </c>
      <c r="L277" s="1273">
        <v>0</v>
      </c>
      <c r="M277" s="1272">
        <v>300</v>
      </c>
      <c r="N277" s="1520">
        <v>200</v>
      </c>
      <c r="O277" s="1884">
        <v>0</v>
      </c>
      <c r="P277" s="1520">
        <v>200</v>
      </c>
      <c r="Q277" s="1520">
        <v>200</v>
      </c>
      <c r="R277" s="1970">
        <v>200</v>
      </c>
      <c r="S277" s="1275">
        <v>200</v>
      </c>
      <c r="T277" s="1275">
        <v>200</v>
      </c>
      <c r="U277" s="76"/>
      <c r="V277" s="76"/>
      <c r="W277" s="76"/>
    </row>
    <row r="278" spans="1:23" x14ac:dyDescent="0.2">
      <c r="A278" s="1113"/>
      <c r="B278" s="1113"/>
      <c r="C278" s="1113" t="s">
        <v>817</v>
      </c>
      <c r="D278" s="1099"/>
      <c r="E278" s="1070"/>
      <c r="F278" s="1099"/>
      <c r="G278" s="1070"/>
      <c r="H278" s="1099"/>
      <c r="I278" s="1070"/>
      <c r="J278" s="1070"/>
      <c r="K278" s="1273">
        <v>1843.66</v>
      </c>
      <c r="L278" s="1273">
        <v>3000</v>
      </c>
      <c r="M278" s="1272">
        <v>0</v>
      </c>
      <c r="N278" s="1520">
        <v>0</v>
      </c>
      <c r="O278" s="1884">
        <v>562.67999999999995</v>
      </c>
      <c r="P278" s="1520">
        <v>0</v>
      </c>
      <c r="Q278" s="1520">
        <v>0</v>
      </c>
      <c r="R278" s="1970"/>
      <c r="S278" s="1275"/>
      <c r="T278" s="1275"/>
      <c r="U278" s="76"/>
      <c r="V278" s="76"/>
      <c r="W278" s="76"/>
    </row>
    <row r="279" spans="1:23" x14ac:dyDescent="0.2">
      <c r="A279" s="1113"/>
      <c r="B279" s="1113"/>
      <c r="C279" s="1113" t="s">
        <v>993</v>
      </c>
      <c r="D279" s="1099"/>
      <c r="E279" s="1070"/>
      <c r="F279" s="1099"/>
      <c r="G279" s="1070"/>
      <c r="H279" s="1099"/>
      <c r="I279" s="1070"/>
      <c r="J279" s="1070"/>
      <c r="K279" s="1273"/>
      <c r="L279" s="1273">
        <v>26598</v>
      </c>
      <c r="M279" s="1272"/>
      <c r="N279" s="1520"/>
      <c r="O279" s="1884">
        <v>1000</v>
      </c>
      <c r="P279" s="1520"/>
      <c r="Q279" s="1520"/>
      <c r="R279" s="1970"/>
      <c r="S279" s="1275"/>
      <c r="T279" s="1275"/>
      <c r="U279" s="76"/>
      <c r="V279" s="76"/>
      <c r="W279" s="76"/>
    </row>
    <row r="280" spans="1:23" x14ac:dyDescent="0.2">
      <c r="A280" s="1113"/>
      <c r="B280" s="1113"/>
      <c r="C280" s="1113" t="s">
        <v>868</v>
      </c>
      <c r="D280" s="1099"/>
      <c r="E280" s="1070"/>
      <c r="F280" s="1099"/>
      <c r="G280" s="1070"/>
      <c r="H280" s="1099"/>
      <c r="I280" s="1070"/>
      <c r="J280" s="1070"/>
      <c r="K280" s="1273">
        <v>2264.5500000000002</v>
      </c>
      <c r="L280" s="1273"/>
      <c r="M280" s="1272">
        <v>28800</v>
      </c>
      <c r="N280" s="1520">
        <v>19472</v>
      </c>
      <c r="O280" s="1884">
        <v>32301.3</v>
      </c>
      <c r="P280" s="1520">
        <v>38544</v>
      </c>
      <c r="Q280" s="1520">
        <v>18793</v>
      </c>
      <c r="R280" s="1970">
        <v>0</v>
      </c>
      <c r="S280" s="1275">
        <v>0</v>
      </c>
      <c r="T280" s="1275">
        <v>0</v>
      </c>
      <c r="U280" s="76"/>
      <c r="V280" s="76"/>
      <c r="W280" s="76"/>
    </row>
    <row r="281" spans="1:23" x14ac:dyDescent="0.2">
      <c r="A281" s="1113"/>
      <c r="B281" s="1113"/>
      <c r="C281" s="1113" t="s">
        <v>862</v>
      </c>
      <c r="D281" s="1099"/>
      <c r="E281" s="1070"/>
      <c r="F281" s="1099"/>
      <c r="G281" s="1070"/>
      <c r="H281" s="1099"/>
      <c r="I281" s="1070"/>
      <c r="J281" s="1070"/>
      <c r="K281" s="1273"/>
      <c r="L281" s="1273">
        <v>430</v>
      </c>
      <c r="M281" s="1272">
        <v>0</v>
      </c>
      <c r="N281" s="1520">
        <v>0</v>
      </c>
      <c r="O281" s="1884">
        <v>0</v>
      </c>
      <c r="P281" s="1520">
        <v>0</v>
      </c>
      <c r="Q281" s="1520">
        <v>0</v>
      </c>
      <c r="R281" s="1970"/>
      <c r="S281" s="1275"/>
      <c r="T281" s="1275"/>
      <c r="U281" s="76"/>
      <c r="V281" s="76"/>
      <c r="W281" s="76"/>
    </row>
    <row r="282" spans="1:23" x14ac:dyDescent="0.2">
      <c r="A282" s="1113"/>
      <c r="B282" s="1113"/>
      <c r="C282" s="1113" t="s">
        <v>863</v>
      </c>
      <c r="D282" s="1099"/>
      <c r="E282" s="1070"/>
      <c r="F282" s="1099"/>
      <c r="G282" s="1070"/>
      <c r="H282" s="1099"/>
      <c r="I282" s="1070"/>
      <c r="J282" s="1070"/>
      <c r="K282" s="1273">
        <v>100</v>
      </c>
      <c r="L282" s="1273">
        <v>100</v>
      </c>
      <c r="M282" s="1272">
        <v>0</v>
      </c>
      <c r="N282" s="1520">
        <v>0</v>
      </c>
      <c r="O282" s="1805">
        <v>0</v>
      </c>
      <c r="P282" s="1520">
        <v>0</v>
      </c>
      <c r="Q282" s="1520">
        <v>0</v>
      </c>
      <c r="R282" s="1970"/>
      <c r="S282" s="1275"/>
      <c r="T282" s="1275"/>
      <c r="U282" s="76"/>
      <c r="V282" s="76"/>
      <c r="W282" s="76"/>
    </row>
    <row r="283" spans="1:23" x14ac:dyDescent="0.2">
      <c r="A283" s="1113"/>
      <c r="B283" s="1113"/>
      <c r="C283" s="1113" t="s">
        <v>998</v>
      </c>
      <c r="D283" s="1099"/>
      <c r="E283" s="1070"/>
      <c r="F283" s="1099"/>
      <c r="G283" s="1070"/>
      <c r="H283" s="1099"/>
      <c r="I283" s="1070"/>
      <c r="J283" s="1070"/>
      <c r="K283" s="1273"/>
      <c r="L283" s="1273">
        <v>714</v>
      </c>
      <c r="M283" s="1272">
        <v>0</v>
      </c>
      <c r="N283" s="1520">
        <v>0</v>
      </c>
      <c r="O283" s="1805">
        <v>0</v>
      </c>
      <c r="P283" s="1520">
        <v>0</v>
      </c>
      <c r="Q283" s="1520">
        <v>535</v>
      </c>
      <c r="R283" s="1970">
        <v>4500</v>
      </c>
      <c r="S283" s="1275">
        <v>4500</v>
      </c>
      <c r="T283" s="1275">
        <v>4500</v>
      </c>
      <c r="U283" s="76"/>
      <c r="V283" s="76"/>
      <c r="W283" s="76"/>
    </row>
    <row r="284" spans="1:23" x14ac:dyDescent="0.2">
      <c r="A284" s="1113"/>
      <c r="B284" s="1113"/>
      <c r="C284" s="1113" t="s">
        <v>996</v>
      </c>
      <c r="D284" s="1099"/>
      <c r="E284" s="1070"/>
      <c r="F284" s="1099"/>
      <c r="G284" s="1070"/>
      <c r="H284" s="1099"/>
      <c r="I284" s="1070"/>
      <c r="J284" s="1070"/>
      <c r="K284" s="1273"/>
      <c r="L284" s="1273"/>
      <c r="M284" s="1272"/>
      <c r="N284" s="1520"/>
      <c r="O284" s="1805">
        <v>4115.7700000000004</v>
      </c>
      <c r="P284" s="1520">
        <v>5700</v>
      </c>
      <c r="Q284" s="1520">
        <v>3700</v>
      </c>
      <c r="R284" s="1970">
        <v>7000</v>
      </c>
      <c r="S284" s="1275">
        <v>6000</v>
      </c>
      <c r="T284" s="1275">
        <v>6000</v>
      </c>
      <c r="U284" s="76"/>
      <c r="V284" s="76"/>
      <c r="W284" s="76"/>
    </row>
    <row r="285" spans="1:23" x14ac:dyDescent="0.2">
      <c r="A285" s="1113"/>
      <c r="B285" s="1113"/>
      <c r="C285" s="1113" t="s">
        <v>997</v>
      </c>
      <c r="D285" s="1099"/>
      <c r="E285" s="1070"/>
      <c r="F285" s="1099"/>
      <c r="G285" s="1070"/>
      <c r="H285" s="1099"/>
      <c r="I285" s="1070"/>
      <c r="J285" s="1070"/>
      <c r="K285" s="1273">
        <v>27234.34</v>
      </c>
      <c r="L285" s="1273">
        <v>1175</v>
      </c>
      <c r="M285" s="1272">
        <v>0</v>
      </c>
      <c r="N285" s="1520">
        <v>0</v>
      </c>
      <c r="O285" s="1805">
        <v>7879.2</v>
      </c>
      <c r="P285" s="1520">
        <v>0</v>
      </c>
      <c r="Q285" s="1520">
        <v>0</v>
      </c>
      <c r="R285" s="1970">
        <v>250250</v>
      </c>
      <c r="S285" s="1275">
        <v>255600</v>
      </c>
      <c r="T285" s="1275">
        <v>255600</v>
      </c>
      <c r="U285" s="76"/>
      <c r="V285" s="76"/>
      <c r="W285" s="76"/>
    </row>
    <row r="286" spans="1:23" x14ac:dyDescent="0.2">
      <c r="A286" s="1668" t="s">
        <v>155</v>
      </c>
      <c r="B286" s="1669"/>
      <c r="C286" s="1668"/>
      <c r="D286" s="1768">
        <f>SUM(D221,D251,D270)</f>
        <v>0</v>
      </c>
      <c r="E286" s="1682"/>
      <c r="F286" s="1768">
        <f>SUM(F221,F251,F270)</f>
        <v>0</v>
      </c>
      <c r="G286" s="1682"/>
      <c r="H286" s="1768">
        <f>SUM(H221,H251,H270)</f>
        <v>0</v>
      </c>
      <c r="I286" s="1682"/>
      <c r="J286" s="1682">
        <f>J221+J251+J270</f>
        <v>696009</v>
      </c>
      <c r="K286" s="1682">
        <f>SUM(K221,K251,K270)</f>
        <v>930051.71</v>
      </c>
      <c r="L286" s="1682">
        <f>L221+L251+L270</f>
        <v>965013</v>
      </c>
      <c r="M286" s="1682">
        <f>SUM(M221,M251,M270)</f>
        <v>979772</v>
      </c>
      <c r="N286" s="1682">
        <f t="shared" ref="N286:T286" si="16">N221+N251+N270</f>
        <v>1089014</v>
      </c>
      <c r="O286" s="1768">
        <f t="shared" si="16"/>
        <v>1145604.33</v>
      </c>
      <c r="P286" s="1755">
        <f t="shared" si="16"/>
        <v>1048851</v>
      </c>
      <c r="Q286" s="1755">
        <f t="shared" si="16"/>
        <v>1138224.6000000001</v>
      </c>
      <c r="R286" s="1670">
        <f t="shared" si="16"/>
        <v>1214739</v>
      </c>
      <c r="S286" s="1671">
        <f t="shared" si="16"/>
        <v>1063223</v>
      </c>
      <c r="T286" s="1671">
        <f t="shared" si="16"/>
        <v>1063323</v>
      </c>
      <c r="U286" s="83"/>
      <c r="V286" s="83"/>
      <c r="W286" s="83"/>
    </row>
    <row r="287" spans="1:23" x14ac:dyDescent="0.2">
      <c r="A287" s="88"/>
      <c r="B287" s="20"/>
      <c r="C287" s="88"/>
      <c r="D287" s="83"/>
      <c r="E287" s="59"/>
      <c r="F287" s="83"/>
      <c r="G287" s="59"/>
      <c r="H287" s="83"/>
      <c r="I287" s="59"/>
      <c r="J287" s="59"/>
      <c r="K287" s="83"/>
      <c r="L287" s="83"/>
      <c r="M287" s="83"/>
      <c r="N287" s="83"/>
      <c r="O287" s="83"/>
      <c r="P287" s="1326"/>
      <c r="Q287" s="1326"/>
      <c r="R287" s="34"/>
      <c r="S287" s="76"/>
      <c r="T287" s="76"/>
      <c r="U287" s="83"/>
      <c r="V287" s="83"/>
      <c r="W287" s="83"/>
    </row>
    <row r="288" spans="1:23" x14ac:dyDescent="0.2">
      <c r="A288" s="88"/>
      <c r="B288" s="20"/>
      <c r="C288" s="88"/>
      <c r="D288" s="83"/>
      <c r="E288" s="59"/>
      <c r="F288" s="83"/>
      <c r="G288" s="59"/>
      <c r="H288" s="83"/>
      <c r="I288" s="59"/>
      <c r="J288" s="59"/>
      <c r="K288" s="83"/>
      <c r="L288" s="83"/>
      <c r="M288" s="83"/>
      <c r="N288" s="83"/>
      <c r="O288" s="83"/>
      <c r="P288" s="1326"/>
      <c r="Q288" s="1326"/>
      <c r="R288" s="34"/>
      <c r="S288" s="76"/>
      <c r="T288" s="76"/>
      <c r="U288" s="83"/>
      <c r="V288" s="83"/>
      <c r="W288" s="83"/>
    </row>
    <row r="289" spans="1:24" x14ac:dyDescent="0.2">
      <c r="A289" s="88"/>
      <c r="B289" s="20"/>
      <c r="C289" s="88"/>
      <c r="D289" s="83"/>
      <c r="E289" s="59"/>
      <c r="F289" s="83"/>
      <c r="G289" s="59"/>
      <c r="H289" s="83"/>
      <c r="I289" s="59"/>
      <c r="J289" s="59"/>
      <c r="K289" s="83"/>
      <c r="L289" s="83"/>
      <c r="M289" s="83"/>
      <c r="N289" s="83"/>
      <c r="O289" s="83"/>
      <c r="P289" s="1326"/>
      <c r="Q289" s="1326"/>
      <c r="R289" s="34"/>
      <c r="S289" s="76"/>
      <c r="T289" s="76"/>
      <c r="U289" s="83"/>
      <c r="V289" s="83"/>
      <c r="W289" s="83"/>
    </row>
    <row r="290" spans="1:24" x14ac:dyDescent="0.2">
      <c r="A290" s="88"/>
      <c r="B290" s="20"/>
      <c r="C290" s="88"/>
      <c r="D290" s="83"/>
      <c r="E290" s="59"/>
      <c r="F290" s="83"/>
      <c r="G290" s="59"/>
      <c r="H290" s="83"/>
      <c r="I290" s="59"/>
      <c r="J290" s="59"/>
      <c r="K290" s="83"/>
      <c r="L290" s="83"/>
      <c r="M290" s="83"/>
      <c r="N290" s="83"/>
      <c r="O290" s="83"/>
      <c r="P290" s="1326"/>
      <c r="Q290" s="1326"/>
      <c r="R290" s="34"/>
      <c r="S290" s="76"/>
      <c r="T290" s="76"/>
      <c r="U290" s="83"/>
      <c r="V290" s="83"/>
      <c r="W290" s="83"/>
    </row>
    <row r="291" spans="1:24" x14ac:dyDescent="0.2">
      <c r="A291" s="41"/>
      <c r="B291" s="41"/>
      <c r="C291" s="41"/>
      <c r="D291" s="41"/>
      <c r="E291" s="41"/>
      <c r="F291" s="41"/>
      <c r="G291" s="92"/>
      <c r="H291" s="41"/>
      <c r="I291" s="41"/>
      <c r="J291" s="41"/>
      <c r="K291" s="41"/>
      <c r="L291" s="41"/>
      <c r="M291" s="52"/>
      <c r="P291" s="1326"/>
      <c r="Q291" s="1326"/>
    </row>
    <row r="292" spans="1:24" hidden="1" x14ac:dyDescent="0.2">
      <c r="A292" s="41"/>
      <c r="B292" s="41"/>
      <c r="C292" s="41"/>
      <c r="D292" s="41"/>
      <c r="E292" s="41"/>
      <c r="F292" s="41"/>
      <c r="G292" s="92"/>
      <c r="H292" s="41"/>
      <c r="I292" s="41"/>
      <c r="J292" s="41"/>
      <c r="K292" s="41"/>
      <c r="L292" s="41"/>
      <c r="M292" s="52"/>
    </row>
    <row r="293" spans="1:24" hidden="1" x14ac:dyDescent="0.2">
      <c r="A293" s="41"/>
      <c r="B293" s="41"/>
      <c r="C293" s="41"/>
      <c r="D293" s="41"/>
      <c r="E293" s="41"/>
      <c r="F293" s="41"/>
      <c r="G293" s="92"/>
      <c r="H293" s="41"/>
      <c r="I293" s="41"/>
      <c r="J293" s="41"/>
      <c r="K293" s="41"/>
      <c r="L293" s="41"/>
      <c r="M293" s="52"/>
    </row>
    <row r="294" spans="1:24" hidden="1" x14ac:dyDescent="0.2">
      <c r="A294" s="41"/>
      <c r="B294" s="41"/>
      <c r="C294" s="41"/>
      <c r="D294" s="41"/>
      <c r="E294" s="41"/>
      <c r="F294" s="41"/>
      <c r="G294" s="92"/>
      <c r="H294" s="41"/>
      <c r="I294" s="41"/>
      <c r="J294" s="41"/>
      <c r="K294" s="41"/>
      <c r="L294" s="41"/>
      <c r="M294" s="52"/>
    </row>
    <row r="295" spans="1:24" hidden="1" x14ac:dyDescent="0.2">
      <c r="A295" s="41"/>
      <c r="B295" s="41"/>
      <c r="C295" s="41"/>
      <c r="D295" s="41"/>
      <c r="E295" s="41"/>
      <c r="F295" s="41"/>
      <c r="G295" s="92"/>
      <c r="H295" s="41"/>
      <c r="I295" s="41"/>
      <c r="J295" s="41"/>
      <c r="K295" s="41"/>
      <c r="L295" s="41"/>
      <c r="M295" s="52"/>
    </row>
    <row r="296" spans="1:24" hidden="1" x14ac:dyDescent="0.2">
      <c r="A296" s="41"/>
      <c r="B296" s="41"/>
      <c r="C296" s="41"/>
      <c r="D296" s="41"/>
      <c r="E296" s="41"/>
      <c r="F296" s="41"/>
      <c r="G296" s="92"/>
      <c r="H296" s="41"/>
      <c r="I296" s="41"/>
      <c r="J296" s="41"/>
      <c r="K296" s="41"/>
      <c r="L296" s="41"/>
      <c r="M296" s="52"/>
    </row>
    <row r="297" spans="1:24" ht="13.5" hidden="1" thickBot="1" x14ac:dyDescent="0.25">
      <c r="A297" s="41"/>
      <c r="B297" s="41"/>
      <c r="C297" s="41"/>
      <c r="D297" s="41"/>
      <c r="E297" s="41"/>
      <c r="F297" s="41"/>
      <c r="G297" s="92"/>
      <c r="H297" s="41"/>
      <c r="I297" s="41"/>
      <c r="J297" s="41"/>
      <c r="K297" s="41"/>
      <c r="L297" s="41"/>
      <c r="M297" s="52"/>
    </row>
    <row r="298" spans="1:24" ht="26.25" customHeight="1" x14ac:dyDescent="0.2">
      <c r="A298" s="1716" t="s">
        <v>159</v>
      </c>
      <c r="B298" s="1756"/>
      <c r="C298" s="1718"/>
      <c r="D298" s="1757" t="s">
        <v>143</v>
      </c>
      <c r="E298" s="1758" t="s">
        <v>144</v>
      </c>
      <c r="F298" s="1757" t="s">
        <v>143</v>
      </c>
      <c r="G298" s="1758" t="s">
        <v>144</v>
      </c>
      <c r="H298" s="1757" t="s">
        <v>143</v>
      </c>
      <c r="I298" s="1758" t="s">
        <v>144</v>
      </c>
      <c r="J298" s="1720">
        <v>2018</v>
      </c>
      <c r="K298" s="1547" t="s">
        <v>884</v>
      </c>
      <c r="L298" s="1547">
        <v>2021</v>
      </c>
      <c r="M298" s="1721">
        <v>2022</v>
      </c>
      <c r="N298" s="1722">
        <v>2023</v>
      </c>
      <c r="O298" s="1915" t="s">
        <v>983</v>
      </c>
      <c r="P298" s="1723">
        <v>2024</v>
      </c>
      <c r="Q298" s="1723" t="s">
        <v>984</v>
      </c>
      <c r="R298" s="1724">
        <v>2025</v>
      </c>
      <c r="S298" s="1724">
        <v>2026</v>
      </c>
      <c r="T298" s="1724">
        <v>2027</v>
      </c>
      <c r="U298" s="54"/>
      <c r="V298" s="54"/>
      <c r="W298" s="55"/>
    </row>
    <row r="299" spans="1:24" x14ac:dyDescent="0.2">
      <c r="A299" s="1688" t="s">
        <v>1</v>
      </c>
      <c r="B299" s="1688"/>
      <c r="C299" s="1688"/>
      <c r="D299" s="1099">
        <f t="shared" ref="D299:P299" si="17">D122</f>
        <v>0</v>
      </c>
      <c r="E299" s="1099">
        <f t="shared" si="17"/>
        <v>0</v>
      </c>
      <c r="F299" s="1099">
        <f t="shared" si="17"/>
        <v>0</v>
      </c>
      <c r="G299" s="1099">
        <f t="shared" si="17"/>
        <v>0</v>
      </c>
      <c r="H299" s="1099">
        <f t="shared" si="17"/>
        <v>0</v>
      </c>
      <c r="I299" s="1099">
        <f t="shared" si="17"/>
        <v>0</v>
      </c>
      <c r="J299" s="1070">
        <f t="shared" si="17"/>
        <v>1379071.67</v>
      </c>
      <c r="K299" s="1070">
        <f t="shared" si="17"/>
        <v>1575644</v>
      </c>
      <c r="L299" s="1070">
        <f t="shared" si="17"/>
        <v>1587130</v>
      </c>
      <c r="M299" s="1070">
        <f t="shared" si="17"/>
        <v>1610786</v>
      </c>
      <c r="N299" s="1519">
        <f t="shared" si="17"/>
        <v>1621629</v>
      </c>
      <c r="O299" s="1877">
        <f t="shared" si="17"/>
        <v>1879494.78</v>
      </c>
      <c r="P299" s="1710">
        <f t="shared" si="17"/>
        <v>1763829</v>
      </c>
      <c r="Q299" s="1710">
        <f>Q122</f>
        <v>1796470.08</v>
      </c>
      <c r="R299" s="1961">
        <f>SUM(R122)</f>
        <v>1584419</v>
      </c>
      <c r="S299" s="1070">
        <f>SUM(S122)</f>
        <v>1710543</v>
      </c>
      <c r="T299" s="1070">
        <f>SUM(T122)</f>
        <v>1765383</v>
      </c>
      <c r="U299" s="76"/>
      <c r="V299" s="76"/>
      <c r="W299" s="76"/>
      <c r="X299" s="93"/>
    </row>
    <row r="300" spans="1:24" x14ac:dyDescent="0.2">
      <c r="A300" s="1688" t="s">
        <v>77</v>
      </c>
      <c r="B300" s="1688"/>
      <c r="C300" s="1688"/>
      <c r="D300" s="1099">
        <f t="shared" ref="D300:P300" si="18">D159</f>
        <v>471649.89</v>
      </c>
      <c r="E300" s="1099">
        <f t="shared" si="18"/>
        <v>338092.73</v>
      </c>
      <c r="F300" s="1099">
        <f t="shared" si="18"/>
        <v>471649.89</v>
      </c>
      <c r="G300" s="1099">
        <f t="shared" si="18"/>
        <v>338092.73</v>
      </c>
      <c r="H300" s="1099">
        <f t="shared" si="18"/>
        <v>471649.89</v>
      </c>
      <c r="I300" s="1099">
        <f t="shared" si="18"/>
        <v>338092.73</v>
      </c>
      <c r="J300" s="1070">
        <f t="shared" si="18"/>
        <v>2604287.5699999998</v>
      </c>
      <c r="K300" s="1070">
        <f t="shared" si="18"/>
        <v>2970920</v>
      </c>
      <c r="L300" s="1070">
        <f t="shared" si="18"/>
        <v>1696143</v>
      </c>
      <c r="M300" s="1070">
        <f t="shared" si="18"/>
        <v>23000</v>
      </c>
      <c r="N300" s="1519">
        <f t="shared" si="18"/>
        <v>77000</v>
      </c>
      <c r="O300" s="1877">
        <f t="shared" si="18"/>
        <v>25385</v>
      </c>
      <c r="P300" s="1710">
        <f t="shared" si="18"/>
        <v>55000</v>
      </c>
      <c r="Q300" s="1710">
        <f>Q159</f>
        <v>28144</v>
      </c>
      <c r="R300" s="1961">
        <f>SUM(R159)</f>
        <v>570200</v>
      </c>
      <c r="S300" s="1070">
        <f>SUM(S159)</f>
        <v>5000</v>
      </c>
      <c r="T300" s="1070">
        <f>SUM(T159)</f>
        <v>5000</v>
      </c>
      <c r="U300" s="76"/>
      <c r="V300" s="76"/>
      <c r="W300" s="76"/>
    </row>
    <row r="301" spans="1:24" x14ac:dyDescent="0.2">
      <c r="A301" s="1688" t="s">
        <v>82</v>
      </c>
      <c r="B301" s="1688"/>
      <c r="C301" s="1688"/>
      <c r="D301" s="1099">
        <f t="shared" ref="D301:Q301" si="19">D208</f>
        <v>310000</v>
      </c>
      <c r="E301" s="1099">
        <f t="shared" si="19"/>
        <v>240110.47</v>
      </c>
      <c r="F301" s="1099">
        <f t="shared" si="19"/>
        <v>310000</v>
      </c>
      <c r="G301" s="1099">
        <f t="shared" si="19"/>
        <v>240110.47</v>
      </c>
      <c r="H301" s="1099">
        <f t="shared" si="19"/>
        <v>310000</v>
      </c>
      <c r="I301" s="1099">
        <f t="shared" si="19"/>
        <v>240110.47</v>
      </c>
      <c r="J301" s="1070">
        <f t="shared" si="19"/>
        <v>3473630.42</v>
      </c>
      <c r="K301" s="1070">
        <f t="shared" si="19"/>
        <v>2880952</v>
      </c>
      <c r="L301" s="1070">
        <f t="shared" si="19"/>
        <v>247358</v>
      </c>
      <c r="M301" s="1070">
        <f t="shared" si="19"/>
        <v>192106</v>
      </c>
      <c r="N301" s="1519">
        <f t="shared" si="19"/>
        <v>0</v>
      </c>
      <c r="O301" s="1877">
        <f t="shared" si="19"/>
        <v>135675.05000000002</v>
      </c>
      <c r="P301" s="1710">
        <f t="shared" si="19"/>
        <v>10000</v>
      </c>
      <c r="Q301" s="1710">
        <f t="shared" si="19"/>
        <v>184482.49</v>
      </c>
      <c r="R301" s="1961">
        <f>SUM(R208)</f>
        <v>32501</v>
      </c>
      <c r="S301" s="1070">
        <f>SUM(S208)</f>
        <v>0</v>
      </c>
      <c r="T301" s="1070">
        <f>SUM(T208)</f>
        <v>0</v>
      </c>
      <c r="U301" s="76"/>
      <c r="V301" s="76"/>
      <c r="W301" s="76"/>
      <c r="X301" s="94"/>
    </row>
    <row r="302" spans="1:24" x14ac:dyDescent="0.2">
      <c r="A302" s="1688" t="s">
        <v>155</v>
      </c>
      <c r="B302" s="1688"/>
      <c r="C302" s="1688"/>
      <c r="D302" s="1099">
        <f t="shared" ref="D302:N302" si="20">D286</f>
        <v>0</v>
      </c>
      <c r="E302" s="1099">
        <f t="shared" si="20"/>
        <v>0</v>
      </c>
      <c r="F302" s="1099">
        <f t="shared" si="20"/>
        <v>0</v>
      </c>
      <c r="G302" s="1099">
        <f t="shared" si="20"/>
        <v>0</v>
      </c>
      <c r="H302" s="1099">
        <f t="shared" si="20"/>
        <v>0</v>
      </c>
      <c r="I302" s="1099">
        <f t="shared" si="20"/>
        <v>0</v>
      </c>
      <c r="J302" s="1070">
        <f>J286</f>
        <v>696009</v>
      </c>
      <c r="K302" s="1070">
        <f t="shared" si="20"/>
        <v>930051.71</v>
      </c>
      <c r="L302" s="1070">
        <f>L286</f>
        <v>965013</v>
      </c>
      <c r="M302" s="1070">
        <f t="shared" si="20"/>
        <v>979772</v>
      </c>
      <c r="N302" s="1519">
        <f t="shared" si="20"/>
        <v>1089014</v>
      </c>
      <c r="O302" s="1877">
        <f>O286</f>
        <v>1145604.33</v>
      </c>
      <c r="P302" s="1710">
        <f>P286</f>
        <v>1048851</v>
      </c>
      <c r="Q302" s="1710">
        <f t="shared" ref="Q302" si="21">Q286</f>
        <v>1138224.6000000001</v>
      </c>
      <c r="R302" s="1961">
        <f>R286</f>
        <v>1214739</v>
      </c>
      <c r="S302" s="1070">
        <f>S286</f>
        <v>1063223</v>
      </c>
      <c r="T302" s="1070">
        <f>T286</f>
        <v>1063323</v>
      </c>
      <c r="U302" s="76"/>
      <c r="V302" s="76"/>
      <c r="W302" s="76"/>
    </row>
    <row r="303" spans="1:24" x14ac:dyDescent="0.2">
      <c r="A303" s="1777" t="s">
        <v>160</v>
      </c>
      <c r="B303" s="1777"/>
      <c r="C303" s="1777"/>
      <c r="D303" s="1778">
        <f>SUM(D299,D300,D301,D302)</f>
        <v>781649.89</v>
      </c>
      <c r="E303" s="1778">
        <f>E299+E300+E301+E302</f>
        <v>578203.19999999995</v>
      </c>
      <c r="F303" s="1778">
        <f>SUM(F299,F300,F301,F302)</f>
        <v>781649.89</v>
      </c>
      <c r="G303" s="1778">
        <f>G299+G300+G301+G302</f>
        <v>578203.19999999995</v>
      </c>
      <c r="H303" s="1778">
        <f>SUM(H299,H300,H301,H302)</f>
        <v>781649.89</v>
      </c>
      <c r="I303" s="1778">
        <f>I299+I300+I301+I302</f>
        <v>578203.19999999995</v>
      </c>
      <c r="J303" s="1591">
        <f>SUM(J299:J302)</f>
        <v>8152998.6600000001</v>
      </c>
      <c r="K303" s="1591">
        <f>SUM(K299,K300,K301,K302)</f>
        <v>8357567.71</v>
      </c>
      <c r="L303" s="1591">
        <f>SUM(L299:L302)</f>
        <v>4495644</v>
      </c>
      <c r="M303" s="1591">
        <f>SUM(M299,M300,M301,M302)</f>
        <v>2805664</v>
      </c>
      <c r="N303" s="1591">
        <f>N299+N300+N301+N302</f>
        <v>2787643</v>
      </c>
      <c r="O303" s="1778">
        <f>O299+O300+O301+O302</f>
        <v>3186159.16</v>
      </c>
      <c r="P303" s="1739">
        <f>P299+P300+P301+P302</f>
        <v>2877680</v>
      </c>
      <c r="Q303" s="1739">
        <f t="shared" ref="Q303" si="22">Q299+Q300+Q301+Q302</f>
        <v>3147321.17</v>
      </c>
      <c r="R303" s="1691">
        <f>SUM(R299,R300,R301,R302)</f>
        <v>3401859</v>
      </c>
      <c r="S303" s="1591">
        <f>SUM(S299,S300,S301,S302)</f>
        <v>2778766</v>
      </c>
      <c r="T303" s="1591">
        <f>SUM(T299,T300,T301,T302)</f>
        <v>2833706</v>
      </c>
      <c r="U303" s="76"/>
      <c r="V303" s="76"/>
      <c r="W303" s="76"/>
    </row>
    <row r="304" spans="1:24" x14ac:dyDescent="0.2">
      <c r="P304" s="1326"/>
      <c r="Q304" s="1326"/>
    </row>
    <row r="305" spans="16:17" x14ac:dyDescent="0.2">
      <c r="P305" s="1326"/>
      <c r="Q305" s="1326"/>
    </row>
    <row r="306" spans="16:17" x14ac:dyDescent="0.2">
      <c r="P306" s="1326"/>
      <c r="Q306" s="1326"/>
    </row>
    <row r="307" spans="16:17" x14ac:dyDescent="0.2">
      <c r="P307" s="1326"/>
      <c r="Q307" s="1326"/>
    </row>
    <row r="308" spans="16:17" x14ac:dyDescent="0.2">
      <c r="P308" s="1326"/>
      <c r="Q308" s="1326"/>
    </row>
    <row r="309" spans="16:17" x14ac:dyDescent="0.2">
      <c r="P309" s="1326"/>
      <c r="Q309" s="1326"/>
    </row>
    <row r="310" spans="16:17" x14ac:dyDescent="0.2">
      <c r="P310" s="1326"/>
      <c r="Q310" s="1326"/>
    </row>
    <row r="311" spans="16:17" x14ac:dyDescent="0.2">
      <c r="P311" s="1916"/>
      <c r="Q311" s="1916"/>
    </row>
    <row r="312" spans="16:17" x14ac:dyDescent="0.2">
      <c r="P312" s="1916"/>
      <c r="Q312" s="1916"/>
    </row>
    <row r="313" spans="16:17" x14ac:dyDescent="0.2">
      <c r="P313" s="1916"/>
      <c r="Q313" s="1916"/>
    </row>
    <row r="314" spans="16:17" x14ac:dyDescent="0.2">
      <c r="P314" s="1916"/>
      <c r="Q314" s="1916"/>
    </row>
    <row r="315" spans="16:17" x14ac:dyDescent="0.2">
      <c r="P315" s="1916"/>
      <c r="Q315" s="1916"/>
    </row>
    <row r="316" spans="16:17" x14ac:dyDescent="0.2">
      <c r="P316" s="1916"/>
      <c r="Q316" s="1916"/>
    </row>
    <row r="317" spans="16:17" x14ac:dyDescent="0.2">
      <c r="P317" s="1916"/>
      <c r="Q317" s="1916"/>
    </row>
    <row r="318" spans="16:17" x14ac:dyDescent="0.2">
      <c r="P318" s="1916"/>
      <c r="Q318" s="1916"/>
    </row>
    <row r="319" spans="16:17" x14ac:dyDescent="0.2">
      <c r="P319" s="1916"/>
      <c r="Q319" s="1916"/>
    </row>
    <row r="320" spans="16:17" x14ac:dyDescent="0.2">
      <c r="P320" s="1916"/>
      <c r="Q320" s="1916"/>
    </row>
    <row r="321" spans="16:17" x14ac:dyDescent="0.2">
      <c r="P321" s="1916"/>
      <c r="Q321" s="1916"/>
    </row>
    <row r="322" spans="16:17" x14ac:dyDescent="0.2">
      <c r="P322" s="1916"/>
      <c r="Q322" s="1916"/>
    </row>
    <row r="323" spans="16:17" x14ac:dyDescent="0.2">
      <c r="P323" s="1916"/>
      <c r="Q323" s="1916"/>
    </row>
    <row r="324" spans="16:17" x14ac:dyDescent="0.2">
      <c r="P324" s="1916"/>
      <c r="Q324" s="1916"/>
    </row>
    <row r="325" spans="16:17" x14ac:dyDescent="0.2">
      <c r="P325" s="1916"/>
      <c r="Q325" s="1916"/>
    </row>
    <row r="326" spans="16:17" x14ac:dyDescent="0.2">
      <c r="P326" s="1916"/>
      <c r="Q326" s="1916"/>
    </row>
    <row r="327" spans="16:17" x14ac:dyDescent="0.2">
      <c r="P327" s="1916"/>
      <c r="Q327" s="1916"/>
    </row>
    <row r="328" spans="16:17" x14ac:dyDescent="0.2">
      <c r="P328" s="1916"/>
      <c r="Q328" s="1916"/>
    </row>
    <row r="329" spans="16:17" x14ac:dyDescent="0.2">
      <c r="P329" s="1916"/>
      <c r="Q329" s="1916"/>
    </row>
    <row r="330" spans="16:17" x14ac:dyDescent="0.2">
      <c r="P330" s="1916"/>
      <c r="Q330" s="1916"/>
    </row>
    <row r="331" spans="16:17" x14ac:dyDescent="0.2">
      <c r="P331" s="1916"/>
      <c r="Q331" s="1916"/>
    </row>
    <row r="332" spans="16:17" x14ac:dyDescent="0.2">
      <c r="P332" s="1916"/>
      <c r="Q332" s="1916"/>
    </row>
    <row r="333" spans="16:17" x14ac:dyDescent="0.2">
      <c r="P333" s="1916"/>
      <c r="Q333" s="1916"/>
    </row>
    <row r="334" spans="16:17" x14ac:dyDescent="0.2">
      <c r="P334" s="1916"/>
      <c r="Q334" s="1916"/>
    </row>
    <row r="335" spans="16:17" x14ac:dyDescent="0.2">
      <c r="P335" s="1916"/>
      <c r="Q335" s="1916"/>
    </row>
    <row r="336" spans="16:17" x14ac:dyDescent="0.2">
      <c r="P336" s="1916"/>
      <c r="Q336" s="1916"/>
    </row>
    <row r="337" spans="16:17" x14ac:dyDescent="0.2">
      <c r="P337" s="1916"/>
      <c r="Q337" s="1916"/>
    </row>
    <row r="338" spans="16:17" x14ac:dyDescent="0.2">
      <c r="P338" s="1916"/>
      <c r="Q338" s="1916"/>
    </row>
    <row r="339" spans="16:17" x14ac:dyDescent="0.2">
      <c r="P339" s="1916"/>
      <c r="Q339" s="1916"/>
    </row>
    <row r="340" spans="16:17" x14ac:dyDescent="0.2">
      <c r="P340" s="1916"/>
      <c r="Q340" s="1916"/>
    </row>
    <row r="341" spans="16:17" x14ac:dyDescent="0.2">
      <c r="P341" s="1916"/>
      <c r="Q341" s="1916"/>
    </row>
    <row r="342" spans="16:17" x14ac:dyDescent="0.2">
      <c r="P342" s="1916"/>
      <c r="Q342" s="1916"/>
    </row>
    <row r="343" spans="16:17" x14ac:dyDescent="0.2">
      <c r="P343" s="1916"/>
      <c r="Q343" s="1916"/>
    </row>
    <row r="344" spans="16:17" x14ac:dyDescent="0.2">
      <c r="P344" s="1916"/>
      <c r="Q344" s="1916"/>
    </row>
    <row r="345" spans="16:17" x14ac:dyDescent="0.2">
      <c r="P345" s="1916"/>
      <c r="Q345" s="1916"/>
    </row>
    <row r="346" spans="16:17" x14ac:dyDescent="0.2">
      <c r="P346" s="1916"/>
      <c r="Q346" s="1916"/>
    </row>
    <row r="347" spans="16:17" x14ac:dyDescent="0.2">
      <c r="P347" s="1916"/>
      <c r="Q347" s="1916"/>
    </row>
    <row r="348" spans="16:17" x14ac:dyDescent="0.2">
      <c r="P348" s="1916"/>
      <c r="Q348" s="1916"/>
    </row>
    <row r="349" spans="16:17" x14ac:dyDescent="0.2">
      <c r="P349" s="1916"/>
      <c r="Q349" s="1916"/>
    </row>
    <row r="350" spans="16:17" x14ac:dyDescent="0.2">
      <c r="P350" s="1916"/>
      <c r="Q350" s="1916"/>
    </row>
    <row r="351" spans="16:17" x14ac:dyDescent="0.2">
      <c r="P351" s="1916"/>
      <c r="Q351" s="1916"/>
    </row>
    <row r="352" spans="16:17" x14ac:dyDescent="0.2">
      <c r="P352" s="1916"/>
      <c r="Q352" s="1916"/>
    </row>
    <row r="353" spans="16:17" x14ac:dyDescent="0.2">
      <c r="P353" s="1916"/>
      <c r="Q353" s="1916"/>
    </row>
    <row r="354" spans="16:17" x14ac:dyDescent="0.2">
      <c r="P354" s="1916"/>
      <c r="Q354" s="1916"/>
    </row>
    <row r="355" spans="16:17" x14ac:dyDescent="0.2">
      <c r="P355" s="1916"/>
      <c r="Q355" s="1916"/>
    </row>
    <row r="356" spans="16:17" x14ac:dyDescent="0.2">
      <c r="P356" s="1916"/>
      <c r="Q356" s="1916"/>
    </row>
    <row r="357" spans="16:17" x14ac:dyDescent="0.2">
      <c r="P357" s="1916"/>
      <c r="Q357" s="1916"/>
    </row>
    <row r="358" spans="16:17" x14ac:dyDescent="0.2">
      <c r="P358" s="1916"/>
      <c r="Q358" s="1916"/>
    </row>
    <row r="359" spans="16:17" x14ac:dyDescent="0.2">
      <c r="P359" s="1916"/>
      <c r="Q359" s="1916"/>
    </row>
    <row r="360" spans="16:17" x14ac:dyDescent="0.2">
      <c r="P360" s="1916"/>
      <c r="Q360" s="1916"/>
    </row>
    <row r="361" spans="16:17" x14ac:dyDescent="0.2">
      <c r="P361" s="1916"/>
      <c r="Q361" s="1916"/>
    </row>
    <row r="362" spans="16:17" x14ac:dyDescent="0.2">
      <c r="P362" s="1916"/>
      <c r="Q362" s="1916"/>
    </row>
    <row r="363" spans="16:17" x14ac:dyDescent="0.2">
      <c r="P363" s="1916"/>
      <c r="Q363" s="1916"/>
    </row>
    <row r="364" spans="16:17" x14ac:dyDescent="0.2">
      <c r="P364" s="1916"/>
      <c r="Q364" s="1916"/>
    </row>
    <row r="365" spans="16:17" x14ac:dyDescent="0.2">
      <c r="P365" s="1916"/>
      <c r="Q365" s="1916"/>
    </row>
    <row r="366" spans="16:17" x14ac:dyDescent="0.2">
      <c r="P366" s="1916"/>
      <c r="Q366" s="1916"/>
    </row>
    <row r="367" spans="16:17" x14ac:dyDescent="0.2">
      <c r="P367" s="1916"/>
      <c r="Q367" s="1916"/>
    </row>
    <row r="368" spans="16:17" x14ac:dyDescent="0.2">
      <c r="P368" s="1916"/>
      <c r="Q368" s="1916"/>
    </row>
    <row r="369" spans="16:17" x14ac:dyDescent="0.2">
      <c r="P369" s="1916"/>
      <c r="Q369" s="1916"/>
    </row>
    <row r="370" spans="16:17" x14ac:dyDescent="0.2">
      <c r="P370" s="1916"/>
      <c r="Q370" s="1916"/>
    </row>
    <row r="371" spans="16:17" x14ac:dyDescent="0.2">
      <c r="P371" s="1916"/>
      <c r="Q371" s="1916"/>
    </row>
    <row r="372" spans="16:17" x14ac:dyDescent="0.2">
      <c r="P372" s="1916"/>
      <c r="Q372" s="1916"/>
    </row>
    <row r="373" spans="16:17" x14ac:dyDescent="0.2">
      <c r="P373" s="1916"/>
      <c r="Q373" s="1916"/>
    </row>
    <row r="374" spans="16:17" x14ac:dyDescent="0.2">
      <c r="P374" s="1916"/>
      <c r="Q374" s="1916"/>
    </row>
    <row r="375" spans="16:17" x14ac:dyDescent="0.2">
      <c r="P375" s="1916"/>
      <c r="Q375" s="1916"/>
    </row>
    <row r="376" spans="16:17" x14ac:dyDescent="0.2">
      <c r="P376" s="1916"/>
      <c r="Q376" s="1916"/>
    </row>
    <row r="377" spans="16:17" x14ac:dyDescent="0.2">
      <c r="P377" s="1916"/>
      <c r="Q377" s="1916"/>
    </row>
    <row r="378" spans="16:17" x14ac:dyDescent="0.2">
      <c r="P378" s="1916"/>
      <c r="Q378" s="1916"/>
    </row>
    <row r="379" spans="16:17" x14ac:dyDescent="0.2">
      <c r="P379" s="1916"/>
      <c r="Q379" s="1916"/>
    </row>
    <row r="380" spans="16:17" x14ac:dyDescent="0.2">
      <c r="P380" s="1916"/>
      <c r="Q380" s="1916"/>
    </row>
    <row r="381" spans="16:17" x14ac:dyDescent="0.2">
      <c r="P381" s="1916"/>
      <c r="Q381" s="1916"/>
    </row>
    <row r="382" spans="16:17" x14ac:dyDescent="0.2">
      <c r="P382" s="1916"/>
      <c r="Q382" s="1916"/>
    </row>
    <row r="383" spans="16:17" x14ac:dyDescent="0.2">
      <c r="P383" s="1916"/>
      <c r="Q383" s="1916"/>
    </row>
    <row r="384" spans="16:17" x14ac:dyDescent="0.2">
      <c r="P384" s="1916"/>
      <c r="Q384" s="1916"/>
    </row>
    <row r="385" spans="16:17" x14ac:dyDescent="0.2">
      <c r="P385" s="1916"/>
      <c r="Q385" s="1916"/>
    </row>
    <row r="386" spans="16:17" x14ac:dyDescent="0.2">
      <c r="P386" s="1916"/>
      <c r="Q386" s="1916"/>
    </row>
    <row r="387" spans="16:17" x14ac:dyDescent="0.2">
      <c r="P387" s="1916"/>
      <c r="Q387" s="1916"/>
    </row>
    <row r="388" spans="16:17" x14ac:dyDescent="0.2">
      <c r="P388" s="1916"/>
      <c r="Q388" s="1916"/>
    </row>
    <row r="389" spans="16:17" x14ac:dyDescent="0.2">
      <c r="P389" s="1916"/>
      <c r="Q389" s="1916"/>
    </row>
    <row r="390" spans="16:17" x14ac:dyDescent="0.2">
      <c r="P390" s="1916"/>
      <c r="Q390" s="1916"/>
    </row>
    <row r="391" spans="16:17" x14ac:dyDescent="0.2">
      <c r="P391" s="1916"/>
      <c r="Q391" s="1916"/>
    </row>
    <row r="392" spans="16:17" x14ac:dyDescent="0.2">
      <c r="P392" s="1916"/>
      <c r="Q392" s="1916"/>
    </row>
    <row r="393" spans="16:17" x14ac:dyDescent="0.2">
      <c r="P393" s="1916"/>
      <c r="Q393" s="1916"/>
    </row>
    <row r="394" spans="16:17" x14ac:dyDescent="0.2">
      <c r="P394" s="1916"/>
      <c r="Q394" s="1916"/>
    </row>
    <row r="395" spans="16:17" x14ac:dyDescent="0.2">
      <c r="P395" s="1916"/>
      <c r="Q395" s="1916"/>
    </row>
    <row r="396" spans="16:17" x14ac:dyDescent="0.2">
      <c r="P396" s="1916"/>
      <c r="Q396" s="1916"/>
    </row>
    <row r="397" spans="16:17" x14ac:dyDescent="0.2">
      <c r="P397" s="1916"/>
      <c r="Q397" s="1916"/>
    </row>
    <row r="398" spans="16:17" x14ac:dyDescent="0.2">
      <c r="P398" s="1916"/>
      <c r="Q398" s="1916"/>
    </row>
    <row r="399" spans="16:17" x14ac:dyDescent="0.2">
      <c r="P399" s="1916"/>
      <c r="Q399" s="1916"/>
    </row>
    <row r="400" spans="16:17" x14ac:dyDescent="0.2">
      <c r="P400" s="1916"/>
      <c r="Q400" s="1916"/>
    </row>
    <row r="401" spans="16:17" x14ac:dyDescent="0.2">
      <c r="P401" s="1916"/>
      <c r="Q401" s="1916"/>
    </row>
    <row r="402" spans="16:17" x14ac:dyDescent="0.2">
      <c r="P402" s="1916"/>
      <c r="Q402" s="1916"/>
    </row>
    <row r="403" spans="16:17" x14ac:dyDescent="0.2">
      <c r="P403" s="1916"/>
      <c r="Q403" s="1916"/>
    </row>
    <row r="404" spans="16:17" x14ac:dyDescent="0.2">
      <c r="P404" s="1916"/>
      <c r="Q404" s="1916"/>
    </row>
    <row r="405" spans="16:17" x14ac:dyDescent="0.2">
      <c r="P405" s="1916"/>
      <c r="Q405" s="1916"/>
    </row>
    <row r="406" spans="16:17" x14ac:dyDescent="0.2">
      <c r="P406" s="1916"/>
      <c r="Q406" s="1916"/>
    </row>
    <row r="407" spans="16:17" x14ac:dyDescent="0.2">
      <c r="P407" s="1916"/>
      <c r="Q407" s="1916"/>
    </row>
    <row r="408" spans="16:17" x14ac:dyDescent="0.2">
      <c r="P408" s="1916"/>
      <c r="Q408" s="1916"/>
    </row>
    <row r="409" spans="16:17" x14ac:dyDescent="0.2">
      <c r="P409" s="1916"/>
      <c r="Q409" s="1916"/>
    </row>
    <row r="410" spans="16:17" x14ac:dyDescent="0.2">
      <c r="P410" s="1916"/>
      <c r="Q410" s="1916"/>
    </row>
    <row r="411" spans="16:17" x14ac:dyDescent="0.2">
      <c r="P411" s="1916"/>
      <c r="Q411" s="1916"/>
    </row>
    <row r="412" spans="16:17" x14ac:dyDescent="0.2">
      <c r="P412" s="1916"/>
      <c r="Q412" s="1916"/>
    </row>
    <row r="413" spans="16:17" x14ac:dyDescent="0.2">
      <c r="P413" s="1916"/>
      <c r="Q413" s="1916"/>
    </row>
    <row r="414" spans="16:17" x14ac:dyDescent="0.2">
      <c r="P414" s="1916"/>
      <c r="Q414" s="1916"/>
    </row>
    <row r="415" spans="16:17" x14ac:dyDescent="0.2">
      <c r="P415" s="1916"/>
      <c r="Q415" s="1916"/>
    </row>
    <row r="416" spans="16:17" x14ac:dyDescent="0.2">
      <c r="P416" s="1916"/>
      <c r="Q416" s="1916"/>
    </row>
    <row r="417" spans="16:17" x14ac:dyDescent="0.2">
      <c r="P417" s="1916"/>
      <c r="Q417" s="1916"/>
    </row>
    <row r="418" spans="16:17" x14ac:dyDescent="0.2">
      <c r="P418" s="1916"/>
      <c r="Q418" s="1916"/>
    </row>
    <row r="419" spans="16:17" x14ac:dyDescent="0.2">
      <c r="P419" s="1916"/>
      <c r="Q419" s="1916"/>
    </row>
    <row r="420" spans="16:17" x14ac:dyDescent="0.2">
      <c r="P420" s="1916"/>
      <c r="Q420" s="1916"/>
    </row>
    <row r="421" spans="16:17" x14ac:dyDescent="0.2">
      <c r="P421" s="1916"/>
      <c r="Q421" s="1916"/>
    </row>
    <row r="422" spans="16:17" x14ac:dyDescent="0.2">
      <c r="P422" s="1916"/>
      <c r="Q422" s="1916"/>
    </row>
    <row r="423" spans="16:17" x14ac:dyDescent="0.2">
      <c r="P423" s="1916"/>
      <c r="Q423" s="1916"/>
    </row>
    <row r="424" spans="16:17" x14ac:dyDescent="0.2">
      <c r="P424" s="1916"/>
      <c r="Q424" s="1916"/>
    </row>
    <row r="425" spans="16:17" x14ac:dyDescent="0.2">
      <c r="P425" s="1916"/>
      <c r="Q425" s="1916"/>
    </row>
    <row r="426" spans="16:17" x14ac:dyDescent="0.2">
      <c r="P426" s="1916"/>
      <c r="Q426" s="1916"/>
    </row>
    <row r="427" spans="16:17" x14ac:dyDescent="0.2">
      <c r="P427" s="1916"/>
      <c r="Q427" s="1916"/>
    </row>
    <row r="428" spans="16:17" x14ac:dyDescent="0.2">
      <c r="P428" s="1916"/>
      <c r="Q428" s="1916"/>
    </row>
    <row r="429" spans="16:17" x14ac:dyDescent="0.2">
      <c r="P429" s="1916"/>
      <c r="Q429" s="1916"/>
    </row>
    <row r="430" spans="16:17" x14ac:dyDescent="0.2">
      <c r="P430" s="1916"/>
      <c r="Q430" s="1916"/>
    </row>
    <row r="431" spans="16:17" x14ac:dyDescent="0.2">
      <c r="P431" s="1916"/>
      <c r="Q431" s="1916"/>
    </row>
    <row r="432" spans="16:17" x14ac:dyDescent="0.2">
      <c r="P432" s="1916"/>
      <c r="Q432" s="1916"/>
    </row>
    <row r="433" spans="16:17" x14ac:dyDescent="0.2">
      <c r="P433" s="1916"/>
      <c r="Q433" s="1916"/>
    </row>
    <row r="434" spans="16:17" x14ac:dyDescent="0.2">
      <c r="P434" s="1916"/>
      <c r="Q434" s="1916"/>
    </row>
    <row r="435" spans="16:17" x14ac:dyDescent="0.2">
      <c r="P435" s="1916"/>
      <c r="Q435" s="1916"/>
    </row>
    <row r="436" spans="16:17" x14ac:dyDescent="0.2">
      <c r="P436" s="1916"/>
      <c r="Q436" s="1916"/>
    </row>
    <row r="437" spans="16:17" x14ac:dyDescent="0.2">
      <c r="P437" s="1916"/>
      <c r="Q437" s="1916"/>
    </row>
    <row r="438" spans="16:17" x14ac:dyDescent="0.2">
      <c r="P438" s="1916"/>
      <c r="Q438" s="1916"/>
    </row>
    <row r="439" spans="16:17" x14ac:dyDescent="0.2">
      <c r="P439" s="1916"/>
      <c r="Q439" s="1916"/>
    </row>
    <row r="440" spans="16:17" x14ac:dyDescent="0.2">
      <c r="P440" s="1916"/>
      <c r="Q440" s="1916"/>
    </row>
    <row r="441" spans="16:17" x14ac:dyDescent="0.2">
      <c r="P441" s="1916"/>
      <c r="Q441" s="1916"/>
    </row>
    <row r="442" spans="16:17" x14ac:dyDescent="0.2">
      <c r="P442" s="1916"/>
      <c r="Q442" s="1916"/>
    </row>
    <row r="443" spans="16:17" x14ac:dyDescent="0.2">
      <c r="P443" s="1916"/>
      <c r="Q443" s="1916"/>
    </row>
    <row r="444" spans="16:17" x14ac:dyDescent="0.2">
      <c r="P444" s="1916"/>
      <c r="Q444" s="1916"/>
    </row>
    <row r="445" spans="16:17" x14ac:dyDescent="0.2">
      <c r="P445" s="1916"/>
      <c r="Q445" s="1916"/>
    </row>
    <row r="446" spans="16:17" x14ac:dyDescent="0.2">
      <c r="P446" s="1916"/>
      <c r="Q446" s="1916"/>
    </row>
    <row r="447" spans="16:17" x14ac:dyDescent="0.2">
      <c r="P447" s="1916"/>
      <c r="Q447" s="1916"/>
    </row>
    <row r="448" spans="16:17" x14ac:dyDescent="0.2">
      <c r="P448" s="1916"/>
      <c r="Q448" s="1916"/>
    </row>
    <row r="449" spans="16:17" x14ac:dyDescent="0.2">
      <c r="P449" s="1916"/>
      <c r="Q449" s="1916"/>
    </row>
    <row r="450" spans="16:17" x14ac:dyDescent="0.2">
      <c r="P450" s="1916"/>
      <c r="Q450" s="1916"/>
    </row>
    <row r="451" spans="16:17" x14ac:dyDescent="0.2">
      <c r="P451" s="1916"/>
      <c r="Q451" s="1916"/>
    </row>
    <row r="452" spans="16:17" x14ac:dyDescent="0.2">
      <c r="P452" s="1916"/>
      <c r="Q452" s="1916"/>
    </row>
    <row r="453" spans="16:17" x14ac:dyDescent="0.2">
      <c r="P453" s="1916"/>
      <c r="Q453" s="1916"/>
    </row>
    <row r="454" spans="16:17" x14ac:dyDescent="0.2">
      <c r="P454" s="1916"/>
      <c r="Q454" s="1916"/>
    </row>
    <row r="455" spans="16:17" x14ac:dyDescent="0.2">
      <c r="P455" s="1916"/>
      <c r="Q455" s="1916"/>
    </row>
    <row r="456" spans="16:17" x14ac:dyDescent="0.2">
      <c r="P456" s="1916"/>
      <c r="Q456" s="1916"/>
    </row>
    <row r="457" spans="16:17" x14ac:dyDescent="0.2">
      <c r="P457" s="1916"/>
      <c r="Q457" s="1916"/>
    </row>
    <row r="458" spans="16:17" x14ac:dyDescent="0.2">
      <c r="P458" s="1916"/>
      <c r="Q458" s="1916"/>
    </row>
    <row r="459" spans="16:17" x14ac:dyDescent="0.2">
      <c r="P459" s="1916"/>
      <c r="Q459" s="1916"/>
    </row>
    <row r="460" spans="16:17" x14ac:dyDescent="0.2">
      <c r="P460" s="1916"/>
      <c r="Q460" s="1916"/>
    </row>
    <row r="461" spans="16:17" x14ac:dyDescent="0.2">
      <c r="P461" s="1916"/>
      <c r="Q461" s="1916"/>
    </row>
    <row r="462" spans="16:17" x14ac:dyDescent="0.2">
      <c r="P462" s="1916"/>
      <c r="Q462" s="1916"/>
    </row>
    <row r="463" spans="16:17" x14ac:dyDescent="0.2">
      <c r="P463" s="1916"/>
      <c r="Q463" s="1916"/>
    </row>
    <row r="464" spans="16:17" x14ac:dyDescent="0.2">
      <c r="P464" s="1916"/>
      <c r="Q464" s="1916"/>
    </row>
    <row r="465" spans="16:17" x14ac:dyDescent="0.2">
      <c r="P465" s="1916"/>
      <c r="Q465" s="1916"/>
    </row>
    <row r="466" spans="16:17" x14ac:dyDescent="0.2">
      <c r="P466" s="1916"/>
      <c r="Q466" s="1916"/>
    </row>
    <row r="467" spans="16:17" x14ac:dyDescent="0.2">
      <c r="P467" s="1916"/>
      <c r="Q467" s="1916"/>
    </row>
    <row r="468" spans="16:17" x14ac:dyDescent="0.2">
      <c r="P468" s="1916"/>
      <c r="Q468" s="1916"/>
    </row>
    <row r="469" spans="16:17" x14ac:dyDescent="0.2">
      <c r="P469" s="1916"/>
      <c r="Q469" s="1916"/>
    </row>
    <row r="470" spans="16:17" x14ac:dyDescent="0.2">
      <c r="P470" s="1916"/>
      <c r="Q470" s="1916"/>
    </row>
    <row r="471" spans="16:17" x14ac:dyDescent="0.2">
      <c r="P471" s="1916"/>
      <c r="Q471" s="1916"/>
    </row>
    <row r="472" spans="16:17" x14ac:dyDescent="0.2">
      <c r="P472" s="1916"/>
      <c r="Q472" s="1916"/>
    </row>
    <row r="473" spans="16:17" x14ac:dyDescent="0.2">
      <c r="P473" s="1916"/>
      <c r="Q473" s="1916"/>
    </row>
    <row r="474" spans="16:17" x14ac:dyDescent="0.2">
      <c r="P474" s="1916"/>
      <c r="Q474" s="1916"/>
    </row>
    <row r="475" spans="16:17" x14ac:dyDescent="0.2">
      <c r="P475" s="1916"/>
      <c r="Q475" s="1916"/>
    </row>
    <row r="476" spans="16:17" x14ac:dyDescent="0.2">
      <c r="P476" s="1916"/>
      <c r="Q476" s="1916"/>
    </row>
    <row r="477" spans="16:17" x14ac:dyDescent="0.2">
      <c r="P477" s="1916"/>
      <c r="Q477" s="1916"/>
    </row>
    <row r="478" spans="16:17" x14ac:dyDescent="0.2">
      <c r="P478" s="1916"/>
      <c r="Q478" s="1916"/>
    </row>
    <row r="479" spans="16:17" x14ac:dyDescent="0.2">
      <c r="P479" s="1916"/>
      <c r="Q479" s="1916"/>
    </row>
    <row r="480" spans="16:17" x14ac:dyDescent="0.2">
      <c r="P480" s="1916"/>
      <c r="Q480" s="1916"/>
    </row>
    <row r="481" spans="16:17" x14ac:dyDescent="0.2">
      <c r="P481" s="1916"/>
      <c r="Q481" s="1916"/>
    </row>
    <row r="482" spans="16:17" x14ac:dyDescent="0.2">
      <c r="P482" s="1916"/>
      <c r="Q482" s="1916"/>
    </row>
    <row r="483" spans="16:17" x14ac:dyDescent="0.2">
      <c r="P483" s="1916"/>
      <c r="Q483" s="1916"/>
    </row>
    <row r="484" spans="16:17" x14ac:dyDescent="0.2">
      <c r="P484" s="1916"/>
      <c r="Q484" s="1916"/>
    </row>
    <row r="485" spans="16:17" x14ac:dyDescent="0.2">
      <c r="P485" s="1916"/>
      <c r="Q485" s="1916"/>
    </row>
    <row r="486" spans="16:17" x14ac:dyDescent="0.2">
      <c r="P486" s="1916"/>
      <c r="Q486" s="1916"/>
    </row>
    <row r="487" spans="16:17" x14ac:dyDescent="0.2">
      <c r="P487" s="1916"/>
      <c r="Q487" s="1916"/>
    </row>
    <row r="488" spans="16:17" x14ac:dyDescent="0.2">
      <c r="P488" s="1916"/>
      <c r="Q488" s="1916"/>
    </row>
    <row r="489" spans="16:17" x14ac:dyDescent="0.2">
      <c r="P489" s="1916"/>
      <c r="Q489" s="1916"/>
    </row>
    <row r="490" spans="16:17" x14ac:dyDescent="0.2">
      <c r="P490" s="1916"/>
      <c r="Q490" s="1916"/>
    </row>
    <row r="491" spans="16:17" x14ac:dyDescent="0.2">
      <c r="P491" s="1916"/>
      <c r="Q491" s="1916"/>
    </row>
    <row r="492" spans="16:17" x14ac:dyDescent="0.2">
      <c r="P492" s="1916"/>
      <c r="Q492" s="1916"/>
    </row>
    <row r="493" spans="16:17" x14ac:dyDescent="0.2">
      <c r="P493" s="1916"/>
      <c r="Q493" s="1916"/>
    </row>
    <row r="494" spans="16:17" x14ac:dyDescent="0.2">
      <c r="P494" s="1916"/>
      <c r="Q494" s="1916"/>
    </row>
    <row r="495" spans="16:17" x14ac:dyDescent="0.2">
      <c r="P495" s="1916"/>
      <c r="Q495" s="1916"/>
    </row>
    <row r="496" spans="16:17" x14ac:dyDescent="0.2">
      <c r="P496" s="1916"/>
      <c r="Q496" s="1916"/>
    </row>
    <row r="497" spans="16:17" x14ac:dyDescent="0.2">
      <c r="P497" s="1916"/>
      <c r="Q497" s="1916"/>
    </row>
    <row r="498" spans="16:17" x14ac:dyDescent="0.2">
      <c r="P498" s="1916"/>
      <c r="Q498" s="1916"/>
    </row>
    <row r="499" spans="16:17" x14ac:dyDescent="0.2">
      <c r="P499" s="1916"/>
      <c r="Q499" s="1916"/>
    </row>
    <row r="500" spans="16:17" x14ac:dyDescent="0.2">
      <c r="P500" s="1916"/>
      <c r="Q500" s="1916"/>
    </row>
    <row r="501" spans="16:17" x14ac:dyDescent="0.2">
      <c r="P501" s="1916"/>
      <c r="Q501" s="1916"/>
    </row>
    <row r="502" spans="16:17" x14ac:dyDescent="0.2">
      <c r="P502" s="1916"/>
      <c r="Q502" s="1916"/>
    </row>
    <row r="503" spans="16:17" x14ac:dyDescent="0.2">
      <c r="P503" s="1916"/>
      <c r="Q503" s="1916"/>
    </row>
    <row r="504" spans="16:17" x14ac:dyDescent="0.2">
      <c r="P504" s="1916"/>
      <c r="Q504" s="1916"/>
    </row>
    <row r="505" spans="16:17" x14ac:dyDescent="0.2">
      <c r="P505" s="1916"/>
      <c r="Q505" s="1916"/>
    </row>
    <row r="506" spans="16:17" x14ac:dyDescent="0.2">
      <c r="P506" s="1916"/>
      <c r="Q506" s="1916"/>
    </row>
    <row r="507" spans="16:17" x14ac:dyDescent="0.2">
      <c r="P507" s="1916"/>
      <c r="Q507" s="1916"/>
    </row>
    <row r="508" spans="16:17" x14ac:dyDescent="0.2">
      <c r="P508" s="1916"/>
      <c r="Q508" s="1916"/>
    </row>
    <row r="509" spans="16:17" x14ac:dyDescent="0.2">
      <c r="P509" s="1916"/>
      <c r="Q509" s="1916"/>
    </row>
    <row r="510" spans="16:17" x14ac:dyDescent="0.2">
      <c r="P510" s="1916"/>
      <c r="Q510" s="1916"/>
    </row>
    <row r="511" spans="16:17" x14ac:dyDescent="0.2">
      <c r="P511" s="1916"/>
      <c r="Q511" s="1916"/>
    </row>
    <row r="512" spans="16:17" x14ac:dyDescent="0.2">
      <c r="P512" s="1916"/>
      <c r="Q512" s="1916"/>
    </row>
    <row r="513" spans="16:17" x14ac:dyDescent="0.2">
      <c r="P513" s="1916"/>
      <c r="Q513" s="1916"/>
    </row>
    <row r="514" spans="16:17" x14ac:dyDescent="0.2">
      <c r="P514" s="1916"/>
      <c r="Q514" s="1916"/>
    </row>
    <row r="515" spans="16:17" x14ac:dyDescent="0.2">
      <c r="P515" s="1916"/>
      <c r="Q515" s="1916"/>
    </row>
    <row r="516" spans="16:17" x14ac:dyDescent="0.2">
      <c r="P516" s="1916"/>
      <c r="Q516" s="1916"/>
    </row>
    <row r="517" spans="16:17" x14ac:dyDescent="0.2">
      <c r="P517" s="1916"/>
      <c r="Q517" s="1916"/>
    </row>
    <row r="518" spans="16:17" x14ac:dyDescent="0.2">
      <c r="P518" s="1916"/>
      <c r="Q518" s="1916"/>
    </row>
    <row r="519" spans="16:17" x14ac:dyDescent="0.2">
      <c r="P519" s="1916"/>
      <c r="Q519" s="1916"/>
    </row>
    <row r="520" spans="16:17" x14ac:dyDescent="0.2">
      <c r="P520" s="1916"/>
      <c r="Q520" s="1916"/>
    </row>
    <row r="521" spans="16:17" x14ac:dyDescent="0.2">
      <c r="P521" s="1916"/>
      <c r="Q521" s="1916"/>
    </row>
    <row r="522" spans="16:17" x14ac:dyDescent="0.2">
      <c r="P522" s="1916"/>
      <c r="Q522" s="1916"/>
    </row>
    <row r="523" spans="16:17" x14ac:dyDescent="0.2">
      <c r="P523" s="1916"/>
      <c r="Q523" s="1916"/>
    </row>
    <row r="524" spans="16:17" x14ac:dyDescent="0.2">
      <c r="P524" s="1916"/>
      <c r="Q524" s="1916"/>
    </row>
    <row r="525" spans="16:17" x14ac:dyDescent="0.2">
      <c r="P525" s="1916"/>
      <c r="Q525" s="1916"/>
    </row>
    <row r="526" spans="16:17" x14ac:dyDescent="0.2">
      <c r="P526" s="1916"/>
      <c r="Q526" s="1916"/>
    </row>
    <row r="527" spans="16:17" x14ac:dyDescent="0.2">
      <c r="P527" s="1916"/>
      <c r="Q527" s="1916"/>
    </row>
    <row r="528" spans="16:17" x14ac:dyDescent="0.2">
      <c r="P528" s="1916"/>
      <c r="Q528" s="1916"/>
    </row>
    <row r="529" spans="16:17" x14ac:dyDescent="0.2">
      <c r="P529" s="1916"/>
      <c r="Q529" s="1916"/>
    </row>
    <row r="530" spans="16:17" x14ac:dyDescent="0.2">
      <c r="P530" s="1916"/>
      <c r="Q530" s="1916"/>
    </row>
    <row r="531" spans="16:17" x14ac:dyDescent="0.2">
      <c r="P531" s="1916"/>
      <c r="Q531" s="1916"/>
    </row>
    <row r="532" spans="16:17" x14ac:dyDescent="0.2">
      <c r="P532" s="1916"/>
      <c r="Q532" s="1916"/>
    </row>
    <row r="533" spans="16:17" x14ac:dyDescent="0.2">
      <c r="P533" s="1916"/>
      <c r="Q533" s="1916"/>
    </row>
    <row r="534" spans="16:17" x14ac:dyDescent="0.2">
      <c r="P534" s="1916"/>
      <c r="Q534" s="1916"/>
    </row>
    <row r="535" spans="16:17" x14ac:dyDescent="0.2">
      <c r="P535" s="1916"/>
      <c r="Q535" s="1916"/>
    </row>
    <row r="536" spans="16:17" x14ac:dyDescent="0.2">
      <c r="P536" s="1916"/>
      <c r="Q536" s="1916"/>
    </row>
    <row r="537" spans="16:17" x14ac:dyDescent="0.2">
      <c r="P537" s="1916"/>
      <c r="Q537" s="1916"/>
    </row>
    <row r="538" spans="16:17" x14ac:dyDescent="0.2">
      <c r="P538" s="1916"/>
      <c r="Q538" s="1916"/>
    </row>
    <row r="539" spans="16:17" x14ac:dyDescent="0.2">
      <c r="P539" s="1916"/>
      <c r="Q539" s="1916"/>
    </row>
    <row r="540" spans="16:17" x14ac:dyDescent="0.2">
      <c r="P540" s="1916"/>
      <c r="Q540" s="1916"/>
    </row>
    <row r="541" spans="16:17" x14ac:dyDescent="0.2">
      <c r="P541" s="1916"/>
      <c r="Q541" s="1916"/>
    </row>
    <row r="542" spans="16:17" x14ac:dyDescent="0.2">
      <c r="P542" s="1916"/>
      <c r="Q542" s="1916"/>
    </row>
    <row r="543" spans="16:17" x14ac:dyDescent="0.2">
      <c r="P543" s="1916"/>
      <c r="Q543" s="1916"/>
    </row>
    <row r="544" spans="16:17" x14ac:dyDescent="0.2">
      <c r="P544" s="1916"/>
      <c r="Q544" s="1916"/>
    </row>
    <row r="545" spans="16:17" x14ac:dyDescent="0.2">
      <c r="P545" s="1916"/>
      <c r="Q545" s="1916"/>
    </row>
    <row r="546" spans="16:17" x14ac:dyDescent="0.2">
      <c r="P546" s="1916"/>
      <c r="Q546" s="1916"/>
    </row>
    <row r="547" spans="16:17" x14ac:dyDescent="0.2">
      <c r="P547" s="1916"/>
      <c r="Q547" s="1916"/>
    </row>
    <row r="548" spans="16:17" x14ac:dyDescent="0.2">
      <c r="P548" s="1916"/>
      <c r="Q548" s="1916"/>
    </row>
    <row r="549" spans="16:17" x14ac:dyDescent="0.2">
      <c r="P549" s="1916"/>
      <c r="Q549" s="1916"/>
    </row>
    <row r="550" spans="16:17" x14ac:dyDescent="0.2">
      <c r="P550" s="1916"/>
      <c r="Q550" s="1916"/>
    </row>
    <row r="551" spans="16:17" x14ac:dyDescent="0.2">
      <c r="P551" s="1916"/>
      <c r="Q551" s="1916"/>
    </row>
    <row r="552" spans="16:17" x14ac:dyDescent="0.2">
      <c r="P552" s="1916"/>
      <c r="Q552" s="1916"/>
    </row>
    <row r="553" spans="16:17" x14ac:dyDescent="0.2">
      <c r="P553" s="1916"/>
      <c r="Q553" s="1916"/>
    </row>
    <row r="554" spans="16:17" x14ac:dyDescent="0.2">
      <c r="P554" s="1916"/>
      <c r="Q554" s="1916"/>
    </row>
    <row r="555" spans="16:17" x14ac:dyDescent="0.2">
      <c r="P555" s="1916"/>
      <c r="Q555" s="1916"/>
    </row>
    <row r="556" spans="16:17" x14ac:dyDescent="0.2">
      <c r="P556" s="1916"/>
      <c r="Q556" s="1916"/>
    </row>
    <row r="557" spans="16:17" x14ac:dyDescent="0.2">
      <c r="P557" s="1916"/>
      <c r="Q557" s="1916"/>
    </row>
    <row r="558" spans="16:17" x14ac:dyDescent="0.2">
      <c r="P558" s="1916"/>
      <c r="Q558" s="1916"/>
    </row>
    <row r="559" spans="16:17" x14ac:dyDescent="0.2">
      <c r="P559" s="1916"/>
      <c r="Q559" s="1916"/>
    </row>
    <row r="560" spans="16:17" x14ac:dyDescent="0.2">
      <c r="P560" s="1916"/>
      <c r="Q560" s="1916"/>
    </row>
    <row r="561" spans="16:17" x14ac:dyDescent="0.2">
      <c r="P561" s="1916"/>
      <c r="Q561" s="1916"/>
    </row>
    <row r="562" spans="16:17" x14ac:dyDescent="0.2">
      <c r="P562" s="1916"/>
      <c r="Q562" s="1916"/>
    </row>
    <row r="563" spans="16:17" x14ac:dyDescent="0.2">
      <c r="P563" s="1916"/>
      <c r="Q563" s="1916"/>
    </row>
    <row r="564" spans="16:17" x14ac:dyDescent="0.2">
      <c r="P564" s="1916"/>
      <c r="Q564" s="1916"/>
    </row>
    <row r="565" spans="16:17" x14ac:dyDescent="0.2">
      <c r="P565" s="1916"/>
      <c r="Q565" s="1916"/>
    </row>
    <row r="566" spans="16:17" x14ac:dyDescent="0.2">
      <c r="P566" s="1916"/>
      <c r="Q566" s="1916"/>
    </row>
    <row r="567" spans="16:17" x14ac:dyDescent="0.2">
      <c r="P567" s="1916"/>
      <c r="Q567" s="1916"/>
    </row>
    <row r="568" spans="16:17" x14ac:dyDescent="0.2">
      <c r="P568" s="1916"/>
      <c r="Q568" s="1916"/>
    </row>
    <row r="569" spans="16:17" x14ac:dyDescent="0.2">
      <c r="P569" s="1916"/>
      <c r="Q569" s="1916"/>
    </row>
    <row r="570" spans="16:17" x14ac:dyDescent="0.2">
      <c r="P570" s="1916"/>
      <c r="Q570" s="1916"/>
    </row>
    <row r="571" spans="16:17" x14ac:dyDescent="0.2">
      <c r="P571" s="1916"/>
      <c r="Q571" s="1916"/>
    </row>
    <row r="572" spans="16:17" x14ac:dyDescent="0.2">
      <c r="P572" s="1916"/>
      <c r="Q572" s="1916"/>
    </row>
    <row r="573" spans="16:17" x14ac:dyDescent="0.2">
      <c r="P573" s="1916"/>
      <c r="Q573" s="1916"/>
    </row>
    <row r="574" spans="16:17" x14ac:dyDescent="0.2">
      <c r="P574" s="1916"/>
      <c r="Q574" s="1916"/>
    </row>
    <row r="575" spans="16:17" x14ac:dyDescent="0.2">
      <c r="P575" s="1916"/>
      <c r="Q575" s="1916"/>
    </row>
    <row r="576" spans="16:17" x14ac:dyDescent="0.2">
      <c r="P576" s="1916"/>
      <c r="Q576" s="1916"/>
    </row>
    <row r="577" spans="16:17" x14ac:dyDescent="0.2">
      <c r="P577" s="1916"/>
      <c r="Q577" s="1916"/>
    </row>
    <row r="578" spans="16:17" x14ac:dyDescent="0.2">
      <c r="P578" s="1916"/>
      <c r="Q578" s="1916"/>
    </row>
    <row r="579" spans="16:17" x14ac:dyDescent="0.2">
      <c r="P579" s="1916"/>
      <c r="Q579" s="1916"/>
    </row>
    <row r="580" spans="16:17" x14ac:dyDescent="0.2">
      <c r="P580" s="1916"/>
      <c r="Q580" s="1916"/>
    </row>
    <row r="581" spans="16:17" x14ac:dyDescent="0.2">
      <c r="P581" s="1916"/>
      <c r="Q581" s="1916"/>
    </row>
    <row r="582" spans="16:17" x14ac:dyDescent="0.2">
      <c r="P582" s="1916"/>
      <c r="Q582" s="1916"/>
    </row>
    <row r="583" spans="16:17" x14ac:dyDescent="0.2">
      <c r="P583" s="1916"/>
      <c r="Q583" s="1916"/>
    </row>
    <row r="584" spans="16:17" x14ac:dyDescent="0.2">
      <c r="P584" s="1916"/>
      <c r="Q584" s="1916"/>
    </row>
    <row r="585" spans="16:17" x14ac:dyDescent="0.2">
      <c r="P585" s="1916"/>
      <c r="Q585" s="1916"/>
    </row>
    <row r="586" spans="16:17" x14ac:dyDescent="0.2">
      <c r="P586" s="1916"/>
      <c r="Q586" s="1916"/>
    </row>
    <row r="587" spans="16:17" x14ac:dyDescent="0.2">
      <c r="P587" s="1916"/>
      <c r="Q587" s="1916"/>
    </row>
    <row r="588" spans="16:17" x14ac:dyDescent="0.2">
      <c r="P588" s="1916"/>
      <c r="Q588" s="1916"/>
    </row>
    <row r="589" spans="16:17" x14ac:dyDescent="0.2">
      <c r="P589" s="1916"/>
      <c r="Q589" s="1916"/>
    </row>
    <row r="590" spans="16:17" x14ac:dyDescent="0.2">
      <c r="P590" s="1916"/>
      <c r="Q590" s="1916"/>
    </row>
    <row r="591" spans="16:17" x14ac:dyDescent="0.2">
      <c r="P591" s="1916"/>
      <c r="Q591" s="1916"/>
    </row>
    <row r="592" spans="16:17" x14ac:dyDescent="0.2">
      <c r="P592" s="1916"/>
      <c r="Q592" s="1916"/>
    </row>
    <row r="593" spans="16:17" x14ac:dyDescent="0.2">
      <c r="P593" s="1916"/>
      <c r="Q593" s="1916"/>
    </row>
    <row r="594" spans="16:17" x14ac:dyDescent="0.2">
      <c r="P594" s="1916"/>
      <c r="Q594" s="1916"/>
    </row>
    <row r="595" spans="16:17" x14ac:dyDescent="0.2">
      <c r="P595" s="1916"/>
      <c r="Q595" s="1916"/>
    </row>
    <row r="596" spans="16:17" x14ac:dyDescent="0.2">
      <c r="P596" s="1916"/>
      <c r="Q596" s="1916"/>
    </row>
    <row r="597" spans="16:17" x14ac:dyDescent="0.2">
      <c r="P597" s="1916"/>
      <c r="Q597" s="1916"/>
    </row>
    <row r="598" spans="16:17" x14ac:dyDescent="0.2">
      <c r="P598" s="1916"/>
      <c r="Q598" s="1916"/>
    </row>
    <row r="599" spans="16:17" x14ac:dyDescent="0.2">
      <c r="P599" s="1916"/>
      <c r="Q599" s="1916"/>
    </row>
    <row r="600" spans="16:17" x14ac:dyDescent="0.2">
      <c r="P600" s="1916"/>
      <c r="Q600" s="1916"/>
    </row>
    <row r="601" spans="16:17" x14ac:dyDescent="0.2">
      <c r="P601" s="1916"/>
      <c r="Q601" s="1916"/>
    </row>
    <row r="602" spans="16:17" x14ac:dyDescent="0.2">
      <c r="P602" s="1916"/>
      <c r="Q602" s="1916"/>
    </row>
    <row r="603" spans="16:17" x14ac:dyDescent="0.2">
      <c r="P603" s="1916"/>
      <c r="Q603" s="1916"/>
    </row>
    <row r="604" spans="16:17" x14ac:dyDescent="0.2">
      <c r="P604" s="1916"/>
      <c r="Q604" s="1916"/>
    </row>
    <row r="605" spans="16:17" x14ac:dyDescent="0.2">
      <c r="P605" s="1916"/>
      <c r="Q605" s="1916"/>
    </row>
    <row r="606" spans="16:17" x14ac:dyDescent="0.2">
      <c r="P606" s="1916"/>
      <c r="Q606" s="1916"/>
    </row>
    <row r="607" spans="16:17" x14ac:dyDescent="0.2">
      <c r="P607" s="1916"/>
      <c r="Q607" s="1916"/>
    </row>
    <row r="608" spans="16:17" x14ac:dyDescent="0.2">
      <c r="P608" s="1916"/>
      <c r="Q608" s="1916"/>
    </row>
    <row r="609" spans="16:17" x14ac:dyDescent="0.2">
      <c r="P609" s="1916"/>
      <c r="Q609" s="1916"/>
    </row>
    <row r="610" spans="16:17" x14ac:dyDescent="0.2">
      <c r="P610" s="1916"/>
      <c r="Q610" s="1916"/>
    </row>
    <row r="611" spans="16:17" x14ac:dyDescent="0.2">
      <c r="P611" s="1916"/>
      <c r="Q611" s="1916"/>
    </row>
    <row r="612" spans="16:17" x14ac:dyDescent="0.2">
      <c r="P612" s="1916"/>
      <c r="Q612" s="1916"/>
    </row>
    <row r="613" spans="16:17" x14ac:dyDescent="0.2">
      <c r="P613" s="1916"/>
      <c r="Q613" s="1916"/>
    </row>
    <row r="614" spans="16:17" x14ac:dyDescent="0.2">
      <c r="P614" s="1916"/>
      <c r="Q614" s="1916"/>
    </row>
    <row r="615" spans="16:17" x14ac:dyDescent="0.2">
      <c r="P615" s="1916"/>
      <c r="Q615" s="1916"/>
    </row>
    <row r="616" spans="16:17" x14ac:dyDescent="0.2">
      <c r="P616" s="1916"/>
      <c r="Q616" s="1916"/>
    </row>
    <row r="617" spans="16:17" x14ac:dyDescent="0.2">
      <c r="P617" s="1916"/>
      <c r="Q617" s="1916"/>
    </row>
    <row r="618" spans="16:17" x14ac:dyDescent="0.2">
      <c r="P618" s="1916"/>
      <c r="Q618" s="1916"/>
    </row>
    <row r="619" spans="16:17" x14ac:dyDescent="0.2">
      <c r="P619" s="1916"/>
      <c r="Q619" s="1916"/>
    </row>
    <row r="620" spans="16:17" x14ac:dyDescent="0.2">
      <c r="P620" s="1916"/>
      <c r="Q620" s="1916"/>
    </row>
    <row r="621" spans="16:17" x14ac:dyDescent="0.2">
      <c r="P621" s="1916"/>
      <c r="Q621" s="1916"/>
    </row>
    <row r="622" spans="16:17" x14ac:dyDescent="0.2">
      <c r="P622" s="1916"/>
      <c r="Q622" s="1916"/>
    </row>
    <row r="623" spans="16:17" x14ac:dyDescent="0.2">
      <c r="P623" s="1916"/>
      <c r="Q623" s="1916"/>
    </row>
    <row r="624" spans="16:17" x14ac:dyDescent="0.2">
      <c r="P624" s="1916"/>
      <c r="Q624" s="1916"/>
    </row>
    <row r="625" spans="16:17" x14ac:dyDescent="0.2">
      <c r="P625" s="1916"/>
      <c r="Q625" s="1916"/>
    </row>
    <row r="626" spans="16:17" x14ac:dyDescent="0.2">
      <c r="P626" s="1916"/>
      <c r="Q626" s="1916"/>
    </row>
    <row r="627" spans="16:17" x14ac:dyDescent="0.2">
      <c r="P627" s="1916"/>
      <c r="Q627" s="1916"/>
    </row>
    <row r="628" spans="16:17" x14ac:dyDescent="0.2">
      <c r="P628" s="1916"/>
      <c r="Q628" s="1916"/>
    </row>
    <row r="629" spans="16:17" x14ac:dyDescent="0.2">
      <c r="P629" s="1916"/>
      <c r="Q629" s="1916"/>
    </row>
    <row r="630" spans="16:17" x14ac:dyDescent="0.2">
      <c r="P630" s="1916"/>
      <c r="Q630" s="1916"/>
    </row>
    <row r="631" spans="16:17" x14ac:dyDescent="0.2">
      <c r="P631" s="1916"/>
      <c r="Q631" s="1916"/>
    </row>
    <row r="632" spans="16:17" x14ac:dyDescent="0.2">
      <c r="P632" s="1916"/>
      <c r="Q632" s="1916"/>
    </row>
    <row r="633" spans="16:17" x14ac:dyDescent="0.2">
      <c r="P633" s="1916"/>
      <c r="Q633" s="1916"/>
    </row>
    <row r="634" spans="16:17" x14ac:dyDescent="0.2">
      <c r="P634" s="1916"/>
      <c r="Q634" s="1916"/>
    </row>
    <row r="635" spans="16:17" x14ac:dyDescent="0.2">
      <c r="P635" s="1916"/>
      <c r="Q635" s="1916"/>
    </row>
    <row r="636" spans="16:17" x14ac:dyDescent="0.2">
      <c r="P636" s="1916"/>
      <c r="Q636" s="1916"/>
    </row>
    <row r="637" spans="16:17" x14ac:dyDescent="0.2">
      <c r="P637" s="1916"/>
      <c r="Q637" s="1916"/>
    </row>
    <row r="638" spans="16:17" x14ac:dyDescent="0.2">
      <c r="P638" s="1916"/>
      <c r="Q638" s="1916"/>
    </row>
    <row r="639" spans="16:17" x14ac:dyDescent="0.2">
      <c r="P639" s="1916"/>
      <c r="Q639" s="1916"/>
    </row>
    <row r="640" spans="16:17" x14ac:dyDescent="0.2">
      <c r="P640" s="1916"/>
      <c r="Q640" s="1916"/>
    </row>
    <row r="641" spans="16:17" x14ac:dyDescent="0.2">
      <c r="P641" s="1916"/>
      <c r="Q641" s="1916"/>
    </row>
    <row r="642" spans="16:17" x14ac:dyDescent="0.2">
      <c r="P642" s="1916"/>
      <c r="Q642" s="1916"/>
    </row>
    <row r="643" spans="16:17" x14ac:dyDescent="0.2">
      <c r="P643" s="1916"/>
      <c r="Q643" s="1916"/>
    </row>
    <row r="644" spans="16:17" x14ac:dyDescent="0.2">
      <c r="P644" s="1916"/>
      <c r="Q644" s="1916"/>
    </row>
    <row r="645" spans="16:17" x14ac:dyDescent="0.2">
      <c r="P645" s="1916"/>
      <c r="Q645" s="1916"/>
    </row>
    <row r="646" spans="16:17" x14ac:dyDescent="0.2">
      <c r="P646" s="1916"/>
      <c r="Q646" s="1916"/>
    </row>
    <row r="647" spans="16:17" x14ac:dyDescent="0.2">
      <c r="P647" s="1916"/>
      <c r="Q647" s="1916"/>
    </row>
    <row r="648" spans="16:17" x14ac:dyDescent="0.2">
      <c r="P648" s="1916"/>
      <c r="Q648" s="1916"/>
    </row>
    <row r="649" spans="16:17" x14ac:dyDescent="0.2">
      <c r="P649" s="1916"/>
      <c r="Q649" s="1916"/>
    </row>
    <row r="650" spans="16:17" x14ac:dyDescent="0.2">
      <c r="P650" s="1916"/>
      <c r="Q650" s="1916"/>
    </row>
    <row r="651" spans="16:17" x14ac:dyDescent="0.2">
      <c r="P651" s="1916"/>
      <c r="Q651" s="1916"/>
    </row>
    <row r="652" spans="16:17" x14ac:dyDescent="0.2">
      <c r="P652" s="1916"/>
      <c r="Q652" s="1916"/>
    </row>
    <row r="653" spans="16:17" x14ac:dyDescent="0.2">
      <c r="P653" s="1916"/>
      <c r="Q653" s="1916"/>
    </row>
    <row r="654" spans="16:17" x14ac:dyDescent="0.2">
      <c r="P654" s="1916"/>
      <c r="Q654" s="1916"/>
    </row>
    <row r="655" spans="16:17" x14ac:dyDescent="0.2">
      <c r="P655" s="1916"/>
      <c r="Q655" s="1916"/>
    </row>
    <row r="656" spans="16:17" x14ac:dyDescent="0.2">
      <c r="P656" s="1916"/>
      <c r="Q656" s="1916"/>
    </row>
    <row r="657" spans="16:17" x14ac:dyDescent="0.2">
      <c r="P657" s="1916"/>
      <c r="Q657" s="1916"/>
    </row>
    <row r="658" spans="16:17" x14ac:dyDescent="0.2">
      <c r="P658" s="1916"/>
      <c r="Q658" s="1916"/>
    </row>
    <row r="659" spans="16:17" x14ac:dyDescent="0.2">
      <c r="P659" s="1916"/>
      <c r="Q659" s="1916"/>
    </row>
    <row r="660" spans="16:17" x14ac:dyDescent="0.2">
      <c r="P660" s="1916"/>
      <c r="Q660" s="1916"/>
    </row>
    <row r="661" spans="16:17" x14ac:dyDescent="0.2">
      <c r="P661" s="1916"/>
      <c r="Q661" s="1916"/>
    </row>
    <row r="662" spans="16:17" x14ac:dyDescent="0.2">
      <c r="P662" s="1916"/>
      <c r="Q662" s="1916"/>
    </row>
    <row r="663" spans="16:17" x14ac:dyDescent="0.2">
      <c r="P663" s="1916"/>
      <c r="Q663" s="1916"/>
    </row>
    <row r="664" spans="16:17" x14ac:dyDescent="0.2">
      <c r="P664" s="1916"/>
      <c r="Q664" s="1916"/>
    </row>
    <row r="665" spans="16:17" x14ac:dyDescent="0.2">
      <c r="P665" s="1916"/>
      <c r="Q665" s="1916"/>
    </row>
    <row r="666" spans="16:17" x14ac:dyDescent="0.2">
      <c r="P666" s="1916"/>
      <c r="Q666" s="1916"/>
    </row>
    <row r="667" spans="16:17" x14ac:dyDescent="0.2">
      <c r="P667" s="1916"/>
      <c r="Q667" s="1916"/>
    </row>
    <row r="668" spans="16:17" x14ac:dyDescent="0.2">
      <c r="P668" s="1916"/>
      <c r="Q668" s="1916"/>
    </row>
    <row r="669" spans="16:17" x14ac:dyDescent="0.2">
      <c r="P669" s="1916"/>
      <c r="Q669" s="1916"/>
    </row>
    <row r="670" spans="16:17" x14ac:dyDescent="0.2">
      <c r="P670" s="1916"/>
      <c r="Q670" s="1916"/>
    </row>
    <row r="671" spans="16:17" x14ac:dyDescent="0.2">
      <c r="P671" s="1916"/>
      <c r="Q671" s="1916"/>
    </row>
    <row r="672" spans="16:17" x14ac:dyDescent="0.2">
      <c r="P672" s="1916"/>
      <c r="Q672" s="1916"/>
    </row>
    <row r="673" spans="16:17" x14ac:dyDescent="0.2">
      <c r="P673" s="1916"/>
      <c r="Q673" s="1916"/>
    </row>
    <row r="674" spans="16:17" x14ac:dyDescent="0.2">
      <c r="P674" s="1916"/>
      <c r="Q674" s="1916"/>
    </row>
    <row r="675" spans="16:17" x14ac:dyDescent="0.2">
      <c r="P675" s="1916"/>
      <c r="Q675" s="1916"/>
    </row>
    <row r="676" spans="16:17" x14ac:dyDescent="0.2">
      <c r="P676" s="1916"/>
      <c r="Q676" s="1916"/>
    </row>
    <row r="677" spans="16:17" x14ac:dyDescent="0.2">
      <c r="P677" s="1916"/>
      <c r="Q677" s="1916"/>
    </row>
    <row r="678" spans="16:17" x14ac:dyDescent="0.2">
      <c r="P678" s="1916"/>
      <c r="Q678" s="1916"/>
    </row>
    <row r="679" spans="16:17" x14ac:dyDescent="0.2">
      <c r="P679" s="1916"/>
      <c r="Q679" s="1916"/>
    </row>
    <row r="680" spans="16:17" x14ac:dyDescent="0.2">
      <c r="P680" s="1916"/>
      <c r="Q680" s="1916"/>
    </row>
    <row r="681" spans="16:17" x14ac:dyDescent="0.2">
      <c r="P681" s="1916"/>
      <c r="Q681" s="1916"/>
    </row>
    <row r="682" spans="16:17" x14ac:dyDescent="0.2">
      <c r="P682" s="1916"/>
      <c r="Q682" s="1916"/>
    </row>
    <row r="683" spans="16:17" x14ac:dyDescent="0.2">
      <c r="P683" s="1916"/>
      <c r="Q683" s="1916"/>
    </row>
    <row r="684" spans="16:17" x14ac:dyDescent="0.2">
      <c r="P684" s="1916"/>
      <c r="Q684" s="1916"/>
    </row>
    <row r="685" spans="16:17" x14ac:dyDescent="0.2">
      <c r="P685" s="1916"/>
      <c r="Q685" s="1916"/>
    </row>
    <row r="686" spans="16:17" x14ac:dyDescent="0.2">
      <c r="P686" s="1916"/>
      <c r="Q686" s="1916"/>
    </row>
    <row r="687" spans="16:17" x14ac:dyDescent="0.2">
      <c r="P687" s="1916"/>
      <c r="Q687" s="1916"/>
    </row>
    <row r="688" spans="16:17" x14ac:dyDescent="0.2">
      <c r="P688" s="1916"/>
      <c r="Q688" s="1916"/>
    </row>
    <row r="689" spans="16:17" x14ac:dyDescent="0.2">
      <c r="P689" s="1916"/>
      <c r="Q689" s="1916"/>
    </row>
    <row r="690" spans="16:17" x14ac:dyDescent="0.2">
      <c r="P690" s="1916"/>
      <c r="Q690" s="1916"/>
    </row>
    <row r="691" spans="16:17" x14ac:dyDescent="0.2">
      <c r="P691" s="1916"/>
      <c r="Q691" s="1916"/>
    </row>
    <row r="692" spans="16:17" x14ac:dyDescent="0.2">
      <c r="P692" s="1916"/>
      <c r="Q692" s="1916"/>
    </row>
    <row r="693" spans="16:17" x14ac:dyDescent="0.2">
      <c r="P693" s="1916"/>
      <c r="Q693" s="1916"/>
    </row>
    <row r="694" spans="16:17" x14ac:dyDescent="0.2">
      <c r="P694" s="1916"/>
      <c r="Q694" s="1916"/>
    </row>
    <row r="695" spans="16:17" x14ac:dyDescent="0.2">
      <c r="P695" s="1916"/>
      <c r="Q695" s="1916"/>
    </row>
    <row r="696" spans="16:17" x14ac:dyDescent="0.2">
      <c r="P696" s="1916"/>
      <c r="Q696" s="1916"/>
    </row>
    <row r="697" spans="16:17" x14ac:dyDescent="0.2">
      <c r="P697" s="1916"/>
      <c r="Q697" s="1916"/>
    </row>
    <row r="698" spans="16:17" x14ac:dyDescent="0.2">
      <c r="P698" s="1916"/>
      <c r="Q698" s="1916"/>
    </row>
    <row r="699" spans="16:17" x14ac:dyDescent="0.2">
      <c r="P699" s="1916"/>
      <c r="Q699" s="1916"/>
    </row>
    <row r="700" spans="16:17" x14ac:dyDescent="0.2">
      <c r="P700" s="1916"/>
      <c r="Q700" s="1916"/>
    </row>
    <row r="701" spans="16:17" x14ac:dyDescent="0.2">
      <c r="P701" s="1916"/>
      <c r="Q701" s="1916"/>
    </row>
    <row r="702" spans="16:17" x14ac:dyDescent="0.2">
      <c r="P702" s="1916"/>
      <c r="Q702" s="1916"/>
    </row>
    <row r="703" spans="16:17" x14ac:dyDescent="0.2">
      <c r="P703" s="1916"/>
      <c r="Q703" s="1916"/>
    </row>
    <row r="704" spans="16:17" x14ac:dyDescent="0.2">
      <c r="P704" s="1916"/>
      <c r="Q704" s="1916"/>
    </row>
    <row r="705" spans="16:17" x14ac:dyDescent="0.2">
      <c r="P705" s="1916"/>
      <c r="Q705" s="1916"/>
    </row>
    <row r="706" spans="16:17" x14ac:dyDescent="0.2">
      <c r="P706" s="1916"/>
      <c r="Q706" s="1916"/>
    </row>
    <row r="707" spans="16:17" x14ac:dyDescent="0.2">
      <c r="P707" s="1916"/>
      <c r="Q707" s="1916"/>
    </row>
    <row r="708" spans="16:17" x14ac:dyDescent="0.2">
      <c r="P708" s="1916"/>
      <c r="Q708" s="1916"/>
    </row>
    <row r="709" spans="16:17" x14ac:dyDescent="0.2">
      <c r="P709" s="1916"/>
      <c r="Q709" s="1916"/>
    </row>
    <row r="710" spans="16:17" x14ac:dyDescent="0.2">
      <c r="P710" s="1916"/>
      <c r="Q710" s="1916"/>
    </row>
    <row r="711" spans="16:17" x14ac:dyDescent="0.2">
      <c r="P711" s="1916"/>
      <c r="Q711" s="1916"/>
    </row>
    <row r="712" spans="16:17" x14ac:dyDescent="0.2">
      <c r="P712" s="1916"/>
      <c r="Q712" s="1916"/>
    </row>
    <row r="713" spans="16:17" x14ac:dyDescent="0.2">
      <c r="P713" s="1916"/>
      <c r="Q713" s="1916"/>
    </row>
    <row r="714" spans="16:17" x14ac:dyDescent="0.2">
      <c r="P714" s="1916"/>
      <c r="Q714" s="1916"/>
    </row>
    <row r="715" spans="16:17" x14ac:dyDescent="0.2">
      <c r="P715" s="1916"/>
      <c r="Q715" s="1916"/>
    </row>
    <row r="716" spans="16:17" x14ac:dyDescent="0.2">
      <c r="P716" s="1916"/>
      <c r="Q716" s="1916"/>
    </row>
    <row r="717" spans="16:17" x14ac:dyDescent="0.2">
      <c r="P717" s="1916"/>
      <c r="Q717" s="1916"/>
    </row>
    <row r="718" spans="16:17" x14ac:dyDescent="0.2">
      <c r="P718" s="1916"/>
      <c r="Q718" s="1916"/>
    </row>
    <row r="719" spans="16:17" x14ac:dyDescent="0.2">
      <c r="P719" s="1916"/>
      <c r="Q719" s="1916"/>
    </row>
    <row r="720" spans="16:17" x14ac:dyDescent="0.2">
      <c r="P720" s="1916"/>
      <c r="Q720" s="1916"/>
    </row>
    <row r="721" spans="16:17" x14ac:dyDescent="0.2">
      <c r="P721" s="1916"/>
      <c r="Q721" s="1916"/>
    </row>
    <row r="722" spans="16:17" x14ac:dyDescent="0.2">
      <c r="P722" s="1916"/>
      <c r="Q722" s="1916"/>
    </row>
    <row r="723" spans="16:17" x14ac:dyDescent="0.2">
      <c r="P723" s="1916"/>
      <c r="Q723" s="1916"/>
    </row>
    <row r="724" spans="16:17" x14ac:dyDescent="0.2">
      <c r="P724" s="1916"/>
      <c r="Q724" s="1916"/>
    </row>
    <row r="725" spans="16:17" x14ac:dyDescent="0.2">
      <c r="P725" s="1916"/>
      <c r="Q725" s="1916"/>
    </row>
    <row r="726" spans="16:17" x14ac:dyDescent="0.2">
      <c r="P726" s="1916"/>
      <c r="Q726" s="1916"/>
    </row>
    <row r="727" spans="16:17" x14ac:dyDescent="0.2">
      <c r="P727" s="1916"/>
      <c r="Q727" s="1916"/>
    </row>
    <row r="728" spans="16:17" x14ac:dyDescent="0.2">
      <c r="P728" s="1916"/>
      <c r="Q728" s="1916"/>
    </row>
    <row r="729" spans="16:17" x14ac:dyDescent="0.2">
      <c r="P729" s="1916"/>
      <c r="Q729" s="1916"/>
    </row>
    <row r="730" spans="16:17" x14ac:dyDescent="0.2">
      <c r="P730" s="1916"/>
      <c r="Q730" s="1916"/>
    </row>
    <row r="731" spans="16:17" x14ac:dyDescent="0.2">
      <c r="P731" s="1916"/>
      <c r="Q731" s="1916"/>
    </row>
    <row r="732" spans="16:17" x14ac:dyDescent="0.2">
      <c r="P732" s="1916"/>
      <c r="Q732" s="1916"/>
    </row>
    <row r="733" spans="16:17" x14ac:dyDescent="0.2">
      <c r="P733" s="1916"/>
      <c r="Q733" s="1916"/>
    </row>
    <row r="734" spans="16:17" x14ac:dyDescent="0.2">
      <c r="P734" s="1916"/>
      <c r="Q734" s="1916"/>
    </row>
    <row r="735" spans="16:17" x14ac:dyDescent="0.2">
      <c r="P735" s="1916"/>
      <c r="Q735" s="1916"/>
    </row>
    <row r="736" spans="16:17" x14ac:dyDescent="0.2">
      <c r="P736" s="1916"/>
      <c r="Q736" s="1916"/>
    </row>
    <row r="737" spans="16:17" x14ac:dyDescent="0.2">
      <c r="P737" s="1916"/>
      <c r="Q737" s="1916"/>
    </row>
    <row r="738" spans="16:17" x14ac:dyDescent="0.2">
      <c r="P738" s="1916"/>
      <c r="Q738" s="1916"/>
    </row>
    <row r="739" spans="16:17" x14ac:dyDescent="0.2">
      <c r="P739" s="1916"/>
      <c r="Q739" s="1916"/>
    </row>
    <row r="740" spans="16:17" x14ac:dyDescent="0.2">
      <c r="P740" s="1916"/>
      <c r="Q740" s="1916"/>
    </row>
    <row r="741" spans="16:17" x14ac:dyDescent="0.2">
      <c r="P741" s="1916"/>
      <c r="Q741" s="1916"/>
    </row>
    <row r="742" spans="16:17" x14ac:dyDescent="0.2">
      <c r="P742" s="1916"/>
      <c r="Q742" s="1916"/>
    </row>
    <row r="743" spans="16:17" x14ac:dyDescent="0.2">
      <c r="P743" s="1916"/>
      <c r="Q743" s="1916"/>
    </row>
    <row r="744" spans="16:17" x14ac:dyDescent="0.2">
      <c r="P744" s="1916"/>
      <c r="Q744" s="1916"/>
    </row>
    <row r="745" spans="16:17" x14ac:dyDescent="0.2">
      <c r="P745" s="1916"/>
      <c r="Q745" s="1916"/>
    </row>
    <row r="746" spans="16:17" x14ac:dyDescent="0.2">
      <c r="P746" s="1916"/>
      <c r="Q746" s="1916"/>
    </row>
    <row r="747" spans="16:17" x14ac:dyDescent="0.2">
      <c r="P747" s="1916"/>
      <c r="Q747" s="1916"/>
    </row>
    <row r="748" spans="16:17" x14ac:dyDescent="0.2">
      <c r="P748" s="1916"/>
      <c r="Q748" s="1916"/>
    </row>
    <row r="749" spans="16:17" x14ac:dyDescent="0.2">
      <c r="P749" s="1916"/>
      <c r="Q749" s="1916"/>
    </row>
    <row r="750" spans="16:17" x14ac:dyDescent="0.2">
      <c r="P750" s="1916"/>
      <c r="Q750" s="1916"/>
    </row>
    <row r="751" spans="16:17" x14ac:dyDescent="0.2">
      <c r="P751" s="1916"/>
      <c r="Q751" s="1916"/>
    </row>
    <row r="752" spans="16:17" x14ac:dyDescent="0.2">
      <c r="P752" s="1916"/>
      <c r="Q752" s="1916"/>
    </row>
    <row r="753" spans="16:17" x14ac:dyDescent="0.2">
      <c r="P753" s="1916"/>
      <c r="Q753" s="1916"/>
    </row>
    <row r="754" spans="16:17" x14ac:dyDescent="0.2">
      <c r="P754" s="1916"/>
      <c r="Q754" s="1916"/>
    </row>
    <row r="755" spans="16:17" x14ac:dyDescent="0.2">
      <c r="P755" s="1916"/>
      <c r="Q755" s="1916"/>
    </row>
    <row r="756" spans="16:17" x14ac:dyDescent="0.2">
      <c r="P756" s="1916"/>
      <c r="Q756" s="1916"/>
    </row>
    <row r="757" spans="16:17" x14ac:dyDescent="0.2">
      <c r="P757" s="1916"/>
      <c r="Q757" s="1916"/>
    </row>
    <row r="758" spans="16:17" x14ac:dyDescent="0.2">
      <c r="P758" s="1916"/>
      <c r="Q758" s="1916"/>
    </row>
    <row r="759" spans="16:17" x14ac:dyDescent="0.2">
      <c r="P759" s="1916"/>
      <c r="Q759" s="1916"/>
    </row>
    <row r="760" spans="16:17" x14ac:dyDescent="0.2">
      <c r="P760" s="1916"/>
      <c r="Q760" s="1916"/>
    </row>
    <row r="761" spans="16:17" x14ac:dyDescent="0.2">
      <c r="P761" s="1916"/>
      <c r="Q761" s="1916"/>
    </row>
    <row r="762" spans="16:17" x14ac:dyDescent="0.2">
      <c r="P762" s="1916"/>
      <c r="Q762" s="1916"/>
    </row>
    <row r="763" spans="16:17" x14ac:dyDescent="0.2">
      <c r="P763" s="1916"/>
      <c r="Q763" s="1916"/>
    </row>
    <row r="764" spans="16:17" x14ac:dyDescent="0.2">
      <c r="P764" s="1916"/>
      <c r="Q764" s="1916"/>
    </row>
    <row r="765" spans="16:17" x14ac:dyDescent="0.2">
      <c r="P765" s="1916"/>
      <c r="Q765" s="1916"/>
    </row>
    <row r="766" spans="16:17" x14ac:dyDescent="0.2">
      <c r="P766" s="1916"/>
      <c r="Q766" s="1916"/>
    </row>
    <row r="767" spans="16:17" x14ac:dyDescent="0.2">
      <c r="P767" s="1916"/>
      <c r="Q767" s="1916"/>
    </row>
    <row r="768" spans="16:17" x14ac:dyDescent="0.2">
      <c r="P768" s="1916"/>
      <c r="Q768" s="1916"/>
    </row>
    <row r="769" spans="16:17" x14ac:dyDescent="0.2">
      <c r="P769" s="1916"/>
      <c r="Q769" s="1916"/>
    </row>
    <row r="770" spans="16:17" x14ac:dyDescent="0.2">
      <c r="P770" s="1916"/>
      <c r="Q770" s="1916"/>
    </row>
    <row r="771" spans="16:17" x14ac:dyDescent="0.2">
      <c r="P771" s="1916"/>
      <c r="Q771" s="1916"/>
    </row>
    <row r="772" spans="16:17" x14ac:dyDescent="0.2">
      <c r="P772" s="1916"/>
      <c r="Q772" s="1916"/>
    </row>
    <row r="773" spans="16:17" x14ac:dyDescent="0.2">
      <c r="P773" s="1916"/>
      <c r="Q773" s="1916"/>
    </row>
    <row r="774" spans="16:17" x14ac:dyDescent="0.2">
      <c r="P774" s="1916"/>
      <c r="Q774" s="1916"/>
    </row>
    <row r="775" spans="16:17" x14ac:dyDescent="0.2">
      <c r="P775" s="1916"/>
      <c r="Q775" s="1916"/>
    </row>
    <row r="776" spans="16:17" x14ac:dyDescent="0.2">
      <c r="P776" s="1916"/>
      <c r="Q776" s="1916"/>
    </row>
    <row r="777" spans="16:17" x14ac:dyDescent="0.2">
      <c r="P777" s="1916"/>
      <c r="Q777" s="1916"/>
    </row>
    <row r="778" spans="16:17" x14ac:dyDescent="0.2">
      <c r="P778" s="1916"/>
      <c r="Q778" s="1916"/>
    </row>
    <row r="779" spans="16:17" x14ac:dyDescent="0.2">
      <c r="P779" s="1916"/>
      <c r="Q779" s="1916"/>
    </row>
    <row r="780" spans="16:17" x14ac:dyDescent="0.2">
      <c r="P780" s="1916"/>
      <c r="Q780" s="1916"/>
    </row>
    <row r="781" spans="16:17" x14ac:dyDescent="0.2">
      <c r="P781" s="1916"/>
      <c r="Q781" s="1916"/>
    </row>
    <row r="782" spans="16:17" x14ac:dyDescent="0.2">
      <c r="P782" s="1916"/>
      <c r="Q782" s="1916"/>
    </row>
    <row r="783" spans="16:17" x14ac:dyDescent="0.2">
      <c r="P783" s="1916"/>
      <c r="Q783" s="1916"/>
    </row>
    <row r="784" spans="16:17" x14ac:dyDescent="0.2">
      <c r="P784" s="1916"/>
      <c r="Q784" s="1916"/>
    </row>
    <row r="785" spans="16:17" x14ac:dyDescent="0.2">
      <c r="P785" s="1916"/>
      <c r="Q785" s="1916"/>
    </row>
    <row r="786" spans="16:17" x14ac:dyDescent="0.2">
      <c r="P786" s="1916"/>
      <c r="Q786" s="1916"/>
    </row>
    <row r="787" spans="16:17" x14ac:dyDescent="0.2">
      <c r="P787" s="1916"/>
      <c r="Q787" s="1916"/>
    </row>
    <row r="788" spans="16:17" x14ac:dyDescent="0.2">
      <c r="P788" s="1916"/>
      <c r="Q788" s="1916"/>
    </row>
    <row r="789" spans="16:17" x14ac:dyDescent="0.2">
      <c r="P789" s="1916"/>
      <c r="Q789" s="1916"/>
    </row>
    <row r="790" spans="16:17" x14ac:dyDescent="0.2">
      <c r="P790" s="1916"/>
      <c r="Q790" s="1916"/>
    </row>
    <row r="791" spans="16:17" x14ac:dyDescent="0.2">
      <c r="P791" s="1916"/>
      <c r="Q791" s="1916"/>
    </row>
    <row r="792" spans="16:17" x14ac:dyDescent="0.2">
      <c r="P792" s="1916"/>
      <c r="Q792" s="1916"/>
    </row>
    <row r="793" spans="16:17" x14ac:dyDescent="0.2">
      <c r="P793" s="1916"/>
      <c r="Q793" s="1916"/>
    </row>
    <row r="794" spans="16:17" x14ac:dyDescent="0.2">
      <c r="P794" s="1916"/>
      <c r="Q794" s="1916"/>
    </row>
    <row r="795" spans="16:17" x14ac:dyDescent="0.2">
      <c r="P795" s="1916"/>
      <c r="Q795" s="1916"/>
    </row>
    <row r="796" spans="16:17" x14ac:dyDescent="0.2">
      <c r="P796" s="1916"/>
      <c r="Q796" s="1916"/>
    </row>
    <row r="797" spans="16:17" x14ac:dyDescent="0.2">
      <c r="P797" s="1916"/>
      <c r="Q797" s="1916"/>
    </row>
    <row r="798" spans="16:17" x14ac:dyDescent="0.2">
      <c r="P798" s="1916"/>
      <c r="Q798" s="1916"/>
    </row>
    <row r="799" spans="16:17" x14ac:dyDescent="0.2">
      <c r="P799" s="1916"/>
      <c r="Q799" s="1916"/>
    </row>
    <row r="800" spans="16:17" x14ac:dyDescent="0.2">
      <c r="P800" s="1916"/>
      <c r="Q800" s="1916"/>
    </row>
    <row r="801" spans="16:17" x14ac:dyDescent="0.2">
      <c r="P801" s="1916"/>
      <c r="Q801" s="1916"/>
    </row>
    <row r="802" spans="16:17" x14ac:dyDescent="0.2">
      <c r="P802" s="1916"/>
      <c r="Q802" s="1916"/>
    </row>
    <row r="803" spans="16:17" x14ac:dyDescent="0.2">
      <c r="P803" s="1916"/>
      <c r="Q803" s="1916"/>
    </row>
    <row r="804" spans="16:17" x14ac:dyDescent="0.2">
      <c r="P804" s="1916"/>
      <c r="Q804" s="1916"/>
    </row>
    <row r="805" spans="16:17" x14ac:dyDescent="0.2">
      <c r="P805" s="1916"/>
      <c r="Q805" s="1916"/>
    </row>
    <row r="806" spans="16:17" x14ac:dyDescent="0.2">
      <c r="P806" s="1916"/>
      <c r="Q806" s="1916"/>
    </row>
    <row r="807" spans="16:17" x14ac:dyDescent="0.2">
      <c r="P807" s="1916"/>
      <c r="Q807" s="1916"/>
    </row>
    <row r="808" spans="16:17" x14ac:dyDescent="0.2">
      <c r="P808" s="1916"/>
      <c r="Q808" s="1916"/>
    </row>
    <row r="809" spans="16:17" x14ac:dyDescent="0.2">
      <c r="P809" s="1916"/>
      <c r="Q809" s="1916"/>
    </row>
    <row r="810" spans="16:17" x14ac:dyDescent="0.2">
      <c r="P810" s="1916"/>
      <c r="Q810" s="1916"/>
    </row>
    <row r="811" spans="16:17" x14ac:dyDescent="0.2">
      <c r="P811" s="1916"/>
      <c r="Q811" s="1916"/>
    </row>
    <row r="812" spans="16:17" x14ac:dyDescent="0.2">
      <c r="P812" s="1916"/>
      <c r="Q812" s="1916"/>
    </row>
    <row r="813" spans="16:17" x14ac:dyDescent="0.2">
      <c r="P813" s="1916"/>
      <c r="Q813" s="1916"/>
    </row>
    <row r="814" spans="16:17" x14ac:dyDescent="0.2">
      <c r="P814" s="1916"/>
      <c r="Q814" s="1916"/>
    </row>
    <row r="815" spans="16:17" x14ac:dyDescent="0.2">
      <c r="P815" s="1916"/>
      <c r="Q815" s="1916"/>
    </row>
    <row r="816" spans="16:17" x14ac:dyDescent="0.2">
      <c r="P816" s="1916"/>
      <c r="Q816" s="1916"/>
    </row>
    <row r="817" spans="16:17" x14ac:dyDescent="0.2">
      <c r="P817" s="1916"/>
      <c r="Q817" s="1916"/>
    </row>
    <row r="818" spans="16:17" x14ac:dyDescent="0.2">
      <c r="P818" s="1916"/>
      <c r="Q818" s="1916"/>
    </row>
    <row r="819" spans="16:17" x14ac:dyDescent="0.2">
      <c r="P819" s="1916"/>
      <c r="Q819" s="1916"/>
    </row>
    <row r="820" spans="16:17" x14ac:dyDescent="0.2">
      <c r="P820" s="1916"/>
      <c r="Q820" s="1916"/>
    </row>
    <row r="821" spans="16:17" x14ac:dyDescent="0.2">
      <c r="P821" s="1916"/>
      <c r="Q821" s="1916"/>
    </row>
    <row r="822" spans="16:17" x14ac:dyDescent="0.2">
      <c r="P822" s="1916"/>
      <c r="Q822" s="1916"/>
    </row>
    <row r="823" spans="16:17" x14ac:dyDescent="0.2">
      <c r="P823" s="1916"/>
      <c r="Q823" s="1916"/>
    </row>
    <row r="824" spans="16:17" x14ac:dyDescent="0.2">
      <c r="P824" s="1916"/>
      <c r="Q824" s="1916"/>
    </row>
    <row r="825" spans="16:17" x14ac:dyDescent="0.2">
      <c r="P825" s="1916"/>
      <c r="Q825" s="1916"/>
    </row>
    <row r="826" spans="16:17" x14ac:dyDescent="0.2">
      <c r="P826" s="1916"/>
      <c r="Q826" s="1916"/>
    </row>
    <row r="827" spans="16:17" x14ac:dyDescent="0.2">
      <c r="P827" s="1916"/>
      <c r="Q827" s="1916"/>
    </row>
    <row r="828" spans="16:17" x14ac:dyDescent="0.2">
      <c r="P828" s="1916"/>
      <c r="Q828" s="1916"/>
    </row>
    <row r="829" spans="16:17" x14ac:dyDescent="0.2">
      <c r="P829" s="1916"/>
      <c r="Q829" s="1916"/>
    </row>
    <row r="830" spans="16:17" x14ac:dyDescent="0.2">
      <c r="P830" s="1916"/>
      <c r="Q830" s="1916"/>
    </row>
    <row r="831" spans="16:17" x14ac:dyDescent="0.2">
      <c r="P831" s="1916"/>
      <c r="Q831" s="1916"/>
    </row>
    <row r="832" spans="16:17" x14ac:dyDescent="0.2">
      <c r="P832" s="1916"/>
      <c r="Q832" s="1916"/>
    </row>
    <row r="833" spans="16:17" x14ac:dyDescent="0.2">
      <c r="P833" s="1916"/>
      <c r="Q833" s="1916"/>
    </row>
    <row r="834" spans="16:17" x14ac:dyDescent="0.2">
      <c r="P834" s="1916"/>
      <c r="Q834" s="1916"/>
    </row>
    <row r="835" spans="16:17" x14ac:dyDescent="0.2">
      <c r="P835" s="1916"/>
      <c r="Q835" s="1916"/>
    </row>
    <row r="836" spans="16:17" x14ac:dyDescent="0.2">
      <c r="P836" s="1916"/>
      <c r="Q836" s="1916"/>
    </row>
    <row r="837" spans="16:17" x14ac:dyDescent="0.2">
      <c r="P837" s="1916"/>
      <c r="Q837" s="1916"/>
    </row>
    <row r="838" spans="16:17" x14ac:dyDescent="0.2">
      <c r="P838" s="1916"/>
      <c r="Q838" s="1916"/>
    </row>
    <row r="839" spans="16:17" x14ac:dyDescent="0.2">
      <c r="P839" s="1916"/>
      <c r="Q839" s="1916"/>
    </row>
    <row r="840" spans="16:17" x14ac:dyDescent="0.2">
      <c r="P840" s="1916"/>
      <c r="Q840" s="1916"/>
    </row>
    <row r="841" spans="16:17" x14ac:dyDescent="0.2">
      <c r="P841" s="1916"/>
      <c r="Q841" s="1916"/>
    </row>
    <row r="842" spans="16:17" x14ac:dyDescent="0.2">
      <c r="P842" s="1916"/>
      <c r="Q842" s="1916"/>
    </row>
    <row r="843" spans="16:17" x14ac:dyDescent="0.2">
      <c r="P843" s="1916"/>
      <c r="Q843" s="1916"/>
    </row>
    <row r="844" spans="16:17" x14ac:dyDescent="0.2">
      <c r="P844" s="1916"/>
      <c r="Q844" s="1916"/>
    </row>
    <row r="845" spans="16:17" x14ac:dyDescent="0.2">
      <c r="P845" s="1916"/>
      <c r="Q845" s="1916"/>
    </row>
    <row r="846" spans="16:17" x14ac:dyDescent="0.2">
      <c r="P846" s="1916"/>
      <c r="Q846" s="1916"/>
    </row>
    <row r="847" spans="16:17" x14ac:dyDescent="0.2">
      <c r="P847" s="1916"/>
      <c r="Q847" s="1916"/>
    </row>
    <row r="848" spans="16:17" x14ac:dyDescent="0.2">
      <c r="P848" s="1916"/>
      <c r="Q848" s="1916"/>
    </row>
    <row r="849" spans="16:17" x14ac:dyDescent="0.2">
      <c r="P849" s="1916"/>
      <c r="Q849" s="1916"/>
    </row>
    <row r="850" spans="16:17" x14ac:dyDescent="0.2">
      <c r="P850" s="1916"/>
      <c r="Q850" s="1916"/>
    </row>
    <row r="851" spans="16:17" x14ac:dyDescent="0.2">
      <c r="P851" s="1916"/>
      <c r="Q851" s="1916"/>
    </row>
    <row r="852" spans="16:17" x14ac:dyDescent="0.2">
      <c r="P852" s="1916"/>
      <c r="Q852" s="1916"/>
    </row>
    <row r="853" spans="16:17" x14ac:dyDescent="0.2">
      <c r="P853" s="1916"/>
      <c r="Q853" s="1916"/>
    </row>
    <row r="854" spans="16:17" x14ac:dyDescent="0.2">
      <c r="P854" s="1916"/>
      <c r="Q854" s="1916"/>
    </row>
    <row r="855" spans="16:17" x14ac:dyDescent="0.2">
      <c r="P855" s="1916"/>
      <c r="Q855" s="1916"/>
    </row>
    <row r="856" spans="16:17" x14ac:dyDescent="0.2">
      <c r="P856" s="1916"/>
      <c r="Q856" s="1916"/>
    </row>
    <row r="857" spans="16:17" x14ac:dyDescent="0.2">
      <c r="P857" s="1916"/>
      <c r="Q857" s="1916"/>
    </row>
    <row r="858" spans="16:17" x14ac:dyDescent="0.2">
      <c r="P858" s="1916"/>
      <c r="Q858" s="1916"/>
    </row>
    <row r="859" spans="16:17" x14ac:dyDescent="0.2">
      <c r="P859" s="1916"/>
      <c r="Q859" s="1916"/>
    </row>
    <row r="860" spans="16:17" x14ac:dyDescent="0.2">
      <c r="P860" s="1916"/>
      <c r="Q860" s="1916"/>
    </row>
    <row r="861" spans="16:17" x14ac:dyDescent="0.2">
      <c r="P861" s="1916"/>
      <c r="Q861" s="1916"/>
    </row>
    <row r="862" spans="16:17" x14ac:dyDescent="0.2">
      <c r="P862" s="1916"/>
      <c r="Q862" s="1916"/>
    </row>
    <row r="863" spans="16:17" x14ac:dyDescent="0.2">
      <c r="P863" s="1916"/>
      <c r="Q863" s="1916"/>
    </row>
    <row r="864" spans="16:17" x14ac:dyDescent="0.2">
      <c r="P864" s="1916"/>
      <c r="Q864" s="1916"/>
    </row>
    <row r="865" spans="16:17" x14ac:dyDescent="0.2">
      <c r="P865" s="1916"/>
      <c r="Q865" s="1916"/>
    </row>
    <row r="866" spans="16:17" x14ac:dyDescent="0.2">
      <c r="P866" s="1916"/>
      <c r="Q866" s="1916"/>
    </row>
    <row r="867" spans="16:17" x14ac:dyDescent="0.2">
      <c r="P867" s="1916"/>
      <c r="Q867" s="1916"/>
    </row>
    <row r="868" spans="16:17" x14ac:dyDescent="0.2">
      <c r="P868" s="1916"/>
      <c r="Q868" s="1916"/>
    </row>
    <row r="869" spans="16:17" x14ac:dyDescent="0.2">
      <c r="P869" s="1916"/>
      <c r="Q869" s="1916"/>
    </row>
    <row r="870" spans="16:17" x14ac:dyDescent="0.2">
      <c r="P870" s="1916"/>
      <c r="Q870" s="1916"/>
    </row>
    <row r="871" spans="16:17" x14ac:dyDescent="0.2">
      <c r="P871" s="1916"/>
      <c r="Q871" s="1916"/>
    </row>
    <row r="872" spans="16:17" x14ac:dyDescent="0.2">
      <c r="P872" s="1916"/>
      <c r="Q872" s="1916"/>
    </row>
    <row r="873" spans="16:17" x14ac:dyDescent="0.2">
      <c r="P873" s="1916"/>
      <c r="Q873" s="1916"/>
    </row>
    <row r="874" spans="16:17" x14ac:dyDescent="0.2">
      <c r="P874" s="1916"/>
      <c r="Q874" s="1916"/>
    </row>
    <row r="875" spans="16:17" x14ac:dyDescent="0.2">
      <c r="P875" s="1916"/>
      <c r="Q875" s="1916"/>
    </row>
    <row r="876" spans="16:17" x14ac:dyDescent="0.2">
      <c r="P876" s="1916"/>
      <c r="Q876" s="1916"/>
    </row>
    <row r="877" spans="16:17" x14ac:dyDescent="0.2">
      <c r="P877" s="1916"/>
      <c r="Q877" s="1916"/>
    </row>
    <row r="878" spans="16:17" x14ac:dyDescent="0.2">
      <c r="P878" s="1916"/>
      <c r="Q878" s="1916"/>
    </row>
    <row r="879" spans="16:17" x14ac:dyDescent="0.2">
      <c r="P879" s="1916"/>
      <c r="Q879" s="1916"/>
    </row>
    <row r="880" spans="16:17" x14ac:dyDescent="0.2">
      <c r="P880" s="1916"/>
      <c r="Q880" s="1916"/>
    </row>
    <row r="881" spans="16:17" x14ac:dyDescent="0.2">
      <c r="P881" s="1916"/>
      <c r="Q881" s="1916"/>
    </row>
    <row r="882" spans="16:17" x14ac:dyDescent="0.2">
      <c r="P882" s="1916"/>
      <c r="Q882" s="1916"/>
    </row>
    <row r="883" spans="16:17" x14ac:dyDescent="0.2">
      <c r="P883" s="1916"/>
      <c r="Q883" s="1916"/>
    </row>
    <row r="884" spans="16:17" x14ac:dyDescent="0.2">
      <c r="P884" s="1916"/>
      <c r="Q884" s="1916"/>
    </row>
    <row r="885" spans="16:17" x14ac:dyDescent="0.2">
      <c r="P885" s="1916"/>
      <c r="Q885" s="1916"/>
    </row>
    <row r="886" spans="16:17" x14ac:dyDescent="0.2">
      <c r="P886" s="1916"/>
      <c r="Q886" s="1916"/>
    </row>
    <row r="887" spans="16:17" x14ac:dyDescent="0.2">
      <c r="P887" s="1916"/>
      <c r="Q887" s="1916"/>
    </row>
    <row r="888" spans="16:17" x14ac:dyDescent="0.2">
      <c r="P888" s="1916"/>
      <c r="Q888" s="1916"/>
    </row>
    <row r="889" spans="16:17" x14ac:dyDescent="0.2">
      <c r="P889" s="1916"/>
      <c r="Q889" s="1916"/>
    </row>
    <row r="890" spans="16:17" x14ac:dyDescent="0.2">
      <c r="P890" s="1916"/>
      <c r="Q890" s="1916"/>
    </row>
    <row r="891" spans="16:17" x14ac:dyDescent="0.2">
      <c r="P891" s="1916"/>
      <c r="Q891" s="1916"/>
    </row>
    <row r="892" spans="16:17" x14ac:dyDescent="0.2">
      <c r="P892" s="1916"/>
      <c r="Q892" s="1916"/>
    </row>
    <row r="893" spans="16:17" x14ac:dyDescent="0.2">
      <c r="P893" s="1916"/>
      <c r="Q893" s="1916"/>
    </row>
    <row r="894" spans="16:17" x14ac:dyDescent="0.2">
      <c r="P894" s="1916"/>
      <c r="Q894" s="1916"/>
    </row>
    <row r="895" spans="16:17" x14ac:dyDescent="0.2">
      <c r="P895" s="1916"/>
      <c r="Q895" s="1916"/>
    </row>
    <row r="896" spans="16:17" x14ac:dyDescent="0.2">
      <c r="P896" s="1916"/>
      <c r="Q896" s="1916"/>
    </row>
    <row r="897" spans="16:17" x14ac:dyDescent="0.2">
      <c r="P897" s="1916"/>
      <c r="Q897" s="1916"/>
    </row>
    <row r="898" spans="16:17" x14ac:dyDescent="0.2">
      <c r="P898" s="1916"/>
      <c r="Q898" s="1916"/>
    </row>
    <row r="899" spans="16:17" x14ac:dyDescent="0.2">
      <c r="P899" s="1916"/>
      <c r="Q899" s="1916"/>
    </row>
    <row r="900" spans="16:17" x14ac:dyDescent="0.2">
      <c r="P900" s="1916"/>
      <c r="Q900" s="1916"/>
    </row>
    <row r="901" spans="16:17" x14ac:dyDescent="0.2">
      <c r="P901" s="1916"/>
      <c r="Q901" s="1916"/>
    </row>
    <row r="902" spans="16:17" x14ac:dyDescent="0.2">
      <c r="P902" s="1916"/>
      <c r="Q902" s="1916"/>
    </row>
    <row r="903" spans="16:17" x14ac:dyDescent="0.2">
      <c r="P903" s="1916"/>
      <c r="Q903" s="1916"/>
    </row>
    <row r="904" spans="16:17" x14ac:dyDescent="0.2">
      <c r="P904" s="1916"/>
      <c r="Q904" s="1916"/>
    </row>
    <row r="905" spans="16:17" x14ac:dyDescent="0.2">
      <c r="P905" s="1916"/>
      <c r="Q905" s="1916"/>
    </row>
    <row r="906" spans="16:17" x14ac:dyDescent="0.2">
      <c r="P906" s="1916"/>
      <c r="Q906" s="1916"/>
    </row>
    <row r="907" spans="16:17" x14ac:dyDescent="0.2">
      <c r="P907" s="1916"/>
      <c r="Q907" s="1916"/>
    </row>
    <row r="908" spans="16:17" x14ac:dyDescent="0.2">
      <c r="P908" s="1916"/>
      <c r="Q908" s="1916"/>
    </row>
    <row r="909" spans="16:17" x14ac:dyDescent="0.2">
      <c r="P909" s="1916"/>
      <c r="Q909" s="1916"/>
    </row>
    <row r="910" spans="16:17" x14ac:dyDescent="0.2">
      <c r="P910" s="1916"/>
      <c r="Q910" s="1916"/>
    </row>
    <row r="911" spans="16:17" x14ac:dyDescent="0.2">
      <c r="P911" s="1916"/>
      <c r="Q911" s="1916"/>
    </row>
    <row r="912" spans="16:17" x14ac:dyDescent="0.2">
      <c r="P912" s="1916"/>
      <c r="Q912" s="1916"/>
    </row>
    <row r="913" spans="16:17" x14ac:dyDescent="0.2">
      <c r="P913" s="1916"/>
      <c r="Q913" s="1916"/>
    </row>
    <row r="914" spans="16:17" x14ac:dyDescent="0.2">
      <c r="P914" s="1916"/>
      <c r="Q914" s="1916"/>
    </row>
    <row r="915" spans="16:17" x14ac:dyDescent="0.2">
      <c r="P915" s="1916"/>
      <c r="Q915" s="1916"/>
    </row>
    <row r="916" spans="16:17" x14ac:dyDescent="0.2">
      <c r="P916" s="1916"/>
      <c r="Q916" s="1916"/>
    </row>
    <row r="917" spans="16:17" x14ac:dyDescent="0.2">
      <c r="P917" s="1916"/>
      <c r="Q917" s="1916"/>
    </row>
    <row r="918" spans="16:17" x14ac:dyDescent="0.2">
      <c r="P918" s="1916"/>
      <c r="Q918" s="1916"/>
    </row>
    <row r="919" spans="16:17" x14ac:dyDescent="0.2">
      <c r="P919" s="1916"/>
      <c r="Q919" s="1916"/>
    </row>
    <row r="920" spans="16:17" x14ac:dyDescent="0.2">
      <c r="P920" s="1916"/>
      <c r="Q920" s="1916"/>
    </row>
    <row r="921" spans="16:17" x14ac:dyDescent="0.2">
      <c r="P921" s="1916"/>
      <c r="Q921" s="1916"/>
    </row>
    <row r="922" spans="16:17" x14ac:dyDescent="0.2">
      <c r="P922" s="1916"/>
      <c r="Q922" s="1916"/>
    </row>
    <row r="923" spans="16:17" x14ac:dyDescent="0.2">
      <c r="P923" s="1916"/>
      <c r="Q923" s="1916"/>
    </row>
    <row r="924" spans="16:17" x14ac:dyDescent="0.2">
      <c r="P924" s="1916"/>
      <c r="Q924" s="1916"/>
    </row>
    <row r="925" spans="16:17" x14ac:dyDescent="0.2">
      <c r="P925" s="1916"/>
      <c r="Q925" s="1916"/>
    </row>
    <row r="926" spans="16:17" x14ac:dyDescent="0.2">
      <c r="P926" s="1916"/>
      <c r="Q926" s="1916"/>
    </row>
    <row r="927" spans="16:17" x14ac:dyDescent="0.2">
      <c r="P927" s="1916"/>
      <c r="Q927" s="1916"/>
    </row>
    <row r="928" spans="16:17" x14ac:dyDescent="0.2">
      <c r="P928" s="1916"/>
      <c r="Q928" s="1916"/>
    </row>
    <row r="929" spans="16:17" x14ac:dyDescent="0.2">
      <c r="P929" s="1916"/>
      <c r="Q929" s="1916"/>
    </row>
    <row r="930" spans="16:17" x14ac:dyDescent="0.2">
      <c r="P930" s="1916"/>
      <c r="Q930" s="1916"/>
    </row>
    <row r="931" spans="16:17" x14ac:dyDescent="0.2">
      <c r="P931" s="1916"/>
      <c r="Q931" s="1916"/>
    </row>
    <row r="932" spans="16:17" x14ac:dyDescent="0.2">
      <c r="P932" s="1916"/>
      <c r="Q932" s="1916"/>
    </row>
    <row r="933" spans="16:17" x14ac:dyDescent="0.2">
      <c r="P933" s="1916"/>
      <c r="Q933" s="1916"/>
    </row>
    <row r="934" spans="16:17" x14ac:dyDescent="0.2">
      <c r="P934" s="1916"/>
      <c r="Q934" s="1916"/>
    </row>
    <row r="935" spans="16:17" x14ac:dyDescent="0.2">
      <c r="P935" s="1916"/>
      <c r="Q935" s="1916"/>
    </row>
    <row r="936" spans="16:17" x14ac:dyDescent="0.2">
      <c r="P936" s="1916"/>
      <c r="Q936" s="1916"/>
    </row>
    <row r="937" spans="16:17" x14ac:dyDescent="0.2">
      <c r="P937" s="1916"/>
      <c r="Q937" s="1916"/>
    </row>
    <row r="938" spans="16:17" x14ac:dyDescent="0.2">
      <c r="P938" s="1916"/>
      <c r="Q938" s="1916"/>
    </row>
    <row r="939" spans="16:17" x14ac:dyDescent="0.2">
      <c r="P939" s="1916"/>
      <c r="Q939" s="1916"/>
    </row>
    <row r="940" spans="16:17" x14ac:dyDescent="0.2">
      <c r="P940" s="1916"/>
      <c r="Q940" s="1916"/>
    </row>
    <row r="941" spans="16:17" x14ac:dyDescent="0.2">
      <c r="P941" s="1916"/>
      <c r="Q941" s="1916"/>
    </row>
    <row r="942" spans="16:17" x14ac:dyDescent="0.2">
      <c r="P942" s="1916"/>
      <c r="Q942" s="1916"/>
    </row>
    <row r="943" spans="16:17" x14ac:dyDescent="0.2">
      <c r="P943" s="1916"/>
      <c r="Q943" s="1916"/>
    </row>
    <row r="944" spans="16:17" x14ac:dyDescent="0.2">
      <c r="P944" s="1916"/>
      <c r="Q944" s="1916"/>
    </row>
    <row r="945" spans="16:17" x14ac:dyDescent="0.2">
      <c r="P945" s="1916"/>
      <c r="Q945" s="1916"/>
    </row>
    <row r="946" spans="16:17" x14ac:dyDescent="0.2">
      <c r="P946" s="1916"/>
      <c r="Q946" s="1916"/>
    </row>
    <row r="947" spans="16:17" x14ac:dyDescent="0.2">
      <c r="P947" s="1916"/>
      <c r="Q947" s="1916"/>
    </row>
    <row r="948" spans="16:17" x14ac:dyDescent="0.2">
      <c r="P948" s="1916"/>
      <c r="Q948" s="1916"/>
    </row>
    <row r="949" spans="16:17" x14ac:dyDescent="0.2">
      <c r="P949" s="1916"/>
      <c r="Q949" s="1916"/>
    </row>
    <row r="950" spans="16:17" x14ac:dyDescent="0.2">
      <c r="P950" s="1916"/>
      <c r="Q950" s="1916"/>
    </row>
    <row r="951" spans="16:17" x14ac:dyDescent="0.2">
      <c r="P951" s="1916"/>
      <c r="Q951" s="1916"/>
    </row>
    <row r="952" spans="16:17" x14ac:dyDescent="0.2">
      <c r="P952" s="1916"/>
      <c r="Q952" s="1916"/>
    </row>
    <row r="953" spans="16:17" x14ac:dyDescent="0.2">
      <c r="P953" s="1916"/>
      <c r="Q953" s="1916"/>
    </row>
    <row r="954" spans="16:17" x14ac:dyDescent="0.2">
      <c r="P954" s="1916"/>
      <c r="Q954" s="1916"/>
    </row>
    <row r="955" spans="16:17" x14ac:dyDescent="0.2">
      <c r="P955" s="1916"/>
      <c r="Q955" s="1916"/>
    </row>
    <row r="956" spans="16:17" x14ac:dyDescent="0.2">
      <c r="P956" s="1916"/>
      <c r="Q956" s="1916"/>
    </row>
    <row r="957" spans="16:17" x14ac:dyDescent="0.2">
      <c r="P957" s="1916"/>
      <c r="Q957" s="1916"/>
    </row>
    <row r="958" spans="16:17" x14ac:dyDescent="0.2">
      <c r="P958" s="1916"/>
      <c r="Q958" s="1916"/>
    </row>
    <row r="959" spans="16:17" x14ac:dyDescent="0.2">
      <c r="P959" s="1916"/>
      <c r="Q959" s="1916"/>
    </row>
    <row r="960" spans="16:17" x14ac:dyDescent="0.2">
      <c r="P960" s="1916"/>
      <c r="Q960" s="1916"/>
    </row>
    <row r="961" spans="16:17" x14ac:dyDescent="0.2">
      <c r="P961" s="1916"/>
      <c r="Q961" s="1916"/>
    </row>
    <row r="962" spans="16:17" x14ac:dyDescent="0.2">
      <c r="P962" s="1916"/>
      <c r="Q962" s="1916"/>
    </row>
    <row r="963" spans="16:17" x14ac:dyDescent="0.2">
      <c r="P963" s="1916"/>
      <c r="Q963" s="1916"/>
    </row>
    <row r="964" spans="16:17" x14ac:dyDescent="0.2">
      <c r="P964" s="1916"/>
      <c r="Q964" s="1916"/>
    </row>
    <row r="965" spans="16:17" x14ac:dyDescent="0.2">
      <c r="P965" s="1916"/>
      <c r="Q965" s="1916"/>
    </row>
    <row r="966" spans="16:17" x14ac:dyDescent="0.2">
      <c r="P966" s="1916"/>
      <c r="Q966" s="1916"/>
    </row>
    <row r="967" spans="16:17" x14ac:dyDescent="0.2">
      <c r="P967" s="1916"/>
      <c r="Q967" s="1916"/>
    </row>
    <row r="968" spans="16:17" x14ac:dyDescent="0.2">
      <c r="P968" s="1916"/>
      <c r="Q968" s="1916"/>
    </row>
    <row r="969" spans="16:17" x14ac:dyDescent="0.2">
      <c r="P969" s="1916"/>
      <c r="Q969" s="1916"/>
    </row>
    <row r="970" spans="16:17" x14ac:dyDescent="0.2">
      <c r="P970" s="1916"/>
      <c r="Q970" s="1916"/>
    </row>
    <row r="971" spans="16:17" x14ac:dyDescent="0.2">
      <c r="P971" s="1916"/>
      <c r="Q971" s="1916"/>
    </row>
    <row r="972" spans="16:17" x14ac:dyDescent="0.2">
      <c r="P972" s="1916"/>
      <c r="Q972" s="1916"/>
    </row>
    <row r="973" spans="16:17" x14ac:dyDescent="0.2">
      <c r="P973" s="1916"/>
      <c r="Q973" s="1916"/>
    </row>
    <row r="974" spans="16:17" x14ac:dyDescent="0.2">
      <c r="P974" s="1916"/>
      <c r="Q974" s="1916"/>
    </row>
    <row r="975" spans="16:17" x14ac:dyDescent="0.2">
      <c r="P975" s="1916"/>
      <c r="Q975" s="1916"/>
    </row>
    <row r="976" spans="16:17" x14ac:dyDescent="0.2">
      <c r="P976" s="1916"/>
      <c r="Q976" s="1916"/>
    </row>
    <row r="977" spans="16:17" x14ac:dyDescent="0.2">
      <c r="P977" s="1916"/>
      <c r="Q977" s="1916"/>
    </row>
    <row r="978" spans="16:17" x14ac:dyDescent="0.2">
      <c r="P978" s="1916"/>
      <c r="Q978" s="1916"/>
    </row>
    <row r="979" spans="16:17" x14ac:dyDescent="0.2">
      <c r="P979" s="1916"/>
      <c r="Q979" s="1916"/>
    </row>
    <row r="980" spans="16:17" x14ac:dyDescent="0.2">
      <c r="P980" s="1916"/>
      <c r="Q980" s="1916"/>
    </row>
    <row r="981" spans="16:17" x14ac:dyDescent="0.2">
      <c r="P981" s="1916"/>
      <c r="Q981" s="1916"/>
    </row>
    <row r="982" spans="16:17" x14ac:dyDescent="0.2">
      <c r="P982" s="1916"/>
      <c r="Q982" s="1916"/>
    </row>
    <row r="983" spans="16:17" x14ac:dyDescent="0.2">
      <c r="P983" s="1916"/>
      <c r="Q983" s="1916"/>
    </row>
    <row r="984" spans="16:17" x14ac:dyDescent="0.2">
      <c r="P984" s="1916"/>
      <c r="Q984" s="1916"/>
    </row>
    <row r="985" spans="16:17" x14ac:dyDescent="0.2">
      <c r="P985" s="1916"/>
      <c r="Q985" s="1916"/>
    </row>
    <row r="986" spans="16:17" x14ac:dyDescent="0.2">
      <c r="P986" s="1916"/>
      <c r="Q986" s="1916"/>
    </row>
    <row r="987" spans="16:17" x14ac:dyDescent="0.2">
      <c r="P987" s="1916"/>
      <c r="Q987" s="1916"/>
    </row>
    <row r="988" spans="16:17" x14ac:dyDescent="0.2">
      <c r="P988" s="1916"/>
      <c r="Q988" s="1916"/>
    </row>
    <row r="989" spans="16:17" x14ac:dyDescent="0.2">
      <c r="P989" s="1916"/>
      <c r="Q989" s="1916"/>
    </row>
    <row r="990" spans="16:17" x14ac:dyDescent="0.2">
      <c r="P990" s="1916"/>
      <c r="Q990" s="1916"/>
    </row>
    <row r="991" spans="16:17" x14ac:dyDescent="0.2">
      <c r="P991" s="1916"/>
      <c r="Q991" s="1916"/>
    </row>
    <row r="992" spans="16:17" x14ac:dyDescent="0.2">
      <c r="P992" s="1916"/>
      <c r="Q992" s="1916"/>
    </row>
    <row r="993" spans="16:17" x14ac:dyDescent="0.2">
      <c r="P993" s="1916"/>
      <c r="Q993" s="1916"/>
    </row>
    <row r="994" spans="16:17" x14ac:dyDescent="0.2">
      <c r="P994" s="1916"/>
      <c r="Q994" s="1916"/>
    </row>
    <row r="995" spans="16:17" x14ac:dyDescent="0.2">
      <c r="P995" s="1916"/>
      <c r="Q995" s="1916"/>
    </row>
    <row r="996" spans="16:17" x14ac:dyDescent="0.2">
      <c r="P996" s="1916"/>
      <c r="Q996" s="1916"/>
    </row>
    <row r="997" spans="16:17" x14ac:dyDescent="0.2">
      <c r="P997" s="1916"/>
      <c r="Q997" s="1916"/>
    </row>
    <row r="998" spans="16:17" x14ac:dyDescent="0.2">
      <c r="P998" s="1916"/>
      <c r="Q998" s="1916"/>
    </row>
    <row r="999" spans="16:17" x14ac:dyDescent="0.2">
      <c r="P999" s="1916"/>
      <c r="Q999" s="1916"/>
    </row>
    <row r="1000" spans="16:17" x14ac:dyDescent="0.2">
      <c r="P1000" s="1916"/>
      <c r="Q1000" s="1916"/>
    </row>
    <row r="1001" spans="16:17" x14ac:dyDescent="0.2">
      <c r="P1001" s="1916"/>
      <c r="Q1001" s="1916"/>
    </row>
    <row r="1002" spans="16:17" x14ac:dyDescent="0.2">
      <c r="P1002" s="1916"/>
      <c r="Q1002" s="1916"/>
    </row>
    <row r="1003" spans="16:17" x14ac:dyDescent="0.2">
      <c r="P1003" s="1916"/>
      <c r="Q1003" s="1916"/>
    </row>
    <row r="1004" spans="16:17" x14ac:dyDescent="0.2">
      <c r="P1004" s="1916"/>
      <c r="Q1004" s="1916"/>
    </row>
    <row r="1005" spans="16:17" x14ac:dyDescent="0.2">
      <c r="P1005" s="1916"/>
      <c r="Q1005" s="1916"/>
    </row>
    <row r="1006" spans="16:17" x14ac:dyDescent="0.2">
      <c r="P1006" s="1916"/>
      <c r="Q1006" s="1916"/>
    </row>
    <row r="1007" spans="16:17" x14ac:dyDescent="0.2">
      <c r="P1007" s="1916"/>
      <c r="Q1007" s="1916"/>
    </row>
    <row r="1008" spans="16:17" x14ac:dyDescent="0.2">
      <c r="P1008" s="1916"/>
      <c r="Q1008" s="1916"/>
    </row>
    <row r="1009" spans="16:17" x14ac:dyDescent="0.2">
      <c r="P1009" s="1916"/>
      <c r="Q1009" s="1916"/>
    </row>
    <row r="1010" spans="16:17" x14ac:dyDescent="0.2">
      <c r="P1010" s="1916"/>
      <c r="Q1010" s="1916"/>
    </row>
    <row r="1011" spans="16:17" x14ac:dyDescent="0.2">
      <c r="P1011" s="1916"/>
      <c r="Q1011" s="1916"/>
    </row>
    <row r="1012" spans="16:17" x14ac:dyDescent="0.2">
      <c r="P1012" s="1916"/>
      <c r="Q1012" s="1916"/>
    </row>
    <row r="1013" spans="16:17" x14ac:dyDescent="0.2">
      <c r="P1013" s="1916"/>
      <c r="Q1013" s="1916"/>
    </row>
    <row r="1014" spans="16:17" x14ac:dyDescent="0.2">
      <c r="P1014" s="1916"/>
      <c r="Q1014" s="1916"/>
    </row>
    <row r="1015" spans="16:17" x14ac:dyDescent="0.2">
      <c r="P1015" s="1916"/>
      <c r="Q1015" s="1916"/>
    </row>
    <row r="1016" spans="16:17" x14ac:dyDescent="0.2">
      <c r="P1016" s="1916"/>
      <c r="Q1016" s="1916"/>
    </row>
    <row r="1017" spans="16:17" x14ac:dyDescent="0.2">
      <c r="P1017" s="1916"/>
      <c r="Q1017" s="1916"/>
    </row>
    <row r="1018" spans="16:17" x14ac:dyDescent="0.2">
      <c r="P1018" s="1916"/>
      <c r="Q1018" s="1916"/>
    </row>
    <row r="1019" spans="16:17" x14ac:dyDescent="0.2">
      <c r="P1019" s="1916"/>
      <c r="Q1019" s="1916"/>
    </row>
    <row r="1020" spans="16:17" x14ac:dyDescent="0.2">
      <c r="P1020" s="1916"/>
      <c r="Q1020" s="1916"/>
    </row>
    <row r="1021" spans="16:17" x14ac:dyDescent="0.2">
      <c r="P1021" s="1916"/>
      <c r="Q1021" s="1916"/>
    </row>
    <row r="1022" spans="16:17" x14ac:dyDescent="0.2">
      <c r="P1022" s="1916"/>
      <c r="Q1022" s="1916"/>
    </row>
    <row r="1023" spans="16:17" x14ac:dyDescent="0.2">
      <c r="P1023" s="1916"/>
      <c r="Q1023" s="1916"/>
    </row>
    <row r="1024" spans="16:17" x14ac:dyDescent="0.2">
      <c r="P1024" s="1916"/>
      <c r="Q1024" s="1916"/>
    </row>
    <row r="1025" spans="16:17" x14ac:dyDescent="0.2">
      <c r="P1025" s="1916"/>
      <c r="Q1025" s="1916"/>
    </row>
    <row r="1026" spans="16:17" x14ac:dyDescent="0.2">
      <c r="P1026" s="1916"/>
      <c r="Q1026" s="1916"/>
    </row>
    <row r="1027" spans="16:17" x14ac:dyDescent="0.2">
      <c r="P1027" s="1916"/>
      <c r="Q1027" s="1916"/>
    </row>
    <row r="1028" spans="16:17" x14ac:dyDescent="0.2">
      <c r="P1028" s="1916"/>
      <c r="Q1028" s="1916"/>
    </row>
    <row r="1029" spans="16:17" x14ac:dyDescent="0.2">
      <c r="P1029" s="1916"/>
      <c r="Q1029" s="1916"/>
    </row>
    <row r="1030" spans="16:17" x14ac:dyDescent="0.2">
      <c r="P1030" s="1916"/>
      <c r="Q1030" s="1916"/>
    </row>
    <row r="1031" spans="16:17" x14ac:dyDescent="0.2">
      <c r="P1031" s="1916"/>
      <c r="Q1031" s="1916"/>
    </row>
    <row r="1032" spans="16:17" x14ac:dyDescent="0.2">
      <c r="P1032" s="1916"/>
      <c r="Q1032" s="1916"/>
    </row>
    <row r="1033" spans="16:17" x14ac:dyDescent="0.2">
      <c r="P1033" s="1916"/>
      <c r="Q1033" s="1916"/>
    </row>
    <row r="1034" spans="16:17" x14ac:dyDescent="0.2">
      <c r="P1034" s="1916"/>
      <c r="Q1034" s="1916"/>
    </row>
    <row r="1035" spans="16:17" x14ac:dyDescent="0.2">
      <c r="P1035" s="1916"/>
      <c r="Q1035" s="1916"/>
    </row>
    <row r="1036" spans="16:17" x14ac:dyDescent="0.2">
      <c r="P1036" s="1916"/>
      <c r="Q1036" s="1916"/>
    </row>
    <row r="1037" spans="16:17" x14ac:dyDescent="0.2">
      <c r="P1037" s="1916"/>
      <c r="Q1037" s="1916"/>
    </row>
    <row r="1038" spans="16:17" x14ac:dyDescent="0.2">
      <c r="P1038" s="1916"/>
      <c r="Q1038" s="1916"/>
    </row>
    <row r="1039" spans="16:17" x14ac:dyDescent="0.2">
      <c r="P1039" s="1916"/>
      <c r="Q1039" s="1916"/>
    </row>
    <row r="1040" spans="16:17" x14ac:dyDescent="0.2">
      <c r="P1040" s="1916"/>
      <c r="Q1040" s="1916"/>
    </row>
    <row r="1041" spans="16:17" x14ac:dyDescent="0.2">
      <c r="P1041" s="1916"/>
      <c r="Q1041" s="1916"/>
    </row>
    <row r="1042" spans="16:17" x14ac:dyDescent="0.2">
      <c r="P1042" s="1916"/>
      <c r="Q1042" s="1916"/>
    </row>
    <row r="1043" spans="16:17" x14ac:dyDescent="0.2">
      <c r="P1043" s="1916"/>
      <c r="Q1043" s="1916"/>
    </row>
    <row r="1044" spans="16:17" x14ac:dyDescent="0.2">
      <c r="P1044" s="1916"/>
      <c r="Q1044" s="1916"/>
    </row>
    <row r="1045" spans="16:17" x14ac:dyDescent="0.2">
      <c r="P1045" s="1916"/>
      <c r="Q1045" s="1916"/>
    </row>
    <row r="1046" spans="16:17" x14ac:dyDescent="0.2">
      <c r="P1046" s="1916"/>
      <c r="Q1046" s="1916"/>
    </row>
    <row r="1047" spans="16:17" x14ac:dyDescent="0.2">
      <c r="P1047" s="1916"/>
      <c r="Q1047" s="1916"/>
    </row>
    <row r="1048" spans="16:17" x14ac:dyDescent="0.2">
      <c r="P1048" s="1916"/>
      <c r="Q1048" s="1916"/>
    </row>
    <row r="1049" spans="16:17" x14ac:dyDescent="0.2">
      <c r="P1049" s="1916"/>
      <c r="Q1049" s="1916"/>
    </row>
    <row r="1050" spans="16:17" x14ac:dyDescent="0.2">
      <c r="P1050" s="1916"/>
      <c r="Q1050" s="1916"/>
    </row>
    <row r="1051" spans="16:17" x14ac:dyDescent="0.2">
      <c r="P1051" s="1916"/>
      <c r="Q1051" s="1916"/>
    </row>
    <row r="1052" spans="16:17" x14ac:dyDescent="0.2">
      <c r="P1052" s="1916"/>
      <c r="Q1052" s="1916"/>
    </row>
    <row r="1053" spans="16:17" x14ac:dyDescent="0.2">
      <c r="P1053" s="1916"/>
      <c r="Q1053" s="1916"/>
    </row>
    <row r="1054" spans="16:17" x14ac:dyDescent="0.2">
      <c r="P1054" s="1916"/>
      <c r="Q1054" s="1916"/>
    </row>
    <row r="1055" spans="16:17" x14ac:dyDescent="0.2">
      <c r="P1055" s="1916"/>
      <c r="Q1055" s="1916"/>
    </row>
    <row r="1056" spans="16:17" x14ac:dyDescent="0.2">
      <c r="P1056" s="1916"/>
      <c r="Q1056" s="1916"/>
    </row>
    <row r="1057" spans="16:17" x14ac:dyDescent="0.2">
      <c r="P1057" s="1916"/>
      <c r="Q1057" s="1916"/>
    </row>
    <row r="1058" spans="16:17" x14ac:dyDescent="0.2">
      <c r="P1058" s="1916"/>
      <c r="Q1058" s="1916"/>
    </row>
    <row r="1059" spans="16:17" x14ac:dyDescent="0.2">
      <c r="P1059" s="1916"/>
      <c r="Q1059" s="1916"/>
    </row>
    <row r="1060" spans="16:17" x14ac:dyDescent="0.2">
      <c r="P1060" s="1916"/>
      <c r="Q1060" s="1916"/>
    </row>
    <row r="1061" spans="16:17" x14ac:dyDescent="0.2">
      <c r="P1061" s="1916"/>
      <c r="Q1061" s="1916"/>
    </row>
    <row r="1062" spans="16:17" x14ac:dyDescent="0.2">
      <c r="P1062" s="1916"/>
      <c r="Q1062" s="1916"/>
    </row>
    <row r="1063" spans="16:17" x14ac:dyDescent="0.2">
      <c r="P1063" s="1916"/>
      <c r="Q1063" s="1916"/>
    </row>
    <row r="1064" spans="16:17" x14ac:dyDescent="0.2">
      <c r="P1064" s="1916"/>
      <c r="Q1064" s="1916"/>
    </row>
    <row r="1065" spans="16:17" x14ac:dyDescent="0.2">
      <c r="P1065" s="1916"/>
      <c r="Q1065" s="1916"/>
    </row>
    <row r="1066" spans="16:17" x14ac:dyDescent="0.2">
      <c r="P1066" s="1916"/>
      <c r="Q1066" s="1916"/>
    </row>
    <row r="1067" spans="16:17" x14ac:dyDescent="0.2">
      <c r="P1067" s="1916"/>
      <c r="Q1067" s="1916"/>
    </row>
    <row r="1068" spans="16:17" x14ac:dyDescent="0.2">
      <c r="P1068" s="1916"/>
      <c r="Q1068" s="1916"/>
    </row>
    <row r="1069" spans="16:17" x14ac:dyDescent="0.2">
      <c r="P1069" s="1916"/>
      <c r="Q1069" s="1916"/>
    </row>
    <row r="1070" spans="16:17" x14ac:dyDescent="0.2">
      <c r="P1070" s="1916"/>
      <c r="Q1070" s="1916"/>
    </row>
    <row r="1071" spans="16:17" x14ac:dyDescent="0.2">
      <c r="P1071" s="1916"/>
      <c r="Q1071" s="1916"/>
    </row>
    <row r="1072" spans="16:17" x14ac:dyDescent="0.2">
      <c r="P1072" s="1916"/>
      <c r="Q1072" s="1916"/>
    </row>
    <row r="1073" spans="16:17" x14ac:dyDescent="0.2">
      <c r="P1073" s="1916"/>
      <c r="Q1073" s="1916"/>
    </row>
    <row r="1074" spans="16:17" x14ac:dyDescent="0.2">
      <c r="P1074" s="1916"/>
      <c r="Q1074" s="1916"/>
    </row>
    <row r="1075" spans="16:17" x14ac:dyDescent="0.2">
      <c r="P1075" s="1916"/>
      <c r="Q1075" s="1916"/>
    </row>
    <row r="1076" spans="16:17" x14ac:dyDescent="0.2">
      <c r="P1076" s="1916"/>
      <c r="Q1076" s="1916"/>
    </row>
    <row r="1077" spans="16:17" x14ac:dyDescent="0.2">
      <c r="P1077" s="1916"/>
      <c r="Q1077" s="1916"/>
    </row>
    <row r="1078" spans="16:17" x14ac:dyDescent="0.2">
      <c r="P1078" s="1916"/>
      <c r="Q1078" s="1916"/>
    </row>
    <row r="1079" spans="16:17" x14ac:dyDescent="0.2">
      <c r="P1079" s="1916"/>
      <c r="Q1079" s="1916"/>
    </row>
    <row r="1080" spans="16:17" x14ac:dyDescent="0.2">
      <c r="P1080" s="1916"/>
      <c r="Q1080" s="1916"/>
    </row>
    <row r="1081" spans="16:17" x14ac:dyDescent="0.2">
      <c r="P1081" s="1916"/>
      <c r="Q1081" s="1916"/>
    </row>
    <row r="1082" spans="16:17" x14ac:dyDescent="0.2">
      <c r="P1082" s="1916"/>
      <c r="Q1082" s="1916"/>
    </row>
    <row r="1083" spans="16:17" x14ac:dyDescent="0.2">
      <c r="P1083" s="1916"/>
      <c r="Q1083" s="1916"/>
    </row>
    <row r="1084" spans="16:17" x14ac:dyDescent="0.2">
      <c r="P1084" s="1916"/>
      <c r="Q1084" s="1916"/>
    </row>
    <row r="1085" spans="16:17" x14ac:dyDescent="0.2">
      <c r="P1085" s="1916"/>
      <c r="Q1085" s="1916"/>
    </row>
    <row r="1086" spans="16:17" x14ac:dyDescent="0.2">
      <c r="P1086" s="1916"/>
      <c r="Q1086" s="1916"/>
    </row>
    <row r="1087" spans="16:17" x14ac:dyDescent="0.2">
      <c r="P1087" s="1916"/>
      <c r="Q1087" s="1916"/>
    </row>
    <row r="1088" spans="16:17" x14ac:dyDescent="0.2">
      <c r="P1088" s="1916"/>
      <c r="Q1088" s="1916"/>
    </row>
    <row r="1089" spans="16:17" x14ac:dyDescent="0.2">
      <c r="P1089" s="1916"/>
      <c r="Q1089" s="1916"/>
    </row>
    <row r="1090" spans="16:17" x14ac:dyDescent="0.2">
      <c r="P1090" s="1916"/>
      <c r="Q1090" s="1916"/>
    </row>
    <row r="1091" spans="16:17" x14ac:dyDescent="0.2">
      <c r="P1091" s="1916"/>
      <c r="Q1091" s="1916"/>
    </row>
    <row r="1092" spans="16:17" x14ac:dyDescent="0.2">
      <c r="P1092" s="1916"/>
      <c r="Q1092" s="1916"/>
    </row>
    <row r="1093" spans="16:17" x14ac:dyDescent="0.2">
      <c r="P1093" s="1916"/>
      <c r="Q1093" s="1916"/>
    </row>
    <row r="1094" spans="16:17" x14ac:dyDescent="0.2">
      <c r="P1094" s="1916"/>
      <c r="Q1094" s="1916"/>
    </row>
    <row r="1095" spans="16:17" x14ac:dyDescent="0.2">
      <c r="P1095" s="1916"/>
      <c r="Q1095" s="1916"/>
    </row>
    <row r="1096" spans="16:17" x14ac:dyDescent="0.2">
      <c r="P1096" s="1916"/>
      <c r="Q1096" s="1916"/>
    </row>
    <row r="1097" spans="16:17" x14ac:dyDescent="0.2">
      <c r="P1097" s="1916"/>
      <c r="Q1097" s="1916"/>
    </row>
    <row r="1098" spans="16:17" x14ac:dyDescent="0.2">
      <c r="P1098" s="1916"/>
      <c r="Q1098" s="1916"/>
    </row>
    <row r="1099" spans="16:17" x14ac:dyDescent="0.2">
      <c r="P1099" s="1916"/>
      <c r="Q1099" s="1916"/>
    </row>
    <row r="1100" spans="16:17" x14ac:dyDescent="0.2">
      <c r="P1100" s="1916"/>
      <c r="Q1100" s="1916"/>
    </row>
    <row r="1101" spans="16:17" x14ac:dyDescent="0.2">
      <c r="P1101" s="1916"/>
      <c r="Q1101" s="1916"/>
    </row>
    <row r="1102" spans="16:17" x14ac:dyDescent="0.2">
      <c r="P1102" s="1916"/>
      <c r="Q1102" s="1916"/>
    </row>
    <row r="1103" spans="16:17" x14ac:dyDescent="0.2">
      <c r="P1103" s="1916"/>
      <c r="Q1103" s="1916"/>
    </row>
    <row r="1104" spans="16:17" x14ac:dyDescent="0.2">
      <c r="P1104" s="1916"/>
      <c r="Q1104" s="1916"/>
    </row>
    <row r="1105" spans="16:17" x14ac:dyDescent="0.2">
      <c r="P1105" s="1916"/>
      <c r="Q1105" s="1916"/>
    </row>
    <row r="1106" spans="16:17" x14ac:dyDescent="0.2">
      <c r="P1106" s="1916"/>
      <c r="Q1106" s="1916"/>
    </row>
    <row r="1107" spans="16:17" x14ac:dyDescent="0.2">
      <c r="P1107" s="1916"/>
      <c r="Q1107" s="1916"/>
    </row>
    <row r="1108" spans="16:17" x14ac:dyDescent="0.2">
      <c r="P1108" s="1916"/>
      <c r="Q1108" s="1916"/>
    </row>
    <row r="1109" spans="16:17" x14ac:dyDescent="0.2">
      <c r="P1109" s="1916"/>
      <c r="Q1109" s="1916"/>
    </row>
    <row r="1110" spans="16:17" x14ac:dyDescent="0.2">
      <c r="P1110" s="1916"/>
      <c r="Q1110" s="1916"/>
    </row>
    <row r="1111" spans="16:17" x14ac:dyDescent="0.2">
      <c r="P1111" s="1916"/>
      <c r="Q1111" s="1916"/>
    </row>
    <row r="1112" spans="16:17" x14ac:dyDescent="0.2">
      <c r="P1112" s="1916"/>
      <c r="Q1112" s="1916"/>
    </row>
    <row r="1113" spans="16:17" x14ac:dyDescent="0.2">
      <c r="P1113" s="1916"/>
      <c r="Q1113" s="1916"/>
    </row>
    <row r="1114" spans="16:17" x14ac:dyDescent="0.2">
      <c r="P1114" s="1916"/>
      <c r="Q1114" s="1916"/>
    </row>
    <row r="1115" spans="16:17" x14ac:dyDescent="0.2">
      <c r="P1115" s="1916"/>
      <c r="Q1115" s="1916"/>
    </row>
    <row r="1116" spans="16:17" x14ac:dyDescent="0.2">
      <c r="P1116" s="1916"/>
      <c r="Q1116" s="1916"/>
    </row>
    <row r="1117" spans="16:17" x14ac:dyDescent="0.2">
      <c r="P1117" s="1916"/>
      <c r="Q1117" s="1916"/>
    </row>
    <row r="1118" spans="16:17" x14ac:dyDescent="0.2">
      <c r="P1118" s="1916"/>
      <c r="Q1118" s="1916"/>
    </row>
    <row r="1119" spans="16:17" x14ac:dyDescent="0.2">
      <c r="P1119" s="1916"/>
      <c r="Q1119" s="1916"/>
    </row>
    <row r="1120" spans="16:17" x14ac:dyDescent="0.2">
      <c r="P1120" s="1916"/>
      <c r="Q1120" s="1916"/>
    </row>
    <row r="1121" spans="16:17" x14ac:dyDescent="0.2">
      <c r="P1121" s="1916"/>
      <c r="Q1121" s="1916"/>
    </row>
    <row r="1122" spans="16:17" x14ac:dyDescent="0.2">
      <c r="P1122" s="1916"/>
      <c r="Q1122" s="1916"/>
    </row>
    <row r="1123" spans="16:17" x14ac:dyDescent="0.2">
      <c r="P1123" s="1916"/>
      <c r="Q1123" s="1916"/>
    </row>
    <row r="1124" spans="16:17" x14ac:dyDescent="0.2">
      <c r="P1124" s="1916"/>
      <c r="Q1124" s="1916"/>
    </row>
    <row r="1125" spans="16:17" x14ac:dyDescent="0.2">
      <c r="P1125" s="1916"/>
      <c r="Q1125" s="1916"/>
    </row>
    <row r="1126" spans="16:17" x14ac:dyDescent="0.2">
      <c r="P1126" s="1916"/>
      <c r="Q1126" s="1916"/>
    </row>
    <row r="1127" spans="16:17" x14ac:dyDescent="0.2">
      <c r="P1127" s="1916"/>
      <c r="Q1127" s="1916"/>
    </row>
    <row r="1128" spans="16:17" x14ac:dyDescent="0.2">
      <c r="P1128" s="1916"/>
      <c r="Q1128" s="1916"/>
    </row>
    <row r="1129" spans="16:17" x14ac:dyDescent="0.2">
      <c r="P1129" s="1916"/>
      <c r="Q1129" s="1916"/>
    </row>
    <row r="1130" spans="16:17" x14ac:dyDescent="0.2">
      <c r="P1130" s="1916"/>
      <c r="Q1130" s="1916"/>
    </row>
    <row r="1131" spans="16:17" x14ac:dyDescent="0.2">
      <c r="P1131" s="1916"/>
      <c r="Q1131" s="1916"/>
    </row>
    <row r="1132" spans="16:17" x14ac:dyDescent="0.2">
      <c r="P1132" s="1916"/>
      <c r="Q1132" s="1916"/>
    </row>
    <row r="1133" spans="16:17" x14ac:dyDescent="0.2">
      <c r="P1133" s="1916"/>
      <c r="Q1133" s="1916"/>
    </row>
    <row r="1134" spans="16:17" x14ac:dyDescent="0.2">
      <c r="P1134" s="1916"/>
      <c r="Q1134" s="1916"/>
    </row>
    <row r="1135" spans="16:17" x14ac:dyDescent="0.2">
      <c r="P1135" s="1916"/>
      <c r="Q1135" s="1916"/>
    </row>
    <row r="1136" spans="16:17" x14ac:dyDescent="0.2">
      <c r="P1136" s="1916"/>
      <c r="Q1136" s="1916"/>
    </row>
    <row r="1137" spans="16:17" x14ac:dyDescent="0.2">
      <c r="P1137" s="1916"/>
      <c r="Q1137" s="1916"/>
    </row>
    <row r="1138" spans="16:17" x14ac:dyDescent="0.2">
      <c r="P1138" s="1916"/>
      <c r="Q1138" s="1916"/>
    </row>
    <row r="1139" spans="16:17" x14ac:dyDescent="0.2">
      <c r="P1139" s="1916"/>
      <c r="Q1139" s="1916"/>
    </row>
    <row r="1140" spans="16:17" x14ac:dyDescent="0.2">
      <c r="P1140" s="1916"/>
      <c r="Q1140" s="1916"/>
    </row>
    <row r="1141" spans="16:17" x14ac:dyDescent="0.2">
      <c r="P1141" s="1916"/>
      <c r="Q1141" s="1916"/>
    </row>
    <row r="1142" spans="16:17" x14ac:dyDescent="0.2">
      <c r="P1142" s="1916"/>
      <c r="Q1142" s="1916"/>
    </row>
    <row r="1143" spans="16:17" x14ac:dyDescent="0.2">
      <c r="P1143" s="1916"/>
      <c r="Q1143" s="1916"/>
    </row>
    <row r="1144" spans="16:17" x14ac:dyDescent="0.2">
      <c r="P1144" s="1916"/>
      <c r="Q1144" s="1916"/>
    </row>
    <row r="1145" spans="16:17" x14ac:dyDescent="0.2">
      <c r="P1145" s="1916"/>
      <c r="Q1145" s="1916"/>
    </row>
    <row r="1146" spans="16:17" x14ac:dyDescent="0.2">
      <c r="P1146" s="1916"/>
      <c r="Q1146" s="1916"/>
    </row>
    <row r="1147" spans="16:17" x14ac:dyDescent="0.2">
      <c r="P1147" s="1916"/>
      <c r="Q1147" s="1916"/>
    </row>
    <row r="1148" spans="16:17" x14ac:dyDescent="0.2">
      <c r="P1148" s="1916"/>
      <c r="Q1148" s="1916"/>
    </row>
    <row r="1149" spans="16:17" x14ac:dyDescent="0.2">
      <c r="P1149" s="1916"/>
      <c r="Q1149" s="1916"/>
    </row>
    <row r="1150" spans="16:17" x14ac:dyDescent="0.2">
      <c r="P1150" s="1916"/>
      <c r="Q1150" s="1916"/>
    </row>
    <row r="1151" spans="16:17" x14ac:dyDescent="0.2">
      <c r="P1151" s="1916"/>
      <c r="Q1151" s="1916"/>
    </row>
    <row r="1152" spans="16:17" x14ac:dyDescent="0.2">
      <c r="P1152" s="1916"/>
      <c r="Q1152" s="1916"/>
    </row>
    <row r="1153" spans="16:17" x14ac:dyDescent="0.2">
      <c r="P1153" s="1916"/>
      <c r="Q1153" s="1916"/>
    </row>
    <row r="1154" spans="16:17" x14ac:dyDescent="0.2">
      <c r="P1154" s="1916"/>
      <c r="Q1154" s="1916"/>
    </row>
    <row r="1155" spans="16:17" x14ac:dyDescent="0.2">
      <c r="P1155" s="1916"/>
      <c r="Q1155" s="1916"/>
    </row>
    <row r="1156" spans="16:17" x14ac:dyDescent="0.2">
      <c r="P1156" s="1916"/>
      <c r="Q1156" s="1916"/>
    </row>
    <row r="1157" spans="16:17" x14ac:dyDescent="0.2">
      <c r="P1157" s="1916"/>
      <c r="Q1157" s="1916"/>
    </row>
    <row r="1158" spans="16:17" x14ac:dyDescent="0.2">
      <c r="P1158" s="1916"/>
      <c r="Q1158" s="1916"/>
    </row>
    <row r="1159" spans="16:17" x14ac:dyDescent="0.2">
      <c r="P1159" s="1916"/>
      <c r="Q1159" s="1916"/>
    </row>
    <row r="1160" spans="16:17" x14ac:dyDescent="0.2">
      <c r="P1160" s="1916"/>
      <c r="Q1160" s="1916"/>
    </row>
    <row r="1161" spans="16:17" x14ac:dyDescent="0.2">
      <c r="P1161" s="1916"/>
      <c r="Q1161" s="1916"/>
    </row>
    <row r="1162" spans="16:17" x14ac:dyDescent="0.2">
      <c r="P1162" s="1916"/>
      <c r="Q1162" s="1916"/>
    </row>
    <row r="1163" spans="16:17" x14ac:dyDescent="0.2">
      <c r="P1163" s="1916"/>
      <c r="Q1163" s="1916"/>
    </row>
    <row r="1164" spans="16:17" x14ac:dyDescent="0.2">
      <c r="P1164" s="1916"/>
      <c r="Q1164" s="1916"/>
    </row>
    <row r="1165" spans="16:17" x14ac:dyDescent="0.2">
      <c r="P1165" s="1916"/>
      <c r="Q1165" s="1916"/>
    </row>
    <row r="1166" spans="16:17" x14ac:dyDescent="0.2">
      <c r="P1166" s="1916"/>
      <c r="Q1166" s="1916"/>
    </row>
    <row r="1167" spans="16:17" x14ac:dyDescent="0.2">
      <c r="P1167" s="1916"/>
      <c r="Q1167" s="1916"/>
    </row>
    <row r="1168" spans="16:17" x14ac:dyDescent="0.2">
      <c r="P1168" s="1916"/>
      <c r="Q1168" s="1916"/>
    </row>
    <row r="1169" spans="16:17" x14ac:dyDescent="0.2">
      <c r="P1169" s="1916"/>
      <c r="Q1169" s="1916"/>
    </row>
    <row r="1170" spans="16:17" x14ac:dyDescent="0.2">
      <c r="P1170" s="1916"/>
      <c r="Q1170" s="1916"/>
    </row>
    <row r="1171" spans="16:17" x14ac:dyDescent="0.2">
      <c r="P1171" s="1916"/>
      <c r="Q1171" s="1916"/>
    </row>
    <row r="1172" spans="16:17" x14ac:dyDescent="0.2">
      <c r="P1172" s="1916"/>
      <c r="Q1172" s="1916"/>
    </row>
    <row r="1173" spans="16:17" x14ac:dyDescent="0.2">
      <c r="P1173" s="1916"/>
      <c r="Q1173" s="1916"/>
    </row>
    <row r="1174" spans="16:17" x14ac:dyDescent="0.2">
      <c r="P1174" s="1916"/>
      <c r="Q1174" s="1916"/>
    </row>
    <row r="1175" spans="16:17" x14ac:dyDescent="0.2">
      <c r="P1175" s="1916"/>
      <c r="Q1175" s="1916"/>
    </row>
    <row r="1176" spans="16:17" x14ac:dyDescent="0.2">
      <c r="P1176" s="1916"/>
      <c r="Q1176" s="1916"/>
    </row>
    <row r="1177" spans="16:17" x14ac:dyDescent="0.2">
      <c r="P1177" s="1916"/>
      <c r="Q1177" s="1916"/>
    </row>
    <row r="1178" spans="16:17" x14ac:dyDescent="0.2">
      <c r="P1178" s="1916"/>
      <c r="Q1178" s="1916"/>
    </row>
    <row r="1179" spans="16:17" x14ac:dyDescent="0.2">
      <c r="P1179" s="1916"/>
      <c r="Q1179" s="1916"/>
    </row>
    <row r="1180" spans="16:17" x14ac:dyDescent="0.2">
      <c r="P1180" s="1916"/>
      <c r="Q1180" s="1916"/>
    </row>
    <row r="1181" spans="16:17" x14ac:dyDescent="0.2">
      <c r="P1181" s="1916"/>
      <c r="Q1181" s="1916"/>
    </row>
    <row r="1182" spans="16:17" x14ac:dyDescent="0.2">
      <c r="P1182" s="1916"/>
      <c r="Q1182" s="1916"/>
    </row>
    <row r="1183" spans="16:17" x14ac:dyDescent="0.2">
      <c r="P1183" s="1916"/>
      <c r="Q1183" s="1916"/>
    </row>
    <row r="1184" spans="16:17" x14ac:dyDescent="0.2">
      <c r="P1184" s="1916"/>
      <c r="Q1184" s="1916"/>
    </row>
    <row r="1185" spans="16:17" x14ac:dyDescent="0.2">
      <c r="P1185" s="1916"/>
      <c r="Q1185" s="1916"/>
    </row>
    <row r="1186" spans="16:17" x14ac:dyDescent="0.2">
      <c r="P1186" s="1916"/>
      <c r="Q1186" s="1916"/>
    </row>
    <row r="1187" spans="16:17" x14ac:dyDescent="0.2">
      <c r="P1187" s="1916"/>
      <c r="Q1187" s="1916"/>
    </row>
    <row r="1188" spans="16:17" x14ac:dyDescent="0.2">
      <c r="P1188" s="1916"/>
      <c r="Q1188" s="1916"/>
    </row>
    <row r="1189" spans="16:17" x14ac:dyDescent="0.2">
      <c r="P1189" s="1916"/>
      <c r="Q1189" s="1916"/>
    </row>
    <row r="1190" spans="16:17" x14ac:dyDescent="0.2">
      <c r="P1190" s="1916"/>
      <c r="Q1190" s="1916"/>
    </row>
    <row r="1191" spans="16:17" x14ac:dyDescent="0.2">
      <c r="P1191" s="1916"/>
      <c r="Q1191" s="1916"/>
    </row>
    <row r="1192" spans="16:17" x14ac:dyDescent="0.2">
      <c r="P1192" s="1916"/>
      <c r="Q1192" s="1916"/>
    </row>
    <row r="1193" spans="16:17" x14ac:dyDescent="0.2">
      <c r="P1193" s="1916"/>
      <c r="Q1193" s="1916"/>
    </row>
    <row r="1194" spans="16:17" x14ac:dyDescent="0.2">
      <c r="P1194" s="1916"/>
      <c r="Q1194" s="1916"/>
    </row>
    <row r="1195" spans="16:17" x14ac:dyDescent="0.2">
      <c r="P1195" s="1916"/>
      <c r="Q1195" s="1916"/>
    </row>
    <row r="1196" spans="16:17" x14ac:dyDescent="0.2">
      <c r="P1196" s="1916"/>
      <c r="Q1196" s="1916"/>
    </row>
    <row r="1197" spans="16:17" x14ac:dyDescent="0.2">
      <c r="P1197" s="1916"/>
      <c r="Q1197" s="1916"/>
    </row>
    <row r="1198" spans="16:17" x14ac:dyDescent="0.2">
      <c r="P1198" s="1916"/>
      <c r="Q1198" s="1916"/>
    </row>
    <row r="1199" spans="16:17" x14ac:dyDescent="0.2">
      <c r="P1199" s="1916"/>
      <c r="Q1199" s="1916"/>
    </row>
    <row r="1200" spans="16:17" x14ac:dyDescent="0.2">
      <c r="P1200" s="1916"/>
      <c r="Q1200" s="1916"/>
    </row>
    <row r="1201" spans="16:17" x14ac:dyDescent="0.2">
      <c r="P1201" s="1916"/>
      <c r="Q1201" s="1916"/>
    </row>
    <row r="1202" spans="16:17" x14ac:dyDescent="0.2">
      <c r="P1202" s="1916"/>
      <c r="Q1202" s="1916"/>
    </row>
    <row r="1203" spans="16:17" x14ac:dyDescent="0.2">
      <c r="P1203" s="1916"/>
      <c r="Q1203" s="1916"/>
    </row>
    <row r="1204" spans="16:17" x14ac:dyDescent="0.2">
      <c r="P1204" s="1916"/>
      <c r="Q1204" s="1916"/>
    </row>
    <row r="1205" spans="16:17" x14ac:dyDescent="0.2">
      <c r="P1205" s="1916"/>
      <c r="Q1205" s="1916"/>
    </row>
    <row r="1206" spans="16:17" x14ac:dyDescent="0.2">
      <c r="P1206" s="1916"/>
      <c r="Q1206" s="1916"/>
    </row>
    <row r="1207" spans="16:17" x14ac:dyDescent="0.2">
      <c r="P1207" s="1916"/>
      <c r="Q1207" s="1916"/>
    </row>
    <row r="1208" spans="16:17" x14ac:dyDescent="0.2">
      <c r="P1208" s="1916"/>
      <c r="Q1208" s="1916"/>
    </row>
    <row r="1209" spans="16:17" x14ac:dyDescent="0.2">
      <c r="P1209" s="1916"/>
      <c r="Q1209" s="1916"/>
    </row>
    <row r="1210" spans="16:17" x14ac:dyDescent="0.2">
      <c r="P1210" s="1916"/>
      <c r="Q1210" s="1916"/>
    </row>
    <row r="1211" spans="16:17" x14ac:dyDescent="0.2">
      <c r="P1211" s="1916"/>
      <c r="Q1211" s="1916"/>
    </row>
    <row r="1212" spans="16:17" x14ac:dyDescent="0.2">
      <c r="P1212" s="1916"/>
      <c r="Q1212" s="1916"/>
    </row>
    <row r="1213" spans="16:17" x14ac:dyDescent="0.2">
      <c r="P1213" s="1916"/>
      <c r="Q1213" s="1916"/>
    </row>
    <row r="1214" spans="16:17" x14ac:dyDescent="0.2">
      <c r="P1214" s="1916"/>
      <c r="Q1214" s="1916"/>
    </row>
    <row r="1215" spans="16:17" x14ac:dyDescent="0.2">
      <c r="P1215" s="1916"/>
      <c r="Q1215" s="1916"/>
    </row>
    <row r="1216" spans="16:17" x14ac:dyDescent="0.2">
      <c r="P1216" s="1916"/>
      <c r="Q1216" s="1916"/>
    </row>
    <row r="1217" spans="16:17" x14ac:dyDescent="0.2">
      <c r="P1217" s="1916"/>
      <c r="Q1217" s="1916"/>
    </row>
    <row r="1218" spans="16:17" x14ac:dyDescent="0.2">
      <c r="P1218" s="1916"/>
      <c r="Q1218" s="1916"/>
    </row>
    <row r="1219" spans="16:17" x14ac:dyDescent="0.2">
      <c r="P1219" s="1916"/>
      <c r="Q1219" s="1916"/>
    </row>
    <row r="1220" spans="16:17" x14ac:dyDescent="0.2">
      <c r="P1220" s="1916"/>
      <c r="Q1220" s="1916"/>
    </row>
    <row r="1221" spans="16:17" x14ac:dyDescent="0.2">
      <c r="P1221" s="1916"/>
      <c r="Q1221" s="1916"/>
    </row>
    <row r="1222" spans="16:17" x14ac:dyDescent="0.2">
      <c r="P1222" s="1916"/>
      <c r="Q1222" s="1916"/>
    </row>
    <row r="1223" spans="16:17" x14ac:dyDescent="0.2">
      <c r="P1223" s="1916"/>
      <c r="Q1223" s="1916"/>
    </row>
    <row r="1224" spans="16:17" x14ac:dyDescent="0.2">
      <c r="P1224" s="1916"/>
      <c r="Q1224" s="1916"/>
    </row>
    <row r="1225" spans="16:17" x14ac:dyDescent="0.2">
      <c r="P1225" s="1916"/>
      <c r="Q1225" s="1916"/>
    </row>
    <row r="1226" spans="16:17" x14ac:dyDescent="0.2">
      <c r="P1226" s="1916"/>
      <c r="Q1226" s="1916"/>
    </row>
    <row r="1227" spans="16:17" x14ac:dyDescent="0.2">
      <c r="P1227" s="1916"/>
      <c r="Q1227" s="1916"/>
    </row>
    <row r="1228" spans="16:17" x14ac:dyDescent="0.2">
      <c r="P1228" s="1916"/>
      <c r="Q1228" s="1916"/>
    </row>
    <row r="1229" spans="16:17" x14ac:dyDescent="0.2">
      <c r="P1229" s="1916"/>
      <c r="Q1229" s="1916"/>
    </row>
    <row r="1230" spans="16:17" x14ac:dyDescent="0.2">
      <c r="P1230" s="1916"/>
      <c r="Q1230" s="1916"/>
    </row>
    <row r="1231" spans="16:17" x14ac:dyDescent="0.2">
      <c r="P1231" s="1916"/>
      <c r="Q1231" s="1916"/>
    </row>
    <row r="1232" spans="16:17" x14ac:dyDescent="0.2">
      <c r="P1232" s="1916"/>
      <c r="Q1232" s="1916"/>
    </row>
    <row r="1233" spans="16:17" x14ac:dyDescent="0.2">
      <c r="P1233" s="1916"/>
      <c r="Q1233" s="1916"/>
    </row>
    <row r="1234" spans="16:17" x14ac:dyDescent="0.2">
      <c r="P1234" s="1916"/>
      <c r="Q1234" s="1916"/>
    </row>
    <row r="1235" spans="16:17" x14ac:dyDescent="0.2">
      <c r="P1235" s="1916"/>
      <c r="Q1235" s="1916"/>
    </row>
    <row r="1236" spans="16:17" x14ac:dyDescent="0.2">
      <c r="P1236" s="1916"/>
      <c r="Q1236" s="1916"/>
    </row>
    <row r="1237" spans="16:17" x14ac:dyDescent="0.2">
      <c r="P1237" s="1916"/>
      <c r="Q1237" s="1916"/>
    </row>
    <row r="1238" spans="16:17" x14ac:dyDescent="0.2">
      <c r="P1238" s="1916"/>
      <c r="Q1238" s="1916"/>
    </row>
    <row r="1239" spans="16:17" x14ac:dyDescent="0.2">
      <c r="P1239" s="1916"/>
      <c r="Q1239" s="1916"/>
    </row>
    <row r="1240" spans="16:17" x14ac:dyDescent="0.2">
      <c r="P1240" s="1916"/>
      <c r="Q1240" s="1916"/>
    </row>
    <row r="1241" spans="16:17" x14ac:dyDescent="0.2">
      <c r="P1241" s="1916"/>
      <c r="Q1241" s="1916"/>
    </row>
    <row r="1242" spans="16:17" x14ac:dyDescent="0.2">
      <c r="P1242" s="1916"/>
      <c r="Q1242" s="1916"/>
    </row>
    <row r="1243" spans="16:17" x14ac:dyDescent="0.2">
      <c r="P1243" s="1916"/>
      <c r="Q1243" s="1916"/>
    </row>
    <row r="1244" spans="16:17" x14ac:dyDescent="0.2">
      <c r="P1244" s="1916"/>
      <c r="Q1244" s="1916"/>
    </row>
    <row r="1245" spans="16:17" x14ac:dyDescent="0.2">
      <c r="P1245" s="1916"/>
      <c r="Q1245" s="1916"/>
    </row>
    <row r="1246" spans="16:17" x14ac:dyDescent="0.2">
      <c r="P1246" s="1916"/>
      <c r="Q1246" s="1916"/>
    </row>
    <row r="1247" spans="16:17" x14ac:dyDescent="0.2">
      <c r="P1247" s="1916"/>
      <c r="Q1247" s="1916"/>
    </row>
    <row r="1248" spans="16:17" x14ac:dyDescent="0.2">
      <c r="P1248" s="1916"/>
      <c r="Q1248" s="1916"/>
    </row>
    <row r="1249" spans="16:17" x14ac:dyDescent="0.2">
      <c r="P1249" s="1916"/>
      <c r="Q1249" s="1916"/>
    </row>
    <row r="1250" spans="16:17" x14ac:dyDescent="0.2">
      <c r="P1250" s="1916"/>
      <c r="Q1250" s="1916"/>
    </row>
    <row r="1251" spans="16:17" x14ac:dyDescent="0.2">
      <c r="P1251" s="1916"/>
      <c r="Q1251" s="1916"/>
    </row>
    <row r="1252" spans="16:17" x14ac:dyDescent="0.2">
      <c r="P1252" s="1916"/>
      <c r="Q1252" s="1916"/>
    </row>
    <row r="1253" spans="16:17" x14ac:dyDescent="0.2">
      <c r="P1253" s="1916"/>
      <c r="Q1253" s="1916"/>
    </row>
    <row r="1254" spans="16:17" x14ac:dyDescent="0.2">
      <c r="P1254" s="1916"/>
      <c r="Q1254" s="1916"/>
    </row>
    <row r="1255" spans="16:17" x14ac:dyDescent="0.2">
      <c r="P1255" s="1916"/>
      <c r="Q1255" s="1916"/>
    </row>
    <row r="1256" spans="16:17" x14ac:dyDescent="0.2">
      <c r="P1256" s="1916"/>
      <c r="Q1256" s="1916"/>
    </row>
    <row r="1257" spans="16:17" x14ac:dyDescent="0.2">
      <c r="P1257" s="1916"/>
      <c r="Q1257" s="1916"/>
    </row>
    <row r="1258" spans="16:17" x14ac:dyDescent="0.2">
      <c r="P1258" s="1916"/>
      <c r="Q1258" s="1916"/>
    </row>
    <row r="1259" spans="16:17" x14ac:dyDescent="0.2">
      <c r="P1259" s="1916"/>
      <c r="Q1259" s="1916"/>
    </row>
    <row r="1260" spans="16:17" x14ac:dyDescent="0.2">
      <c r="P1260" s="1916"/>
      <c r="Q1260" s="1916"/>
    </row>
    <row r="1261" spans="16:17" x14ac:dyDescent="0.2">
      <c r="P1261" s="1916"/>
      <c r="Q1261" s="1916"/>
    </row>
    <row r="1262" spans="16:17" x14ac:dyDescent="0.2">
      <c r="P1262" s="1916"/>
      <c r="Q1262" s="1916"/>
    </row>
    <row r="1263" spans="16:17" x14ac:dyDescent="0.2">
      <c r="P1263" s="1916"/>
      <c r="Q1263" s="1916"/>
    </row>
    <row r="1264" spans="16:17" x14ac:dyDescent="0.2">
      <c r="P1264" s="1916"/>
      <c r="Q1264" s="1916"/>
    </row>
    <row r="1265" spans="16:17" x14ac:dyDescent="0.2">
      <c r="P1265" s="1916"/>
      <c r="Q1265" s="1916"/>
    </row>
    <row r="1266" spans="16:17" x14ac:dyDescent="0.2">
      <c r="P1266" s="1916"/>
      <c r="Q1266" s="1916"/>
    </row>
    <row r="1267" spans="16:17" x14ac:dyDescent="0.2">
      <c r="P1267" s="1916"/>
      <c r="Q1267" s="1916"/>
    </row>
    <row r="1268" spans="16:17" x14ac:dyDescent="0.2">
      <c r="P1268" s="1916"/>
      <c r="Q1268" s="1916"/>
    </row>
    <row r="1269" spans="16:17" x14ac:dyDescent="0.2">
      <c r="P1269" s="1916"/>
      <c r="Q1269" s="1916"/>
    </row>
    <row r="1270" spans="16:17" x14ac:dyDescent="0.2">
      <c r="P1270" s="1916"/>
      <c r="Q1270" s="1916"/>
    </row>
    <row r="1271" spans="16:17" x14ac:dyDescent="0.2">
      <c r="P1271" s="1916"/>
      <c r="Q1271" s="1916"/>
    </row>
    <row r="1272" spans="16:17" x14ac:dyDescent="0.2">
      <c r="P1272" s="1916"/>
      <c r="Q1272" s="1916"/>
    </row>
    <row r="1273" spans="16:17" x14ac:dyDescent="0.2">
      <c r="P1273" s="1916"/>
      <c r="Q1273" s="1916"/>
    </row>
    <row r="1274" spans="16:17" x14ac:dyDescent="0.2">
      <c r="P1274" s="1916"/>
      <c r="Q1274" s="1916"/>
    </row>
    <row r="1275" spans="16:17" x14ac:dyDescent="0.2">
      <c r="P1275" s="1916"/>
      <c r="Q1275" s="1916"/>
    </row>
    <row r="1276" spans="16:17" x14ac:dyDescent="0.2">
      <c r="P1276" s="1916"/>
      <c r="Q1276" s="1916"/>
    </row>
    <row r="1277" spans="16:17" x14ac:dyDescent="0.2">
      <c r="P1277" s="1916"/>
      <c r="Q1277" s="1916"/>
    </row>
    <row r="1278" spans="16:17" x14ac:dyDescent="0.2">
      <c r="P1278" s="1916"/>
      <c r="Q1278" s="1916"/>
    </row>
    <row r="1279" spans="16:17" x14ac:dyDescent="0.2">
      <c r="P1279" s="1916"/>
      <c r="Q1279" s="1916"/>
    </row>
    <row r="1280" spans="16:17" x14ac:dyDescent="0.2">
      <c r="P1280" s="1916"/>
      <c r="Q1280" s="1916"/>
    </row>
    <row r="1281" spans="16:17" x14ac:dyDescent="0.2">
      <c r="P1281" s="1916"/>
      <c r="Q1281" s="1916"/>
    </row>
    <row r="1282" spans="16:17" x14ac:dyDescent="0.2">
      <c r="P1282" s="1916"/>
      <c r="Q1282" s="1916"/>
    </row>
    <row r="1283" spans="16:17" x14ac:dyDescent="0.2">
      <c r="P1283" s="1916"/>
      <c r="Q1283" s="1916"/>
    </row>
    <row r="1284" spans="16:17" x14ac:dyDescent="0.2">
      <c r="P1284" s="1916"/>
      <c r="Q1284" s="1916"/>
    </row>
    <row r="1285" spans="16:17" x14ac:dyDescent="0.2">
      <c r="P1285" s="1916"/>
      <c r="Q1285" s="1916"/>
    </row>
    <row r="1286" spans="16:17" x14ac:dyDescent="0.2">
      <c r="P1286" s="1916"/>
      <c r="Q1286" s="1916"/>
    </row>
    <row r="1287" spans="16:17" x14ac:dyDescent="0.2">
      <c r="P1287" s="1916"/>
      <c r="Q1287" s="1916"/>
    </row>
    <row r="1288" spans="16:17" x14ac:dyDescent="0.2">
      <c r="P1288" s="1916"/>
      <c r="Q1288" s="1916"/>
    </row>
    <row r="1289" spans="16:17" x14ac:dyDescent="0.2">
      <c r="P1289" s="1916"/>
      <c r="Q1289" s="1916"/>
    </row>
    <row r="1290" spans="16:17" x14ac:dyDescent="0.2">
      <c r="P1290" s="1916"/>
      <c r="Q1290" s="1916"/>
    </row>
    <row r="1291" spans="16:17" x14ac:dyDescent="0.2">
      <c r="P1291" s="1916"/>
      <c r="Q1291" s="1916"/>
    </row>
    <row r="1292" spans="16:17" x14ac:dyDescent="0.2">
      <c r="P1292" s="1916"/>
      <c r="Q1292" s="1916"/>
    </row>
    <row r="1293" spans="16:17" x14ac:dyDescent="0.2">
      <c r="P1293" s="1916"/>
      <c r="Q1293" s="1916"/>
    </row>
    <row r="1294" spans="16:17" x14ac:dyDescent="0.2">
      <c r="P1294" s="1916"/>
      <c r="Q1294" s="1916"/>
    </row>
    <row r="1295" spans="16:17" x14ac:dyDescent="0.2">
      <c r="P1295" s="1916"/>
      <c r="Q1295" s="1916"/>
    </row>
    <row r="1296" spans="16:17" x14ac:dyDescent="0.2">
      <c r="P1296" s="1916"/>
      <c r="Q1296" s="1916"/>
    </row>
    <row r="1297" spans="16:17" x14ac:dyDescent="0.2">
      <c r="P1297" s="1916"/>
      <c r="Q1297" s="1916"/>
    </row>
    <row r="1298" spans="16:17" x14ac:dyDescent="0.2">
      <c r="P1298" s="1916"/>
      <c r="Q1298" s="1916"/>
    </row>
    <row r="1299" spans="16:17" x14ac:dyDescent="0.2">
      <c r="P1299" s="1916"/>
      <c r="Q1299" s="1916"/>
    </row>
    <row r="1300" spans="16:17" x14ac:dyDescent="0.2">
      <c r="P1300" s="1916"/>
      <c r="Q1300" s="1916"/>
    </row>
    <row r="1301" spans="16:17" x14ac:dyDescent="0.2">
      <c r="P1301" s="1916"/>
      <c r="Q1301" s="1916"/>
    </row>
    <row r="1302" spans="16:17" x14ac:dyDescent="0.2">
      <c r="P1302" s="1916"/>
      <c r="Q1302" s="1916"/>
    </row>
    <row r="1303" spans="16:17" x14ac:dyDescent="0.2">
      <c r="P1303" s="1916"/>
      <c r="Q1303" s="1916"/>
    </row>
    <row r="1304" spans="16:17" x14ac:dyDescent="0.2">
      <c r="P1304" s="1916"/>
      <c r="Q1304" s="1916"/>
    </row>
    <row r="1305" spans="16:17" x14ac:dyDescent="0.2">
      <c r="P1305" s="1916"/>
      <c r="Q1305" s="1916"/>
    </row>
    <row r="1306" spans="16:17" x14ac:dyDescent="0.2">
      <c r="P1306" s="1916"/>
      <c r="Q1306" s="1916"/>
    </row>
    <row r="1307" spans="16:17" x14ac:dyDescent="0.2">
      <c r="P1307" s="1916"/>
      <c r="Q1307" s="1916"/>
    </row>
    <row r="1308" spans="16:17" x14ac:dyDescent="0.2">
      <c r="P1308" s="1916"/>
      <c r="Q1308" s="1916"/>
    </row>
    <row r="1309" spans="16:17" x14ac:dyDescent="0.2">
      <c r="P1309" s="1916"/>
      <c r="Q1309" s="1916"/>
    </row>
    <row r="1310" spans="16:17" x14ac:dyDescent="0.2">
      <c r="P1310" s="1916"/>
      <c r="Q1310" s="1916"/>
    </row>
    <row r="1311" spans="16:17" x14ac:dyDescent="0.2">
      <c r="P1311" s="1916"/>
      <c r="Q1311" s="1916"/>
    </row>
    <row r="1312" spans="16:17" x14ac:dyDescent="0.2">
      <c r="P1312" s="1916"/>
      <c r="Q1312" s="1916"/>
    </row>
    <row r="1313" spans="16:17" x14ac:dyDescent="0.2">
      <c r="P1313" s="1916"/>
      <c r="Q1313" s="1916"/>
    </row>
    <row r="1314" spans="16:17" x14ac:dyDescent="0.2">
      <c r="P1314" s="1916"/>
      <c r="Q1314" s="1916"/>
    </row>
    <row r="1315" spans="16:17" x14ac:dyDescent="0.2">
      <c r="P1315" s="1916"/>
      <c r="Q1315" s="1916"/>
    </row>
    <row r="1316" spans="16:17" x14ac:dyDescent="0.2">
      <c r="P1316" s="1916"/>
      <c r="Q1316" s="1916"/>
    </row>
    <row r="1317" spans="16:17" x14ac:dyDescent="0.2">
      <c r="P1317" s="1916"/>
      <c r="Q1317" s="1916"/>
    </row>
    <row r="1318" spans="16:17" x14ac:dyDescent="0.2">
      <c r="P1318" s="1916"/>
      <c r="Q1318" s="1916"/>
    </row>
    <row r="1319" spans="16:17" x14ac:dyDescent="0.2">
      <c r="P1319" s="1916"/>
      <c r="Q1319" s="1916"/>
    </row>
    <row r="1320" spans="16:17" x14ac:dyDescent="0.2">
      <c r="P1320" s="1916"/>
      <c r="Q1320" s="1916"/>
    </row>
    <row r="1321" spans="16:17" x14ac:dyDescent="0.2">
      <c r="P1321" s="1916"/>
      <c r="Q1321" s="1916"/>
    </row>
    <row r="1322" spans="16:17" x14ac:dyDescent="0.2">
      <c r="P1322" s="1916"/>
      <c r="Q1322" s="1916"/>
    </row>
    <row r="1323" spans="16:17" x14ac:dyDescent="0.2">
      <c r="P1323" s="1916"/>
      <c r="Q1323" s="1916"/>
    </row>
    <row r="1324" spans="16:17" x14ac:dyDescent="0.2">
      <c r="P1324" s="1916"/>
      <c r="Q1324" s="1916"/>
    </row>
    <row r="1325" spans="16:17" x14ac:dyDescent="0.2">
      <c r="P1325" s="1916"/>
      <c r="Q1325" s="1916"/>
    </row>
    <row r="1326" spans="16:17" x14ac:dyDescent="0.2">
      <c r="P1326" s="1916"/>
      <c r="Q1326" s="1916"/>
    </row>
    <row r="1327" spans="16:17" x14ac:dyDescent="0.2">
      <c r="P1327" s="1916"/>
      <c r="Q1327" s="1916"/>
    </row>
    <row r="1328" spans="16:17" x14ac:dyDescent="0.2">
      <c r="P1328" s="1916"/>
      <c r="Q1328" s="1916"/>
    </row>
    <row r="1329" spans="16:17" x14ac:dyDescent="0.2">
      <c r="P1329" s="1916"/>
      <c r="Q1329" s="1916"/>
    </row>
    <row r="1330" spans="16:17" x14ac:dyDescent="0.2">
      <c r="P1330" s="1916"/>
      <c r="Q1330" s="1916"/>
    </row>
    <row r="1331" spans="16:17" x14ac:dyDescent="0.2">
      <c r="P1331" s="1916"/>
      <c r="Q1331" s="1916"/>
    </row>
    <row r="1332" spans="16:17" x14ac:dyDescent="0.2">
      <c r="P1332" s="1916"/>
      <c r="Q1332" s="1916"/>
    </row>
    <row r="1333" spans="16:17" x14ac:dyDescent="0.2">
      <c r="P1333" s="1916"/>
      <c r="Q1333" s="1916"/>
    </row>
    <row r="1334" spans="16:17" x14ac:dyDescent="0.2">
      <c r="P1334" s="1916"/>
      <c r="Q1334" s="1916"/>
    </row>
    <row r="1335" spans="16:17" x14ac:dyDescent="0.2">
      <c r="P1335" s="1916"/>
      <c r="Q1335" s="1916"/>
    </row>
    <row r="1336" spans="16:17" x14ac:dyDescent="0.2">
      <c r="P1336" s="1916"/>
      <c r="Q1336" s="1916"/>
    </row>
    <row r="1337" spans="16:17" x14ac:dyDescent="0.2">
      <c r="P1337" s="1916"/>
      <c r="Q1337" s="1916"/>
    </row>
    <row r="1338" spans="16:17" x14ac:dyDescent="0.2">
      <c r="P1338" s="1916"/>
      <c r="Q1338" s="1916"/>
    </row>
    <row r="1339" spans="16:17" x14ac:dyDescent="0.2">
      <c r="P1339" s="1916"/>
      <c r="Q1339" s="1916"/>
    </row>
    <row r="1340" spans="16:17" x14ac:dyDescent="0.2">
      <c r="P1340" s="1916"/>
      <c r="Q1340" s="1916"/>
    </row>
    <row r="1341" spans="16:17" x14ac:dyDescent="0.2">
      <c r="P1341" s="1916"/>
      <c r="Q1341" s="1916"/>
    </row>
    <row r="1342" spans="16:17" x14ac:dyDescent="0.2">
      <c r="P1342" s="1916"/>
      <c r="Q1342" s="1916"/>
    </row>
    <row r="1343" spans="16:17" x14ac:dyDescent="0.2">
      <c r="P1343" s="1916"/>
      <c r="Q1343" s="1916"/>
    </row>
    <row r="1344" spans="16:17" x14ac:dyDescent="0.2">
      <c r="P1344" s="1916"/>
      <c r="Q1344" s="1916"/>
    </row>
    <row r="1345" spans="16:17" x14ac:dyDescent="0.2">
      <c r="P1345" s="1916"/>
      <c r="Q1345" s="1916"/>
    </row>
    <row r="1346" spans="16:17" x14ac:dyDescent="0.2">
      <c r="P1346" s="1916"/>
      <c r="Q1346" s="1916"/>
    </row>
    <row r="1347" spans="16:17" x14ac:dyDescent="0.2">
      <c r="P1347" s="1916"/>
      <c r="Q1347" s="1916"/>
    </row>
    <row r="1348" spans="16:17" x14ac:dyDescent="0.2">
      <c r="P1348" s="1916"/>
      <c r="Q1348" s="1916"/>
    </row>
    <row r="1349" spans="16:17" x14ac:dyDescent="0.2">
      <c r="P1349" s="1916"/>
      <c r="Q1349" s="1916"/>
    </row>
    <row r="1350" spans="16:17" x14ac:dyDescent="0.2">
      <c r="P1350" s="1916"/>
      <c r="Q1350" s="1916"/>
    </row>
    <row r="1351" spans="16:17" x14ac:dyDescent="0.2">
      <c r="P1351" s="1916"/>
      <c r="Q1351" s="1916"/>
    </row>
    <row r="1352" spans="16:17" x14ac:dyDescent="0.2">
      <c r="P1352" s="1916"/>
      <c r="Q1352" s="1916"/>
    </row>
    <row r="1353" spans="16:17" x14ac:dyDescent="0.2">
      <c r="P1353" s="1916"/>
      <c r="Q1353" s="1916"/>
    </row>
    <row r="1354" spans="16:17" x14ac:dyDescent="0.2">
      <c r="P1354" s="1916"/>
      <c r="Q1354" s="1916"/>
    </row>
    <row r="1355" spans="16:17" x14ac:dyDescent="0.2">
      <c r="P1355" s="1916"/>
      <c r="Q1355" s="1916"/>
    </row>
    <row r="1356" spans="16:17" x14ac:dyDescent="0.2">
      <c r="P1356" s="1916"/>
      <c r="Q1356" s="1916"/>
    </row>
    <row r="1357" spans="16:17" x14ac:dyDescent="0.2">
      <c r="P1357" s="1916"/>
      <c r="Q1357" s="1916"/>
    </row>
    <row r="1358" spans="16:17" x14ac:dyDescent="0.2">
      <c r="P1358" s="1916"/>
      <c r="Q1358" s="1916"/>
    </row>
    <row r="1359" spans="16:17" x14ac:dyDescent="0.2">
      <c r="P1359" s="1916"/>
      <c r="Q1359" s="1916"/>
    </row>
    <row r="1360" spans="16:17" x14ac:dyDescent="0.2">
      <c r="P1360" s="1916"/>
      <c r="Q1360" s="1916"/>
    </row>
    <row r="1361" spans="16:17" x14ac:dyDescent="0.2">
      <c r="P1361" s="1916"/>
      <c r="Q1361" s="1916"/>
    </row>
    <row r="1362" spans="16:17" x14ac:dyDescent="0.2">
      <c r="P1362" s="1916"/>
      <c r="Q1362" s="1916"/>
    </row>
    <row r="1363" spans="16:17" x14ac:dyDescent="0.2">
      <c r="P1363" s="1916"/>
      <c r="Q1363" s="1916"/>
    </row>
    <row r="1364" spans="16:17" x14ac:dyDescent="0.2">
      <c r="P1364" s="1916"/>
      <c r="Q1364" s="1916"/>
    </row>
    <row r="1365" spans="16:17" x14ac:dyDescent="0.2">
      <c r="P1365" s="1916"/>
      <c r="Q1365" s="1916"/>
    </row>
    <row r="1366" spans="16:17" x14ac:dyDescent="0.2">
      <c r="P1366" s="1916"/>
      <c r="Q1366" s="1916"/>
    </row>
    <row r="1367" spans="16:17" x14ac:dyDescent="0.2">
      <c r="P1367" s="1916"/>
      <c r="Q1367" s="1916"/>
    </row>
    <row r="1368" spans="16:17" x14ac:dyDescent="0.2">
      <c r="P1368" s="1916"/>
      <c r="Q1368" s="1916"/>
    </row>
    <row r="1369" spans="16:17" x14ac:dyDescent="0.2">
      <c r="P1369" s="1916"/>
      <c r="Q1369" s="1916"/>
    </row>
    <row r="1370" spans="16:17" x14ac:dyDescent="0.2">
      <c r="P1370" s="1916"/>
      <c r="Q1370" s="1916"/>
    </row>
    <row r="1371" spans="16:17" x14ac:dyDescent="0.2">
      <c r="P1371" s="1916"/>
      <c r="Q1371" s="1916"/>
    </row>
    <row r="1372" spans="16:17" x14ac:dyDescent="0.2">
      <c r="P1372" s="1916"/>
      <c r="Q1372" s="1916"/>
    </row>
    <row r="1373" spans="16:17" x14ac:dyDescent="0.2">
      <c r="P1373" s="1916"/>
      <c r="Q1373" s="1916"/>
    </row>
    <row r="1374" spans="16:17" x14ac:dyDescent="0.2">
      <c r="P1374" s="1916"/>
      <c r="Q1374" s="1916"/>
    </row>
    <row r="1375" spans="16:17" x14ac:dyDescent="0.2">
      <c r="P1375" s="1916"/>
      <c r="Q1375" s="1916"/>
    </row>
    <row r="1376" spans="16:17" x14ac:dyDescent="0.2">
      <c r="P1376" s="1916"/>
      <c r="Q1376" s="1916"/>
    </row>
    <row r="1377" spans="16:17" x14ac:dyDescent="0.2">
      <c r="P1377" s="1916"/>
      <c r="Q1377" s="1916"/>
    </row>
    <row r="1378" spans="16:17" x14ac:dyDescent="0.2">
      <c r="P1378" s="1916"/>
      <c r="Q1378" s="1916"/>
    </row>
    <row r="1379" spans="16:17" x14ac:dyDescent="0.2">
      <c r="P1379" s="1916"/>
      <c r="Q1379" s="1916"/>
    </row>
    <row r="1380" spans="16:17" x14ac:dyDescent="0.2">
      <c r="P1380" s="1916"/>
      <c r="Q1380" s="1916"/>
    </row>
    <row r="1381" spans="16:17" x14ac:dyDescent="0.2">
      <c r="P1381" s="1916"/>
      <c r="Q1381" s="1916"/>
    </row>
    <row r="1382" spans="16:17" x14ac:dyDescent="0.2">
      <c r="P1382" s="1916"/>
      <c r="Q1382" s="1916"/>
    </row>
    <row r="1383" spans="16:17" x14ac:dyDescent="0.2">
      <c r="P1383" s="1916"/>
      <c r="Q1383" s="1916"/>
    </row>
    <row r="1384" spans="16:17" x14ac:dyDescent="0.2">
      <c r="P1384" s="1916"/>
      <c r="Q1384" s="1916"/>
    </row>
    <row r="1385" spans="16:17" x14ac:dyDescent="0.2">
      <c r="P1385" s="1916"/>
      <c r="Q1385" s="1916"/>
    </row>
    <row r="1386" spans="16:17" x14ac:dyDescent="0.2">
      <c r="P1386" s="1916"/>
      <c r="Q1386" s="1916"/>
    </row>
    <row r="1387" spans="16:17" x14ac:dyDescent="0.2">
      <c r="P1387" s="1916"/>
      <c r="Q1387" s="1916"/>
    </row>
    <row r="1388" spans="16:17" x14ac:dyDescent="0.2">
      <c r="P1388" s="1916"/>
      <c r="Q1388" s="1916"/>
    </row>
    <row r="1389" spans="16:17" x14ac:dyDescent="0.2">
      <c r="P1389" s="1916"/>
      <c r="Q1389" s="1916"/>
    </row>
    <row r="1390" spans="16:17" x14ac:dyDescent="0.2">
      <c r="P1390" s="1916"/>
      <c r="Q1390" s="1916"/>
    </row>
    <row r="1391" spans="16:17" x14ac:dyDescent="0.2">
      <c r="P1391" s="1916"/>
      <c r="Q1391" s="1916"/>
    </row>
    <row r="1392" spans="16:17" x14ac:dyDescent="0.2">
      <c r="P1392" s="1916"/>
      <c r="Q1392" s="1916"/>
    </row>
    <row r="1393" spans="16:17" x14ac:dyDescent="0.2">
      <c r="P1393" s="1916"/>
      <c r="Q1393" s="1916"/>
    </row>
    <row r="1394" spans="16:17" x14ac:dyDescent="0.2">
      <c r="P1394" s="1916"/>
      <c r="Q1394" s="1916"/>
    </row>
    <row r="1395" spans="16:17" x14ac:dyDescent="0.2">
      <c r="P1395" s="1916"/>
      <c r="Q1395" s="1916"/>
    </row>
    <row r="1396" spans="16:17" x14ac:dyDescent="0.2">
      <c r="P1396" s="1916"/>
      <c r="Q1396" s="1916"/>
    </row>
    <row r="1397" spans="16:17" x14ac:dyDescent="0.2">
      <c r="P1397" s="1916"/>
      <c r="Q1397" s="1916"/>
    </row>
    <row r="1398" spans="16:17" x14ac:dyDescent="0.2">
      <c r="P1398" s="1916"/>
      <c r="Q1398" s="1916"/>
    </row>
    <row r="1399" spans="16:17" x14ac:dyDescent="0.2">
      <c r="P1399" s="1916"/>
      <c r="Q1399" s="1916"/>
    </row>
    <row r="1400" spans="16:17" x14ac:dyDescent="0.2">
      <c r="P1400" s="1916"/>
      <c r="Q1400" s="1916"/>
    </row>
    <row r="1401" spans="16:17" x14ac:dyDescent="0.2">
      <c r="P1401" s="1916"/>
      <c r="Q1401" s="1916"/>
    </row>
    <row r="1402" spans="16:17" x14ac:dyDescent="0.2">
      <c r="P1402" s="1916"/>
      <c r="Q1402" s="1916"/>
    </row>
    <row r="1403" spans="16:17" x14ac:dyDescent="0.2">
      <c r="P1403" s="1916"/>
      <c r="Q1403" s="1916"/>
    </row>
    <row r="1404" spans="16:17" x14ac:dyDescent="0.2">
      <c r="P1404" s="1916"/>
      <c r="Q1404" s="1916"/>
    </row>
    <row r="1405" spans="16:17" x14ac:dyDescent="0.2">
      <c r="P1405" s="1916"/>
      <c r="Q1405" s="1916"/>
    </row>
    <row r="1406" spans="16:17" x14ac:dyDescent="0.2">
      <c r="P1406" s="1916"/>
      <c r="Q1406" s="1916"/>
    </row>
    <row r="1407" spans="16:17" x14ac:dyDescent="0.2">
      <c r="P1407" s="1916"/>
      <c r="Q1407" s="1916"/>
    </row>
    <row r="1408" spans="16:17" x14ac:dyDescent="0.2">
      <c r="P1408" s="1916"/>
      <c r="Q1408" s="1916"/>
    </row>
    <row r="1409" spans="16:17" x14ac:dyDescent="0.2">
      <c r="P1409" s="1916"/>
      <c r="Q1409" s="1916"/>
    </row>
    <row r="1410" spans="16:17" x14ac:dyDescent="0.2">
      <c r="P1410" s="1916"/>
      <c r="Q1410" s="1916"/>
    </row>
    <row r="1411" spans="16:17" x14ac:dyDescent="0.2">
      <c r="P1411" s="1916"/>
      <c r="Q1411" s="1916"/>
    </row>
    <row r="1412" spans="16:17" x14ac:dyDescent="0.2">
      <c r="P1412" s="1916"/>
      <c r="Q1412" s="1916"/>
    </row>
    <row r="1413" spans="16:17" x14ac:dyDescent="0.2">
      <c r="P1413" s="1916"/>
      <c r="Q1413" s="1916"/>
    </row>
    <row r="1414" spans="16:17" x14ac:dyDescent="0.2">
      <c r="P1414" s="1916"/>
      <c r="Q1414" s="1916"/>
    </row>
    <row r="1415" spans="16:17" x14ac:dyDescent="0.2">
      <c r="P1415" s="1916"/>
      <c r="Q1415" s="1916"/>
    </row>
    <row r="1416" spans="16:17" x14ac:dyDescent="0.2">
      <c r="P1416" s="1916"/>
      <c r="Q1416" s="1916"/>
    </row>
    <row r="1417" spans="16:17" x14ac:dyDescent="0.2">
      <c r="P1417" s="1916"/>
      <c r="Q1417" s="1916"/>
    </row>
    <row r="1418" spans="16:17" x14ac:dyDescent="0.2">
      <c r="P1418" s="1916"/>
      <c r="Q1418" s="1916"/>
    </row>
    <row r="1419" spans="16:17" x14ac:dyDescent="0.2">
      <c r="P1419" s="1916"/>
      <c r="Q1419" s="1916"/>
    </row>
    <row r="1420" spans="16:17" x14ac:dyDescent="0.2">
      <c r="P1420" s="1916"/>
      <c r="Q1420" s="1916"/>
    </row>
    <row r="1421" spans="16:17" x14ac:dyDescent="0.2">
      <c r="P1421" s="1916"/>
      <c r="Q1421" s="1916"/>
    </row>
    <row r="1422" spans="16:17" x14ac:dyDescent="0.2">
      <c r="P1422" s="1916"/>
      <c r="Q1422" s="1916"/>
    </row>
    <row r="1423" spans="16:17" x14ac:dyDescent="0.2">
      <c r="P1423" s="1916"/>
      <c r="Q1423" s="1916"/>
    </row>
    <row r="1424" spans="16:17" x14ac:dyDescent="0.2">
      <c r="P1424" s="1916"/>
      <c r="Q1424" s="1916"/>
    </row>
    <row r="1425" spans="16:17" x14ac:dyDescent="0.2">
      <c r="P1425" s="1916"/>
      <c r="Q1425" s="1916"/>
    </row>
    <row r="1426" spans="16:17" x14ac:dyDescent="0.2">
      <c r="P1426" s="1916"/>
      <c r="Q1426" s="1916"/>
    </row>
    <row r="1427" spans="16:17" x14ac:dyDescent="0.2">
      <c r="P1427" s="1916"/>
      <c r="Q1427" s="1916"/>
    </row>
    <row r="1428" spans="16:17" x14ac:dyDescent="0.2">
      <c r="P1428" s="1916"/>
      <c r="Q1428" s="1916"/>
    </row>
    <row r="1429" spans="16:17" x14ac:dyDescent="0.2">
      <c r="P1429" s="1916"/>
      <c r="Q1429" s="1916"/>
    </row>
    <row r="1430" spans="16:17" x14ac:dyDescent="0.2">
      <c r="P1430" s="1916"/>
      <c r="Q1430" s="1916"/>
    </row>
    <row r="1431" spans="16:17" x14ac:dyDescent="0.2">
      <c r="P1431" s="1916"/>
      <c r="Q1431" s="1916"/>
    </row>
    <row r="1432" spans="16:17" x14ac:dyDescent="0.2">
      <c r="P1432" s="1916"/>
      <c r="Q1432" s="1916"/>
    </row>
    <row r="1433" spans="16:17" x14ac:dyDescent="0.2">
      <c r="P1433" s="1916"/>
      <c r="Q1433" s="1916"/>
    </row>
    <row r="1434" spans="16:17" x14ac:dyDescent="0.2">
      <c r="P1434" s="1916"/>
      <c r="Q1434" s="1916"/>
    </row>
    <row r="1435" spans="16:17" x14ac:dyDescent="0.2">
      <c r="P1435" s="1916"/>
      <c r="Q1435" s="1916"/>
    </row>
    <row r="1436" spans="16:17" x14ac:dyDescent="0.2">
      <c r="P1436" s="1916"/>
      <c r="Q1436" s="1916"/>
    </row>
    <row r="1437" spans="16:17" x14ac:dyDescent="0.2">
      <c r="P1437" s="1916"/>
      <c r="Q1437" s="1916"/>
    </row>
    <row r="1438" spans="16:17" x14ac:dyDescent="0.2">
      <c r="P1438" s="1916"/>
      <c r="Q1438" s="1916"/>
    </row>
    <row r="1439" spans="16:17" x14ac:dyDescent="0.2">
      <c r="P1439" s="1916"/>
      <c r="Q1439" s="1916"/>
    </row>
    <row r="1440" spans="16:17" x14ac:dyDescent="0.2">
      <c r="P1440" s="1916"/>
      <c r="Q1440" s="1916"/>
    </row>
    <row r="1441" spans="16:17" x14ac:dyDescent="0.2">
      <c r="P1441" s="1916"/>
      <c r="Q1441" s="1916"/>
    </row>
    <row r="1442" spans="16:17" x14ac:dyDescent="0.2">
      <c r="P1442" s="1916"/>
      <c r="Q1442" s="1916"/>
    </row>
    <row r="1443" spans="16:17" x14ac:dyDescent="0.2">
      <c r="P1443" s="1916"/>
      <c r="Q1443" s="1916"/>
    </row>
    <row r="1444" spans="16:17" x14ac:dyDescent="0.2">
      <c r="P1444" s="1916"/>
      <c r="Q1444" s="1916"/>
    </row>
    <row r="1445" spans="16:17" x14ac:dyDescent="0.2">
      <c r="P1445" s="1916"/>
      <c r="Q1445" s="1916"/>
    </row>
    <row r="1446" spans="16:17" x14ac:dyDescent="0.2">
      <c r="P1446" s="1916"/>
      <c r="Q1446" s="1916"/>
    </row>
    <row r="1447" spans="16:17" x14ac:dyDescent="0.2">
      <c r="P1447" s="1916"/>
      <c r="Q1447" s="1916"/>
    </row>
    <row r="1448" spans="16:17" x14ac:dyDescent="0.2">
      <c r="P1448" s="1916"/>
      <c r="Q1448" s="1916"/>
    </row>
    <row r="1449" spans="16:17" x14ac:dyDescent="0.2">
      <c r="P1449" s="1916"/>
      <c r="Q1449" s="1916"/>
    </row>
    <row r="1450" spans="16:17" x14ac:dyDescent="0.2">
      <c r="P1450" s="1916"/>
      <c r="Q1450" s="1916"/>
    </row>
    <row r="1451" spans="16:17" x14ac:dyDescent="0.2">
      <c r="P1451" s="1916"/>
      <c r="Q1451" s="1916"/>
    </row>
    <row r="1452" spans="16:17" x14ac:dyDescent="0.2">
      <c r="P1452" s="1916"/>
      <c r="Q1452" s="1916"/>
    </row>
    <row r="1453" spans="16:17" x14ac:dyDescent="0.2">
      <c r="P1453" s="1916"/>
      <c r="Q1453" s="1916"/>
    </row>
    <row r="1454" spans="16:17" x14ac:dyDescent="0.2">
      <c r="P1454" s="1916"/>
      <c r="Q1454" s="1916"/>
    </row>
    <row r="1455" spans="16:17" x14ac:dyDescent="0.2">
      <c r="P1455" s="1916"/>
      <c r="Q1455" s="1916"/>
    </row>
    <row r="1456" spans="16:17" x14ac:dyDescent="0.2">
      <c r="P1456" s="1916"/>
      <c r="Q1456" s="1916"/>
    </row>
    <row r="1457" spans="16:17" x14ac:dyDescent="0.2">
      <c r="P1457" s="1916"/>
      <c r="Q1457" s="1916"/>
    </row>
    <row r="1458" spans="16:17" x14ac:dyDescent="0.2">
      <c r="P1458" s="1916"/>
      <c r="Q1458" s="1916"/>
    </row>
    <row r="1459" spans="16:17" x14ac:dyDescent="0.2">
      <c r="P1459" s="1916"/>
      <c r="Q1459" s="1916"/>
    </row>
    <row r="1460" spans="16:17" x14ac:dyDescent="0.2">
      <c r="P1460" s="1916"/>
      <c r="Q1460" s="1916"/>
    </row>
    <row r="1461" spans="16:17" x14ac:dyDescent="0.2">
      <c r="P1461" s="1916"/>
      <c r="Q1461" s="1916"/>
    </row>
    <row r="1462" spans="16:17" x14ac:dyDescent="0.2">
      <c r="P1462" s="1916"/>
      <c r="Q1462" s="1916"/>
    </row>
    <row r="1463" spans="16:17" x14ac:dyDescent="0.2">
      <c r="P1463" s="1916"/>
      <c r="Q1463" s="1916"/>
    </row>
    <row r="1464" spans="16:17" x14ac:dyDescent="0.2">
      <c r="P1464" s="1916"/>
      <c r="Q1464" s="1916"/>
    </row>
    <row r="1465" spans="16:17" x14ac:dyDescent="0.2">
      <c r="P1465" s="1916"/>
      <c r="Q1465" s="1916"/>
    </row>
    <row r="1466" spans="16:17" x14ac:dyDescent="0.2">
      <c r="P1466" s="1916"/>
      <c r="Q1466" s="1916"/>
    </row>
    <row r="1467" spans="16:17" x14ac:dyDescent="0.2">
      <c r="P1467" s="1916"/>
      <c r="Q1467" s="1916"/>
    </row>
    <row r="1468" spans="16:17" x14ac:dyDescent="0.2">
      <c r="P1468" s="1916"/>
      <c r="Q1468" s="1916"/>
    </row>
    <row r="1469" spans="16:17" x14ac:dyDescent="0.2">
      <c r="P1469" s="1916"/>
      <c r="Q1469" s="1916"/>
    </row>
    <row r="1470" spans="16:17" x14ac:dyDescent="0.2">
      <c r="P1470" s="1916"/>
      <c r="Q1470" s="1916"/>
    </row>
    <row r="1471" spans="16:17" x14ac:dyDescent="0.2">
      <c r="P1471" s="1916"/>
      <c r="Q1471" s="1916"/>
    </row>
    <row r="1472" spans="16:17" x14ac:dyDescent="0.2">
      <c r="P1472" s="1916"/>
      <c r="Q1472" s="1916"/>
    </row>
    <row r="1473" spans="16:17" x14ac:dyDescent="0.2">
      <c r="P1473" s="1916"/>
      <c r="Q1473" s="1916"/>
    </row>
    <row r="1474" spans="16:17" x14ac:dyDescent="0.2">
      <c r="P1474" s="1916"/>
      <c r="Q1474" s="1916"/>
    </row>
    <row r="1475" spans="16:17" x14ac:dyDescent="0.2">
      <c r="P1475" s="1916"/>
      <c r="Q1475" s="1916"/>
    </row>
    <row r="1476" spans="16:17" x14ac:dyDescent="0.2">
      <c r="P1476" s="1916"/>
      <c r="Q1476" s="1916"/>
    </row>
    <row r="1477" spans="16:17" x14ac:dyDescent="0.2">
      <c r="P1477" s="1916"/>
      <c r="Q1477" s="1916"/>
    </row>
    <row r="1478" spans="16:17" x14ac:dyDescent="0.2">
      <c r="P1478" s="1916"/>
      <c r="Q1478" s="1916"/>
    </row>
    <row r="1479" spans="16:17" x14ac:dyDescent="0.2">
      <c r="P1479" s="1916"/>
      <c r="Q1479" s="1916"/>
    </row>
    <row r="1480" spans="16:17" x14ac:dyDescent="0.2">
      <c r="P1480" s="1916"/>
      <c r="Q1480" s="1916"/>
    </row>
    <row r="1481" spans="16:17" x14ac:dyDescent="0.2">
      <c r="P1481" s="1916"/>
      <c r="Q1481" s="1916"/>
    </row>
    <row r="1482" spans="16:17" x14ac:dyDescent="0.2">
      <c r="P1482" s="1916"/>
      <c r="Q1482" s="1916"/>
    </row>
    <row r="1483" spans="16:17" x14ac:dyDescent="0.2">
      <c r="P1483" s="1916"/>
      <c r="Q1483" s="1916"/>
    </row>
    <row r="1484" spans="16:17" x14ac:dyDescent="0.2">
      <c r="P1484" s="1916"/>
      <c r="Q1484" s="1916"/>
    </row>
    <row r="1485" spans="16:17" x14ac:dyDescent="0.2">
      <c r="P1485" s="1916"/>
      <c r="Q1485" s="1916"/>
    </row>
    <row r="1486" spans="16:17" x14ac:dyDescent="0.2">
      <c r="P1486" s="1916"/>
      <c r="Q1486" s="1916"/>
    </row>
    <row r="1487" spans="16:17" x14ac:dyDescent="0.2">
      <c r="P1487" s="1916"/>
      <c r="Q1487" s="1916"/>
    </row>
    <row r="1488" spans="16:17" x14ac:dyDescent="0.2">
      <c r="P1488" s="1916"/>
      <c r="Q1488" s="1916"/>
    </row>
    <row r="1489" spans="16:17" x14ac:dyDescent="0.2">
      <c r="P1489" s="1916"/>
      <c r="Q1489" s="1916"/>
    </row>
    <row r="1490" spans="16:17" x14ac:dyDescent="0.2">
      <c r="P1490" s="1916"/>
      <c r="Q1490" s="1916"/>
    </row>
    <row r="1491" spans="16:17" x14ac:dyDescent="0.2">
      <c r="P1491" s="1916"/>
      <c r="Q1491" s="1916"/>
    </row>
    <row r="1492" spans="16:17" x14ac:dyDescent="0.2">
      <c r="P1492" s="1916"/>
      <c r="Q1492" s="1916"/>
    </row>
    <row r="1493" spans="16:17" x14ac:dyDescent="0.2">
      <c r="P1493" s="1916"/>
      <c r="Q1493" s="1916"/>
    </row>
    <row r="1494" spans="16:17" x14ac:dyDescent="0.2">
      <c r="P1494" s="1916"/>
      <c r="Q1494" s="1916"/>
    </row>
    <row r="1495" spans="16:17" x14ac:dyDescent="0.2">
      <c r="P1495" s="1916"/>
      <c r="Q1495" s="1916"/>
    </row>
    <row r="1496" spans="16:17" x14ac:dyDescent="0.2">
      <c r="P1496" s="1916"/>
      <c r="Q1496" s="1916"/>
    </row>
    <row r="1497" spans="16:17" x14ac:dyDescent="0.2">
      <c r="P1497" s="1916"/>
      <c r="Q1497" s="1916"/>
    </row>
    <row r="1498" spans="16:17" x14ac:dyDescent="0.2">
      <c r="P1498" s="1916"/>
      <c r="Q1498" s="1916"/>
    </row>
    <row r="1499" spans="16:17" x14ac:dyDescent="0.2">
      <c r="P1499" s="1916"/>
      <c r="Q1499" s="1916"/>
    </row>
    <row r="1500" spans="16:17" x14ac:dyDescent="0.2">
      <c r="P1500" s="1916"/>
      <c r="Q1500" s="1916"/>
    </row>
    <row r="1501" spans="16:17" x14ac:dyDescent="0.2">
      <c r="P1501" s="1916"/>
      <c r="Q1501" s="1916"/>
    </row>
    <row r="1502" spans="16:17" x14ac:dyDescent="0.2">
      <c r="P1502" s="1916"/>
      <c r="Q1502" s="1916"/>
    </row>
    <row r="1503" spans="16:17" x14ac:dyDescent="0.2">
      <c r="P1503" s="1916"/>
      <c r="Q1503" s="1916"/>
    </row>
    <row r="1504" spans="16:17" x14ac:dyDescent="0.2">
      <c r="P1504" s="1916"/>
      <c r="Q1504" s="1916"/>
    </row>
    <row r="1505" spans="16:17" x14ac:dyDescent="0.2">
      <c r="P1505" s="1916"/>
      <c r="Q1505" s="1916"/>
    </row>
    <row r="1506" spans="16:17" x14ac:dyDescent="0.2">
      <c r="P1506" s="1916"/>
      <c r="Q1506" s="1916"/>
    </row>
    <row r="1507" spans="16:17" x14ac:dyDescent="0.2">
      <c r="P1507" s="1916"/>
      <c r="Q1507" s="1916"/>
    </row>
    <row r="1508" spans="16:17" x14ac:dyDescent="0.2">
      <c r="P1508" s="1916"/>
      <c r="Q1508" s="1916"/>
    </row>
    <row r="1509" spans="16:17" x14ac:dyDescent="0.2">
      <c r="P1509" s="1916"/>
      <c r="Q1509" s="1916"/>
    </row>
    <row r="1510" spans="16:17" x14ac:dyDescent="0.2">
      <c r="P1510" s="1916"/>
      <c r="Q1510" s="1916"/>
    </row>
    <row r="1511" spans="16:17" x14ac:dyDescent="0.2">
      <c r="P1511" s="1916"/>
      <c r="Q1511" s="1916"/>
    </row>
    <row r="1512" spans="16:17" x14ac:dyDescent="0.2">
      <c r="P1512" s="1916"/>
      <c r="Q1512" s="1916"/>
    </row>
    <row r="1513" spans="16:17" x14ac:dyDescent="0.2">
      <c r="P1513" s="1916"/>
      <c r="Q1513" s="1916"/>
    </row>
    <row r="1514" spans="16:17" x14ac:dyDescent="0.2">
      <c r="P1514" s="1916"/>
      <c r="Q1514" s="1916"/>
    </row>
    <row r="1515" spans="16:17" x14ac:dyDescent="0.2">
      <c r="P1515" s="1916"/>
      <c r="Q1515" s="1916"/>
    </row>
    <row r="1516" spans="16:17" x14ac:dyDescent="0.2">
      <c r="P1516" s="1916"/>
      <c r="Q1516" s="1916"/>
    </row>
    <row r="1517" spans="16:17" x14ac:dyDescent="0.2">
      <c r="P1517" s="1916"/>
      <c r="Q1517" s="1916"/>
    </row>
    <row r="1518" spans="16:17" x14ac:dyDescent="0.2">
      <c r="P1518" s="1916"/>
      <c r="Q1518" s="1916"/>
    </row>
    <row r="1519" spans="16:17" x14ac:dyDescent="0.2">
      <c r="P1519" s="1916"/>
      <c r="Q1519" s="1916"/>
    </row>
    <row r="1520" spans="16:17" x14ac:dyDescent="0.2">
      <c r="P1520" s="1916"/>
      <c r="Q1520" s="1916"/>
    </row>
    <row r="1521" spans="16:17" x14ac:dyDescent="0.2">
      <c r="P1521" s="1916"/>
      <c r="Q1521" s="1916"/>
    </row>
    <row r="1522" spans="16:17" x14ac:dyDescent="0.2">
      <c r="P1522" s="1916"/>
      <c r="Q1522" s="1916"/>
    </row>
    <row r="1523" spans="16:17" x14ac:dyDescent="0.2">
      <c r="P1523" s="1916"/>
      <c r="Q1523" s="1916"/>
    </row>
    <row r="1524" spans="16:17" x14ac:dyDescent="0.2">
      <c r="P1524" s="1916"/>
      <c r="Q1524" s="1916"/>
    </row>
    <row r="1525" spans="16:17" x14ac:dyDescent="0.2">
      <c r="P1525" s="1916"/>
      <c r="Q1525" s="1916"/>
    </row>
    <row r="1526" spans="16:17" x14ac:dyDescent="0.2">
      <c r="P1526" s="1916"/>
      <c r="Q1526" s="1916"/>
    </row>
    <row r="1527" spans="16:17" x14ac:dyDescent="0.2">
      <c r="P1527" s="1916"/>
      <c r="Q1527" s="1916"/>
    </row>
    <row r="1528" spans="16:17" x14ac:dyDescent="0.2">
      <c r="P1528" s="1916"/>
      <c r="Q1528" s="1916"/>
    </row>
    <row r="1529" spans="16:17" x14ac:dyDescent="0.2">
      <c r="P1529" s="1916"/>
      <c r="Q1529" s="1916"/>
    </row>
    <row r="1530" spans="16:17" x14ac:dyDescent="0.2">
      <c r="P1530" s="1916"/>
      <c r="Q1530" s="1916"/>
    </row>
    <row r="1531" spans="16:17" x14ac:dyDescent="0.2">
      <c r="P1531" s="1916"/>
      <c r="Q1531" s="1916"/>
    </row>
    <row r="1532" spans="16:17" x14ac:dyDescent="0.2">
      <c r="P1532" s="1916"/>
      <c r="Q1532" s="1916"/>
    </row>
    <row r="1533" spans="16:17" x14ac:dyDescent="0.2">
      <c r="P1533" s="1916"/>
      <c r="Q1533" s="1916"/>
    </row>
    <row r="1534" spans="16:17" x14ac:dyDescent="0.2">
      <c r="P1534" s="1916"/>
      <c r="Q1534" s="1916"/>
    </row>
    <row r="1535" spans="16:17" x14ac:dyDescent="0.2">
      <c r="P1535" s="1916"/>
      <c r="Q1535" s="1916"/>
    </row>
    <row r="1536" spans="16:17" x14ac:dyDescent="0.2">
      <c r="P1536" s="1916"/>
      <c r="Q1536" s="1916"/>
    </row>
    <row r="1537" spans="16:17" x14ac:dyDescent="0.2">
      <c r="P1537" s="1916"/>
      <c r="Q1537" s="1916"/>
    </row>
    <row r="1538" spans="16:17" x14ac:dyDescent="0.2">
      <c r="P1538" s="1916"/>
      <c r="Q1538" s="1916"/>
    </row>
    <row r="1539" spans="16:17" x14ac:dyDescent="0.2">
      <c r="P1539" s="1916"/>
      <c r="Q1539" s="1916"/>
    </row>
    <row r="1540" spans="16:17" x14ac:dyDescent="0.2">
      <c r="P1540" s="1916"/>
      <c r="Q1540" s="1916"/>
    </row>
    <row r="1541" spans="16:17" x14ac:dyDescent="0.2">
      <c r="P1541" s="1916"/>
      <c r="Q1541" s="1916"/>
    </row>
    <row r="1542" spans="16:17" x14ac:dyDescent="0.2">
      <c r="P1542" s="1916"/>
      <c r="Q1542" s="1916"/>
    </row>
    <row r="1543" spans="16:17" x14ac:dyDescent="0.2">
      <c r="P1543" s="1916"/>
      <c r="Q1543" s="1916"/>
    </row>
    <row r="1544" spans="16:17" x14ac:dyDescent="0.2">
      <c r="P1544" s="1916"/>
      <c r="Q1544" s="1916"/>
    </row>
    <row r="1545" spans="16:17" x14ac:dyDescent="0.2">
      <c r="P1545" s="1916"/>
      <c r="Q1545" s="1916"/>
    </row>
    <row r="1546" spans="16:17" x14ac:dyDescent="0.2">
      <c r="P1546" s="1916"/>
      <c r="Q1546" s="1916"/>
    </row>
    <row r="1547" spans="16:17" x14ac:dyDescent="0.2">
      <c r="P1547" s="1916"/>
      <c r="Q1547" s="1916"/>
    </row>
    <row r="1548" spans="16:17" x14ac:dyDescent="0.2">
      <c r="P1548" s="1916"/>
      <c r="Q1548" s="1916"/>
    </row>
    <row r="1549" spans="16:17" x14ac:dyDescent="0.2">
      <c r="P1549" s="1916"/>
      <c r="Q1549" s="1916"/>
    </row>
    <row r="1550" spans="16:17" x14ac:dyDescent="0.2">
      <c r="P1550" s="1916"/>
      <c r="Q1550" s="1916"/>
    </row>
    <row r="1551" spans="16:17" x14ac:dyDescent="0.2">
      <c r="P1551" s="1916"/>
      <c r="Q1551" s="1916"/>
    </row>
    <row r="1552" spans="16:17" x14ac:dyDescent="0.2">
      <c r="P1552" s="1916"/>
      <c r="Q1552" s="1916"/>
    </row>
    <row r="1553" spans="16:17" x14ac:dyDescent="0.2">
      <c r="P1553" s="1916"/>
      <c r="Q1553" s="1916"/>
    </row>
    <row r="1554" spans="16:17" x14ac:dyDescent="0.2">
      <c r="P1554" s="1916"/>
      <c r="Q1554" s="1916"/>
    </row>
    <row r="1555" spans="16:17" x14ac:dyDescent="0.2">
      <c r="P1555" s="1916"/>
      <c r="Q1555" s="1916"/>
    </row>
    <row r="1556" spans="16:17" x14ac:dyDescent="0.2">
      <c r="P1556" s="1916"/>
      <c r="Q1556" s="1916"/>
    </row>
    <row r="1557" spans="16:17" x14ac:dyDescent="0.2">
      <c r="P1557" s="1916"/>
      <c r="Q1557" s="1916"/>
    </row>
    <row r="1558" spans="16:17" x14ac:dyDescent="0.2">
      <c r="P1558" s="1916"/>
      <c r="Q1558" s="1916"/>
    </row>
    <row r="1559" spans="16:17" x14ac:dyDescent="0.2">
      <c r="P1559" s="1916"/>
      <c r="Q1559" s="1916"/>
    </row>
    <row r="1560" spans="16:17" x14ac:dyDescent="0.2">
      <c r="P1560" s="1916"/>
      <c r="Q1560" s="1916"/>
    </row>
    <row r="1561" spans="16:17" x14ac:dyDescent="0.2">
      <c r="P1561" s="1916"/>
      <c r="Q1561" s="1916"/>
    </row>
    <row r="1562" spans="16:17" x14ac:dyDescent="0.2">
      <c r="P1562" s="1916"/>
      <c r="Q1562" s="1916"/>
    </row>
    <row r="1563" spans="16:17" x14ac:dyDescent="0.2">
      <c r="P1563" s="1916"/>
      <c r="Q1563" s="1916"/>
    </row>
    <row r="1564" spans="16:17" x14ac:dyDescent="0.2">
      <c r="P1564" s="1916"/>
      <c r="Q1564" s="1916"/>
    </row>
    <row r="1565" spans="16:17" x14ac:dyDescent="0.2">
      <c r="P1565" s="1916"/>
      <c r="Q1565" s="1916"/>
    </row>
    <row r="1566" spans="16:17" x14ac:dyDescent="0.2">
      <c r="P1566" s="1916"/>
      <c r="Q1566" s="1916"/>
    </row>
    <row r="1567" spans="16:17" x14ac:dyDescent="0.2">
      <c r="P1567" s="1916"/>
      <c r="Q1567" s="1916"/>
    </row>
    <row r="1568" spans="16:17" x14ac:dyDescent="0.2">
      <c r="P1568" s="1916"/>
      <c r="Q1568" s="1916"/>
    </row>
    <row r="1569" spans="16:17" x14ac:dyDescent="0.2">
      <c r="P1569" s="1916"/>
      <c r="Q1569" s="1916"/>
    </row>
    <row r="1570" spans="16:17" x14ac:dyDescent="0.2">
      <c r="P1570" s="1916"/>
      <c r="Q1570" s="1916"/>
    </row>
    <row r="1571" spans="16:17" x14ac:dyDescent="0.2">
      <c r="P1571" s="1916"/>
      <c r="Q1571" s="1916"/>
    </row>
    <row r="1572" spans="16:17" x14ac:dyDescent="0.2">
      <c r="P1572" s="1916"/>
      <c r="Q1572" s="1916"/>
    </row>
    <row r="1573" spans="16:17" x14ac:dyDescent="0.2">
      <c r="P1573" s="1916"/>
      <c r="Q1573" s="1916"/>
    </row>
    <row r="1574" spans="16:17" x14ac:dyDescent="0.2">
      <c r="P1574" s="1916"/>
      <c r="Q1574" s="1916"/>
    </row>
    <row r="1575" spans="16:17" x14ac:dyDescent="0.2">
      <c r="P1575" s="1916"/>
      <c r="Q1575" s="1916"/>
    </row>
    <row r="1576" spans="16:17" x14ac:dyDescent="0.2">
      <c r="P1576" s="1916"/>
      <c r="Q1576" s="1916"/>
    </row>
    <row r="1577" spans="16:17" x14ac:dyDescent="0.2">
      <c r="P1577" s="1916"/>
      <c r="Q1577" s="1916"/>
    </row>
    <row r="1578" spans="16:17" x14ac:dyDescent="0.2">
      <c r="P1578" s="1916"/>
      <c r="Q1578" s="1916"/>
    </row>
    <row r="1579" spans="16:17" x14ac:dyDescent="0.2">
      <c r="P1579" s="1916"/>
      <c r="Q1579" s="1916"/>
    </row>
    <row r="1580" spans="16:17" x14ac:dyDescent="0.2">
      <c r="P1580" s="1916"/>
      <c r="Q1580" s="1916"/>
    </row>
    <row r="1581" spans="16:17" x14ac:dyDescent="0.2">
      <c r="P1581" s="1916"/>
      <c r="Q1581" s="1916"/>
    </row>
    <row r="1582" spans="16:17" x14ac:dyDescent="0.2">
      <c r="P1582" s="1916"/>
      <c r="Q1582" s="1916"/>
    </row>
    <row r="1583" spans="16:17" x14ac:dyDescent="0.2">
      <c r="P1583" s="1916"/>
      <c r="Q1583" s="1916"/>
    </row>
    <row r="1584" spans="16:17" x14ac:dyDescent="0.2">
      <c r="P1584" s="1916"/>
      <c r="Q1584" s="1916"/>
    </row>
    <row r="1585" spans="16:17" x14ac:dyDescent="0.2">
      <c r="P1585" s="1916"/>
      <c r="Q1585" s="1916"/>
    </row>
    <row r="1586" spans="16:17" x14ac:dyDescent="0.2">
      <c r="P1586" s="1916"/>
      <c r="Q1586" s="1916"/>
    </row>
    <row r="1587" spans="16:17" x14ac:dyDescent="0.2">
      <c r="P1587" s="1916"/>
      <c r="Q1587" s="1916"/>
    </row>
    <row r="1588" spans="16:17" x14ac:dyDescent="0.2">
      <c r="P1588" s="1916"/>
      <c r="Q1588" s="1916"/>
    </row>
    <row r="1589" spans="16:17" x14ac:dyDescent="0.2">
      <c r="P1589" s="1916"/>
      <c r="Q1589" s="1916"/>
    </row>
    <row r="1590" spans="16:17" x14ac:dyDescent="0.2">
      <c r="P1590" s="1916"/>
      <c r="Q1590" s="1916"/>
    </row>
    <row r="1591" spans="16:17" x14ac:dyDescent="0.2">
      <c r="P1591" s="1916"/>
      <c r="Q1591" s="1916"/>
    </row>
    <row r="1592" spans="16:17" x14ac:dyDescent="0.2">
      <c r="P1592" s="1916"/>
      <c r="Q1592" s="1916"/>
    </row>
    <row r="1593" spans="16:17" x14ac:dyDescent="0.2">
      <c r="P1593" s="1916"/>
      <c r="Q1593" s="1916"/>
    </row>
    <row r="1594" spans="16:17" x14ac:dyDescent="0.2">
      <c r="P1594" s="1916"/>
      <c r="Q1594" s="1916"/>
    </row>
    <row r="1595" spans="16:17" x14ac:dyDescent="0.2">
      <c r="P1595" s="1916"/>
      <c r="Q1595" s="1916"/>
    </row>
    <row r="1596" spans="16:17" x14ac:dyDescent="0.2">
      <c r="P1596" s="1916"/>
      <c r="Q1596" s="1916"/>
    </row>
    <row r="1597" spans="16:17" x14ac:dyDescent="0.2">
      <c r="P1597" s="1916"/>
      <c r="Q1597" s="1916"/>
    </row>
    <row r="1598" spans="16:17" x14ac:dyDescent="0.2">
      <c r="P1598" s="1916"/>
      <c r="Q1598" s="1916"/>
    </row>
    <row r="1599" spans="16:17" x14ac:dyDescent="0.2">
      <c r="P1599" s="1916"/>
      <c r="Q1599" s="1916"/>
    </row>
    <row r="1600" spans="16:17" x14ac:dyDescent="0.2">
      <c r="P1600" s="1916"/>
      <c r="Q1600" s="1916"/>
    </row>
    <row r="1601" spans="16:17" x14ac:dyDescent="0.2">
      <c r="P1601" s="1916"/>
      <c r="Q1601" s="1916"/>
    </row>
    <row r="1602" spans="16:17" x14ac:dyDescent="0.2">
      <c r="P1602" s="1916"/>
      <c r="Q1602" s="1916"/>
    </row>
    <row r="1603" spans="16:17" x14ac:dyDescent="0.2">
      <c r="P1603" s="1916"/>
      <c r="Q1603" s="1916"/>
    </row>
    <row r="1604" spans="16:17" x14ac:dyDescent="0.2">
      <c r="P1604" s="1916"/>
      <c r="Q1604" s="1916"/>
    </row>
    <row r="1605" spans="16:17" x14ac:dyDescent="0.2">
      <c r="P1605" s="1916"/>
      <c r="Q1605" s="1916"/>
    </row>
    <row r="1606" spans="16:17" x14ac:dyDescent="0.2">
      <c r="P1606" s="1916"/>
      <c r="Q1606" s="1916"/>
    </row>
    <row r="1607" spans="16:17" x14ac:dyDescent="0.2">
      <c r="P1607" s="1916"/>
      <c r="Q1607" s="1916"/>
    </row>
    <row r="1608" spans="16:17" x14ac:dyDescent="0.2">
      <c r="P1608" s="1916"/>
      <c r="Q1608" s="1916"/>
    </row>
    <row r="1609" spans="16:17" x14ac:dyDescent="0.2">
      <c r="P1609" s="1916"/>
      <c r="Q1609" s="1916"/>
    </row>
    <row r="1610" spans="16:17" x14ac:dyDescent="0.2">
      <c r="P1610" s="1916"/>
      <c r="Q1610" s="1916"/>
    </row>
    <row r="1611" spans="16:17" x14ac:dyDescent="0.2">
      <c r="P1611" s="1916"/>
      <c r="Q1611" s="1916"/>
    </row>
    <row r="1612" spans="16:17" x14ac:dyDescent="0.2">
      <c r="P1612" s="1916"/>
      <c r="Q1612" s="1916"/>
    </row>
    <row r="1613" spans="16:17" x14ac:dyDescent="0.2">
      <c r="P1613" s="1916"/>
      <c r="Q1613" s="1916"/>
    </row>
    <row r="1614" spans="16:17" x14ac:dyDescent="0.2">
      <c r="P1614" s="1916"/>
      <c r="Q1614" s="1916"/>
    </row>
    <row r="1615" spans="16:17" x14ac:dyDescent="0.2">
      <c r="P1615" s="1916"/>
      <c r="Q1615" s="1916"/>
    </row>
    <row r="1616" spans="16:17" x14ac:dyDescent="0.2">
      <c r="P1616" s="1916"/>
      <c r="Q1616" s="1916"/>
    </row>
    <row r="1617" spans="16:17" x14ac:dyDescent="0.2">
      <c r="P1617" s="1916"/>
      <c r="Q1617" s="1916"/>
    </row>
    <row r="1618" spans="16:17" x14ac:dyDescent="0.2">
      <c r="P1618" s="1916"/>
      <c r="Q1618" s="1916"/>
    </row>
    <row r="1619" spans="16:17" x14ac:dyDescent="0.2">
      <c r="P1619" s="1916"/>
      <c r="Q1619" s="1916"/>
    </row>
    <row r="1620" spans="16:17" x14ac:dyDescent="0.2">
      <c r="P1620" s="1916"/>
      <c r="Q1620" s="1916"/>
    </row>
    <row r="1621" spans="16:17" x14ac:dyDescent="0.2">
      <c r="P1621" s="1916"/>
      <c r="Q1621" s="1916"/>
    </row>
    <row r="1622" spans="16:17" x14ac:dyDescent="0.2">
      <c r="P1622" s="1916"/>
      <c r="Q1622" s="1916"/>
    </row>
    <row r="1623" spans="16:17" x14ac:dyDescent="0.2">
      <c r="P1623" s="1916"/>
      <c r="Q1623" s="1916"/>
    </row>
    <row r="1624" spans="16:17" x14ac:dyDescent="0.2">
      <c r="P1624" s="1916"/>
      <c r="Q1624" s="1916"/>
    </row>
    <row r="1625" spans="16:17" x14ac:dyDescent="0.2">
      <c r="P1625" s="1916"/>
      <c r="Q1625" s="1916"/>
    </row>
    <row r="1626" spans="16:17" x14ac:dyDescent="0.2">
      <c r="P1626" s="1916"/>
      <c r="Q1626" s="1916"/>
    </row>
    <row r="1627" spans="16:17" x14ac:dyDescent="0.2">
      <c r="P1627" s="1916"/>
      <c r="Q1627" s="1916"/>
    </row>
    <row r="1628" spans="16:17" x14ac:dyDescent="0.2">
      <c r="P1628" s="1916"/>
      <c r="Q1628" s="1916"/>
    </row>
    <row r="1629" spans="16:17" x14ac:dyDescent="0.2">
      <c r="P1629" s="1916"/>
      <c r="Q1629" s="1916"/>
    </row>
    <row r="1630" spans="16:17" x14ac:dyDescent="0.2">
      <c r="P1630" s="1916"/>
      <c r="Q1630" s="1916"/>
    </row>
    <row r="1631" spans="16:17" x14ac:dyDescent="0.2">
      <c r="P1631" s="1916"/>
      <c r="Q1631" s="1916"/>
    </row>
    <row r="1632" spans="16:17" x14ac:dyDescent="0.2">
      <c r="P1632" s="1916"/>
      <c r="Q1632" s="1916"/>
    </row>
    <row r="1633" spans="16:17" x14ac:dyDescent="0.2">
      <c r="P1633" s="1916"/>
      <c r="Q1633" s="1916"/>
    </row>
    <row r="1634" spans="16:17" x14ac:dyDescent="0.2">
      <c r="P1634" s="1916"/>
      <c r="Q1634" s="1916"/>
    </row>
    <row r="1635" spans="16:17" x14ac:dyDescent="0.2">
      <c r="P1635" s="1916"/>
      <c r="Q1635" s="1916"/>
    </row>
    <row r="1636" spans="16:17" x14ac:dyDescent="0.2">
      <c r="P1636" s="1916"/>
      <c r="Q1636" s="1916"/>
    </row>
    <row r="1637" spans="16:17" x14ac:dyDescent="0.2">
      <c r="P1637" s="1916"/>
      <c r="Q1637" s="1916"/>
    </row>
    <row r="1638" spans="16:17" x14ac:dyDescent="0.2">
      <c r="P1638" s="1916"/>
      <c r="Q1638" s="1916"/>
    </row>
    <row r="1639" spans="16:17" x14ac:dyDescent="0.2">
      <c r="P1639" s="1916"/>
      <c r="Q1639" s="1916"/>
    </row>
    <row r="1640" spans="16:17" x14ac:dyDescent="0.2">
      <c r="P1640" s="1916"/>
      <c r="Q1640" s="1916"/>
    </row>
    <row r="1641" spans="16:17" x14ac:dyDescent="0.2">
      <c r="P1641" s="1916"/>
      <c r="Q1641" s="1916"/>
    </row>
    <row r="1642" spans="16:17" x14ac:dyDescent="0.2">
      <c r="P1642" s="1916"/>
      <c r="Q1642" s="1916"/>
    </row>
    <row r="1643" spans="16:17" x14ac:dyDescent="0.2">
      <c r="P1643" s="1916"/>
      <c r="Q1643" s="1916"/>
    </row>
    <row r="1644" spans="16:17" x14ac:dyDescent="0.2">
      <c r="P1644" s="1916"/>
      <c r="Q1644" s="1916"/>
    </row>
    <row r="1645" spans="16:17" x14ac:dyDescent="0.2">
      <c r="P1645" s="1916"/>
      <c r="Q1645" s="1916"/>
    </row>
    <row r="1646" spans="16:17" x14ac:dyDescent="0.2">
      <c r="P1646" s="1916"/>
      <c r="Q1646" s="1916"/>
    </row>
    <row r="1647" spans="16:17" x14ac:dyDescent="0.2">
      <c r="P1647" s="1916"/>
      <c r="Q1647" s="1916"/>
    </row>
    <row r="1648" spans="16:17" x14ac:dyDescent="0.2">
      <c r="P1648" s="1916"/>
      <c r="Q1648" s="1916"/>
    </row>
    <row r="1649" spans="16:17" x14ac:dyDescent="0.2">
      <c r="P1649" s="1916"/>
      <c r="Q1649" s="1916"/>
    </row>
    <row r="1650" spans="16:17" x14ac:dyDescent="0.2">
      <c r="P1650" s="1916"/>
      <c r="Q1650" s="1916"/>
    </row>
    <row r="1651" spans="16:17" x14ac:dyDescent="0.2">
      <c r="P1651" s="1916"/>
      <c r="Q1651" s="1916"/>
    </row>
    <row r="1652" spans="16:17" x14ac:dyDescent="0.2">
      <c r="P1652" s="1916"/>
      <c r="Q1652" s="1916"/>
    </row>
    <row r="1653" spans="16:17" x14ac:dyDescent="0.2">
      <c r="P1653" s="1916"/>
      <c r="Q1653" s="1916"/>
    </row>
    <row r="1654" spans="16:17" x14ac:dyDescent="0.2">
      <c r="P1654" s="1916"/>
      <c r="Q1654" s="1916"/>
    </row>
    <row r="1655" spans="16:17" x14ac:dyDescent="0.2">
      <c r="P1655" s="1916"/>
      <c r="Q1655" s="1916"/>
    </row>
    <row r="1656" spans="16:17" x14ac:dyDescent="0.2">
      <c r="P1656" s="1916"/>
      <c r="Q1656" s="1916"/>
    </row>
    <row r="1657" spans="16:17" x14ac:dyDescent="0.2">
      <c r="P1657" s="1916"/>
      <c r="Q1657" s="1916"/>
    </row>
    <row r="1658" spans="16:17" x14ac:dyDescent="0.2">
      <c r="P1658" s="1916"/>
      <c r="Q1658" s="1916"/>
    </row>
    <row r="1659" spans="16:17" x14ac:dyDescent="0.2">
      <c r="P1659" s="1916"/>
      <c r="Q1659" s="1916"/>
    </row>
    <row r="1660" spans="16:17" x14ac:dyDescent="0.2">
      <c r="P1660" s="1916"/>
      <c r="Q1660" s="1916"/>
    </row>
    <row r="1661" spans="16:17" x14ac:dyDescent="0.2">
      <c r="P1661" s="1916"/>
      <c r="Q1661" s="1916"/>
    </row>
    <row r="1662" spans="16:17" x14ac:dyDescent="0.2">
      <c r="P1662" s="1916"/>
      <c r="Q1662" s="1916"/>
    </row>
    <row r="1663" spans="16:17" x14ac:dyDescent="0.2">
      <c r="P1663" s="1916"/>
      <c r="Q1663" s="1916"/>
    </row>
    <row r="1664" spans="16:17" x14ac:dyDescent="0.2">
      <c r="P1664" s="1916"/>
      <c r="Q1664" s="1916"/>
    </row>
    <row r="1665" spans="16:17" x14ac:dyDescent="0.2">
      <c r="P1665" s="1916"/>
      <c r="Q1665" s="1916"/>
    </row>
    <row r="1666" spans="16:17" x14ac:dyDescent="0.2">
      <c r="P1666" s="1916"/>
      <c r="Q1666" s="1916"/>
    </row>
    <row r="1667" spans="16:17" x14ac:dyDescent="0.2">
      <c r="P1667" s="1916"/>
      <c r="Q1667" s="1916"/>
    </row>
    <row r="1668" spans="16:17" x14ac:dyDescent="0.2">
      <c r="P1668" s="1916"/>
      <c r="Q1668" s="1916"/>
    </row>
    <row r="1669" spans="16:17" x14ac:dyDescent="0.2">
      <c r="P1669" s="1916"/>
      <c r="Q1669" s="1916"/>
    </row>
    <row r="1670" spans="16:17" x14ac:dyDescent="0.2">
      <c r="P1670" s="1916"/>
      <c r="Q1670" s="1916"/>
    </row>
    <row r="1671" spans="16:17" x14ac:dyDescent="0.2">
      <c r="P1671" s="1916"/>
      <c r="Q1671" s="1916"/>
    </row>
    <row r="1672" spans="16:17" x14ac:dyDescent="0.2">
      <c r="P1672" s="1916"/>
      <c r="Q1672" s="1916"/>
    </row>
    <row r="1673" spans="16:17" x14ac:dyDescent="0.2">
      <c r="P1673" s="1916"/>
      <c r="Q1673" s="1916"/>
    </row>
    <row r="1674" spans="16:17" x14ac:dyDescent="0.2">
      <c r="P1674" s="1916"/>
      <c r="Q1674" s="1916"/>
    </row>
    <row r="1675" spans="16:17" x14ac:dyDescent="0.2">
      <c r="P1675" s="1916"/>
      <c r="Q1675" s="1916"/>
    </row>
    <row r="1676" spans="16:17" x14ac:dyDescent="0.2">
      <c r="P1676" s="1916"/>
      <c r="Q1676" s="1916"/>
    </row>
    <row r="1677" spans="16:17" x14ac:dyDescent="0.2">
      <c r="P1677" s="1916"/>
      <c r="Q1677" s="1916"/>
    </row>
    <row r="1678" spans="16:17" x14ac:dyDescent="0.2">
      <c r="P1678" s="1916"/>
      <c r="Q1678" s="1916"/>
    </row>
    <row r="1679" spans="16:17" x14ac:dyDescent="0.2">
      <c r="P1679" s="1916"/>
      <c r="Q1679" s="1916"/>
    </row>
    <row r="1680" spans="16:17" x14ac:dyDescent="0.2">
      <c r="P1680" s="1916"/>
      <c r="Q1680" s="1916"/>
    </row>
    <row r="1681" spans="16:17" x14ac:dyDescent="0.2">
      <c r="P1681" s="1916"/>
      <c r="Q1681" s="1916"/>
    </row>
    <row r="1682" spans="16:17" x14ac:dyDescent="0.2">
      <c r="P1682" s="1916"/>
      <c r="Q1682" s="1916"/>
    </row>
    <row r="1683" spans="16:17" x14ac:dyDescent="0.2">
      <c r="P1683" s="1916"/>
      <c r="Q1683" s="1916"/>
    </row>
    <row r="1684" spans="16:17" x14ac:dyDescent="0.2">
      <c r="P1684" s="1916"/>
      <c r="Q1684" s="1916"/>
    </row>
    <row r="1685" spans="16:17" x14ac:dyDescent="0.2">
      <c r="P1685" s="1916"/>
      <c r="Q1685" s="1916"/>
    </row>
    <row r="1686" spans="16:17" x14ac:dyDescent="0.2">
      <c r="P1686" s="1916"/>
      <c r="Q1686" s="1916"/>
    </row>
    <row r="1687" spans="16:17" x14ac:dyDescent="0.2">
      <c r="P1687" s="1916"/>
      <c r="Q1687" s="1916"/>
    </row>
    <row r="1688" spans="16:17" x14ac:dyDescent="0.2">
      <c r="P1688" s="1916"/>
      <c r="Q1688" s="1916"/>
    </row>
  </sheetData>
  <mergeCells count="18">
    <mergeCell ref="X143:Z143"/>
    <mergeCell ref="M200:S200"/>
    <mergeCell ref="A270:C270"/>
    <mergeCell ref="M178:S178"/>
    <mergeCell ref="A221:C221"/>
    <mergeCell ref="A251:C251"/>
    <mergeCell ref="A158:C158"/>
    <mergeCell ref="M81:S81"/>
    <mergeCell ref="A121:C121"/>
    <mergeCell ref="M131:S131"/>
    <mergeCell ref="A136:C136"/>
    <mergeCell ref="M144:S144"/>
    <mergeCell ref="A69:C69"/>
    <mergeCell ref="A5:E5"/>
    <mergeCell ref="A32:C32"/>
    <mergeCell ref="M35:S35"/>
    <mergeCell ref="A2:T2"/>
    <mergeCell ref="M5:T5"/>
  </mergeCells>
  <phoneticPr fontId="43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83" firstPageNumber="0" fitToHeight="0" orientation="portrait" r:id="rId1"/>
  <headerFooter alignWithMargins="0">
    <oddFooter>&amp;CStrana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Normal="100" workbookViewId="0">
      <selection activeCell="L40" sqref="L40"/>
    </sheetView>
  </sheetViews>
  <sheetFormatPr defaultRowHeight="12.75" x14ac:dyDescent="0.2"/>
  <cols>
    <col min="1" max="1" width="3.5703125" style="95" customWidth="1"/>
    <col min="2" max="2" width="4.140625" style="1" customWidth="1"/>
    <col min="4" max="4" width="3.42578125" customWidth="1"/>
    <col min="5" max="5" width="31.140625" customWidth="1"/>
    <col min="6" max="6" width="11.85546875" style="96" customWidth="1"/>
    <col min="7" max="7" width="0" style="97" hidden="1" customWidth="1"/>
    <col min="8" max="9" width="9.140625" style="97"/>
    <col min="10" max="10" width="9.7109375" style="97" bestFit="1" customWidth="1"/>
    <col min="11" max="11" width="9.140625" style="97"/>
    <col min="12" max="12" width="8.42578125" style="98" customWidth="1"/>
    <col min="13" max="14" width="8.42578125" customWidth="1"/>
  </cols>
  <sheetData>
    <row r="1" spans="1:14" ht="15.75" x14ac:dyDescent="0.25">
      <c r="B1" s="99" t="s">
        <v>161</v>
      </c>
      <c r="E1" s="99" t="s">
        <v>162</v>
      </c>
      <c r="G1" s="100" t="e">
        <f>#REF!-G7</f>
        <v>#REF!</v>
      </c>
      <c r="H1" s="100"/>
      <c r="I1" s="100"/>
      <c r="J1" s="100"/>
      <c r="K1" s="100"/>
      <c r="L1" s="101"/>
      <c r="M1" s="101"/>
      <c r="N1" s="101"/>
    </row>
    <row r="2" spans="1:14" ht="13.5" thickBot="1" x14ac:dyDescent="0.25">
      <c r="A2" s="102"/>
      <c r="B2" s="103"/>
      <c r="C2" s="104"/>
      <c r="D2" s="104"/>
      <c r="E2" s="105"/>
      <c r="F2" s="106"/>
      <c r="G2" s="100" t="e">
        <f>SUM(G8:G10)</f>
        <v>#REF!</v>
      </c>
      <c r="H2" s="100"/>
      <c r="I2" s="100"/>
      <c r="J2" s="100"/>
      <c r="K2" s="100"/>
      <c r="L2" s="107">
        <f>SUM(L8:L10)</f>
        <v>571353.4</v>
      </c>
      <c r="M2" s="107">
        <f>SUM(M8:M10)</f>
        <v>511934</v>
      </c>
      <c r="N2" s="107">
        <f>SUM(N8:N10)</f>
        <v>499234</v>
      </c>
    </row>
    <row r="3" spans="1:14" ht="16.5" customHeight="1" thickBot="1" x14ac:dyDescent="0.3">
      <c r="A3" s="108"/>
      <c r="B3" s="109"/>
      <c r="C3" s="110"/>
      <c r="D3" s="110"/>
      <c r="E3" s="111"/>
      <c r="F3" s="112"/>
      <c r="G3" s="2302" t="s">
        <v>163</v>
      </c>
      <c r="H3" s="2302"/>
      <c r="I3" s="2302"/>
      <c r="J3" s="2302"/>
      <c r="K3" s="2302"/>
      <c r="L3" s="2303"/>
      <c r="M3" s="2302"/>
      <c r="N3" s="2302"/>
    </row>
    <row r="4" spans="1:14" ht="12" customHeight="1" thickBot="1" x14ac:dyDescent="0.25">
      <c r="A4" s="113"/>
      <c r="B4" s="114" t="s">
        <v>164</v>
      </c>
      <c r="C4" s="115" t="s">
        <v>165</v>
      </c>
      <c r="D4" s="2304" t="s">
        <v>166</v>
      </c>
      <c r="E4" s="2304"/>
      <c r="F4" s="2304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2" customHeight="1" x14ac:dyDescent="0.2">
      <c r="A5" s="113"/>
      <c r="B5" s="114" t="s">
        <v>167</v>
      </c>
      <c r="C5" s="115" t="s">
        <v>168</v>
      </c>
      <c r="D5" s="2304"/>
      <c r="E5" s="2304"/>
      <c r="F5" s="2304"/>
      <c r="G5" s="118" t="s">
        <v>169</v>
      </c>
      <c r="H5" s="253" t="s">
        <v>170</v>
      </c>
      <c r="I5" s="119" t="s">
        <v>170</v>
      </c>
      <c r="J5" s="119" t="s">
        <v>170</v>
      </c>
      <c r="K5" s="372" t="s">
        <v>170</v>
      </c>
      <c r="L5" s="908" t="s">
        <v>170</v>
      </c>
      <c r="M5" s="120" t="s">
        <v>171</v>
      </c>
      <c r="N5" s="120" t="s">
        <v>171</v>
      </c>
    </row>
    <row r="6" spans="1:14" ht="15" customHeight="1" x14ac:dyDescent="0.2">
      <c r="A6" s="113"/>
      <c r="B6" s="114" t="s">
        <v>172</v>
      </c>
      <c r="C6" s="115" t="s">
        <v>173</v>
      </c>
      <c r="D6" s="2304"/>
      <c r="E6" s="2304"/>
      <c r="F6" s="2304"/>
      <c r="G6" s="121">
        <v>1</v>
      </c>
      <c r="H6" s="121">
        <v>-3</v>
      </c>
      <c r="I6" s="121">
        <v>-2</v>
      </c>
      <c r="J6" s="121">
        <v>-1</v>
      </c>
      <c r="K6" s="121">
        <v>-1</v>
      </c>
      <c r="L6" s="748">
        <v>0</v>
      </c>
      <c r="M6" s="122">
        <v>1</v>
      </c>
      <c r="N6" s="122">
        <v>2</v>
      </c>
    </row>
    <row r="7" spans="1:14" ht="15" x14ac:dyDescent="0.25">
      <c r="A7" s="123">
        <v>1</v>
      </c>
      <c r="B7" s="124" t="s">
        <v>174</v>
      </c>
      <c r="C7" s="125"/>
      <c r="D7" s="126"/>
      <c r="E7" s="126" t="s">
        <v>162</v>
      </c>
      <c r="F7" s="127"/>
      <c r="G7" s="128" t="e">
        <f>G11+#REF!+#REF!+#REF!+#REF!+#REF!+#REF!</f>
        <v>#REF!</v>
      </c>
      <c r="H7" s="1185">
        <f>SUM(H8:H10)</f>
        <v>545154.52</v>
      </c>
      <c r="I7" s="1186">
        <f>SUM(I8:I10)</f>
        <v>604362.42119999998</v>
      </c>
      <c r="J7" s="1188">
        <f>J11+J36+J41+J57+J66</f>
        <v>502124</v>
      </c>
      <c r="K7" s="1187">
        <f>SUM(K8:K10)</f>
        <v>617124.19999999995</v>
      </c>
      <c r="L7" s="1095">
        <f>SUM(L8:L10)</f>
        <v>571353.4</v>
      </c>
      <c r="M7" s="1096">
        <f>SUM(M8:M10)</f>
        <v>511934</v>
      </c>
      <c r="N7" s="1170">
        <f>SUM(N8:N10)</f>
        <v>499234</v>
      </c>
    </row>
    <row r="8" spans="1:14" x14ac:dyDescent="0.2">
      <c r="A8" s="130">
        <f t="shared" ref="A8:A23" si="0">A7+1</f>
        <v>2</v>
      </c>
      <c r="B8" s="131" t="s">
        <v>175</v>
      </c>
      <c r="C8" s="674" t="s">
        <v>176</v>
      </c>
      <c r="D8" s="675"/>
      <c r="E8" s="676"/>
      <c r="F8" s="677"/>
      <c r="G8" s="786" t="e">
        <f>G44+G47+#REF!+#REF!+#REF!+#REF!+#REF!+#REF!+G49</f>
        <v>#REF!</v>
      </c>
      <c r="H8" s="888">
        <f>H13+H29+H37+H42+H58+H67</f>
        <v>395897.52</v>
      </c>
      <c r="I8" s="787">
        <f>SUM(I13,I29,I37,I42,I58,I67)</f>
        <v>373683.68120000005</v>
      </c>
      <c r="J8" s="788">
        <f>J13+J29+J37+J42+J58+J67</f>
        <v>348620</v>
      </c>
      <c r="K8" s="895">
        <f>SUM(K13,K29,K37,K42,K58,K67)</f>
        <v>407550</v>
      </c>
      <c r="L8" s="888">
        <f>SUM(L13,L29,L37,L42,L58,L67)</f>
        <v>386782</v>
      </c>
      <c r="M8" s="787">
        <f>SUM(M13,M29,M37,M42,M58,M67)</f>
        <v>381930</v>
      </c>
      <c r="N8" s="788">
        <f>SUM(N13,N29,N37,N42,N58,N67)</f>
        <v>384230</v>
      </c>
    </row>
    <row r="9" spans="1:14" x14ac:dyDescent="0.2">
      <c r="A9" s="130">
        <f t="shared" si="0"/>
        <v>3</v>
      </c>
      <c r="B9" s="131" t="s">
        <v>177</v>
      </c>
      <c r="C9" s="789" t="s">
        <v>178</v>
      </c>
      <c r="D9" s="790"/>
      <c r="E9" s="791"/>
      <c r="F9" s="792"/>
      <c r="G9" s="793" t="e">
        <f>#REF!</f>
        <v>#REF!</v>
      </c>
      <c r="H9" s="889">
        <f>H25</f>
        <v>6756</v>
      </c>
      <c r="I9" s="794">
        <f>SUM(I25)</f>
        <v>0</v>
      </c>
      <c r="J9" s="795">
        <f>J25</f>
        <v>0</v>
      </c>
      <c r="K9" s="896">
        <f>SUM(K25)</f>
        <v>3283.2</v>
      </c>
      <c r="L9" s="889">
        <f>SUM(L25)</f>
        <v>1566.4</v>
      </c>
      <c r="M9" s="794">
        <f>SUM(M25)</f>
        <v>0</v>
      </c>
      <c r="N9" s="795">
        <f>SUM(N25)</f>
        <v>0</v>
      </c>
    </row>
    <row r="10" spans="1:14" ht="13.5" thickBot="1" x14ac:dyDescent="0.25">
      <c r="A10" s="130">
        <f t="shared" si="0"/>
        <v>4</v>
      </c>
      <c r="B10" s="134"/>
      <c r="C10" s="702" t="s">
        <v>179</v>
      </c>
      <c r="D10" s="703"/>
      <c r="E10" s="704"/>
      <c r="F10" s="705"/>
      <c r="G10" s="706">
        <v>0</v>
      </c>
      <c r="H10" s="890">
        <f t="shared" ref="H10:N10" si="1">H50</f>
        <v>142501</v>
      </c>
      <c r="I10" s="725">
        <f t="shared" si="1"/>
        <v>230678.74</v>
      </c>
      <c r="J10" s="707">
        <f t="shared" si="1"/>
        <v>153504</v>
      </c>
      <c r="K10" s="897">
        <f t="shared" si="1"/>
        <v>206291</v>
      </c>
      <c r="L10" s="1093">
        <f t="shared" si="1"/>
        <v>183005</v>
      </c>
      <c r="M10" s="1094">
        <f t="shared" si="1"/>
        <v>130004</v>
      </c>
      <c r="N10" s="708">
        <f t="shared" si="1"/>
        <v>115004</v>
      </c>
    </row>
    <row r="11" spans="1:14" ht="13.5" thickTop="1" x14ac:dyDescent="0.2">
      <c r="A11" s="130">
        <f t="shared" si="0"/>
        <v>5</v>
      </c>
      <c r="B11" s="135">
        <v>1</v>
      </c>
      <c r="C11" s="136" t="s">
        <v>180</v>
      </c>
      <c r="D11" s="137"/>
      <c r="E11" s="137"/>
      <c r="F11" s="138"/>
      <c r="G11" s="139">
        <f>G12+G46+G48</f>
        <v>33.200000000000003</v>
      </c>
      <c r="H11" s="611">
        <f>H12+H28</f>
        <v>332295</v>
      </c>
      <c r="I11" s="337">
        <f>SUM(I12+I28)</f>
        <v>293987.11120000004</v>
      </c>
      <c r="J11" s="140">
        <f>J12+J28</f>
        <v>298750</v>
      </c>
      <c r="K11" s="859">
        <f>SUM(K12+K28)</f>
        <v>349667.2</v>
      </c>
      <c r="L11" s="909">
        <f>SUM(L12+L28)</f>
        <v>326926.40000000002</v>
      </c>
      <c r="M11" s="308">
        <f>SUM(M12+M28)</f>
        <v>328860</v>
      </c>
      <c r="N11" s="141">
        <f>SUM(N12+N28)</f>
        <v>331660</v>
      </c>
    </row>
    <row r="12" spans="1:14" s="149" customFormat="1" x14ac:dyDescent="0.2">
      <c r="A12" s="130">
        <f t="shared" si="0"/>
        <v>6</v>
      </c>
      <c r="B12" s="142"/>
      <c r="C12" s="143" t="s">
        <v>181</v>
      </c>
      <c r="D12" s="144" t="s">
        <v>182</v>
      </c>
      <c r="E12" s="145"/>
      <c r="F12" s="146"/>
      <c r="G12" s="147">
        <f>G45</f>
        <v>16.600000000000001</v>
      </c>
      <c r="H12" s="884">
        <f>H13+H25</f>
        <v>315995</v>
      </c>
      <c r="I12" s="726">
        <f>SUM(I13+I25)</f>
        <v>276733.48120000004</v>
      </c>
      <c r="J12" s="148">
        <f>J13+J25</f>
        <v>278650</v>
      </c>
      <c r="K12" s="898">
        <f>SUM(K13+K25)</f>
        <v>328590.2</v>
      </c>
      <c r="L12" s="884">
        <f>SUM(L13+L25)</f>
        <v>305526.40000000002</v>
      </c>
      <c r="M12" s="726">
        <f>SUM(M13+M25)</f>
        <v>307460</v>
      </c>
      <c r="N12" s="148">
        <f>SUM(N13+N25)</f>
        <v>310260</v>
      </c>
    </row>
    <row r="13" spans="1:14" x14ac:dyDescent="0.2">
      <c r="A13" s="130">
        <f t="shared" si="0"/>
        <v>7</v>
      </c>
      <c r="B13" s="150"/>
      <c r="C13" s="151"/>
      <c r="D13" s="132" t="s">
        <v>176</v>
      </c>
      <c r="E13" s="152"/>
      <c r="F13" s="153"/>
      <c r="G13" s="154">
        <f t="shared" ref="G13:N13" si="2">G14</f>
        <v>23604.399999999991</v>
      </c>
      <c r="H13" s="573">
        <f>H14</f>
        <v>309239</v>
      </c>
      <c r="I13" s="305">
        <f t="shared" si="2"/>
        <v>276733.48120000004</v>
      </c>
      <c r="J13" s="155">
        <f>J14</f>
        <v>278650</v>
      </c>
      <c r="K13" s="412">
        <f t="shared" si="2"/>
        <v>325307</v>
      </c>
      <c r="L13" s="573">
        <f t="shared" si="2"/>
        <v>303960</v>
      </c>
      <c r="M13" s="305">
        <f t="shared" si="2"/>
        <v>307460</v>
      </c>
      <c r="N13" s="155">
        <f t="shared" si="2"/>
        <v>310260</v>
      </c>
    </row>
    <row r="14" spans="1:14" x14ac:dyDescent="0.2">
      <c r="A14" s="130">
        <f t="shared" si="0"/>
        <v>8</v>
      </c>
      <c r="B14" s="156"/>
      <c r="C14" s="157" t="s">
        <v>183</v>
      </c>
      <c r="D14" s="158" t="s">
        <v>184</v>
      </c>
      <c r="E14" s="159"/>
      <c r="F14" s="160"/>
      <c r="G14" s="161">
        <f>SUM(G15:G37)</f>
        <v>23604.399999999991</v>
      </c>
      <c r="H14" s="574">
        <f t="shared" ref="H14" si="3">SUM(H15:H23)</f>
        <v>309239</v>
      </c>
      <c r="I14" s="338">
        <f>SUM(I15:I23)</f>
        <v>276733.48120000004</v>
      </c>
      <c r="J14" s="162">
        <f>SUM(J15:J24)</f>
        <v>278650</v>
      </c>
      <c r="K14" s="276">
        <f>SUM(K15:K24)</f>
        <v>325307</v>
      </c>
      <c r="L14" s="574">
        <f>SUM(L15:L24)</f>
        <v>303960</v>
      </c>
      <c r="M14" s="338">
        <f>SUM(M15:M24)</f>
        <v>307460</v>
      </c>
      <c r="N14" s="162">
        <f>SUM(N15:N24)</f>
        <v>310260</v>
      </c>
    </row>
    <row r="15" spans="1:14" x14ac:dyDescent="0.2">
      <c r="A15" s="130">
        <f t="shared" si="0"/>
        <v>9</v>
      </c>
      <c r="B15" s="163"/>
      <c r="C15" s="164" t="s">
        <v>185</v>
      </c>
      <c r="D15" s="165">
        <v>1</v>
      </c>
      <c r="E15" s="166" t="s">
        <v>186</v>
      </c>
      <c r="F15" s="167"/>
      <c r="G15" s="168">
        <f t="shared" ref="G15:G23" si="4">ROUND(M15/30.126,1)</f>
        <v>4149.2</v>
      </c>
      <c r="H15" s="575">
        <f>výdavky!D8+výdavky!D9</f>
        <v>107000</v>
      </c>
      <c r="I15" s="169">
        <f>výdavky!E8+výdavky!E9</f>
        <v>110723.65</v>
      </c>
      <c r="J15" s="169">
        <f>výdavky!F8+výdavky!F9</f>
        <v>115000</v>
      </c>
      <c r="K15" s="567">
        <f>výdavky!G8+výdavky!G9</f>
        <v>121400</v>
      </c>
      <c r="L15" s="575">
        <f>výdavky!H8+výdavky!H9</f>
        <v>125000</v>
      </c>
      <c r="M15" s="306">
        <f>výdavky!I8</f>
        <v>125000</v>
      </c>
      <c r="N15" s="169">
        <f>výdavky!J8</f>
        <v>125000</v>
      </c>
    </row>
    <row r="16" spans="1:14" x14ac:dyDescent="0.2">
      <c r="A16" s="130">
        <f t="shared" si="0"/>
        <v>10</v>
      </c>
      <c r="B16" s="163"/>
      <c r="C16" s="164" t="s">
        <v>187</v>
      </c>
      <c r="D16" s="170">
        <f t="shared" ref="D16:D23" si="5">D15+1</f>
        <v>2</v>
      </c>
      <c r="E16" s="171" t="s">
        <v>188</v>
      </c>
      <c r="F16" s="172"/>
      <c r="G16" s="173">
        <f t="shared" si="4"/>
        <v>1493.7</v>
      </c>
      <c r="H16" s="576">
        <f>výdavky!D12</f>
        <v>40600</v>
      </c>
      <c r="I16" s="174">
        <f>výdavky!E12</f>
        <v>39182.080000000002</v>
      </c>
      <c r="J16" s="174">
        <f>výdavky!F12</f>
        <v>40600</v>
      </c>
      <c r="K16" s="417">
        <f>výdavky!G12+výdavky!G79</f>
        <v>43800</v>
      </c>
      <c r="L16" s="576">
        <f>výdavky!H12</f>
        <v>45000</v>
      </c>
      <c r="M16" s="307">
        <f>výdavky!I12</f>
        <v>45000</v>
      </c>
      <c r="N16" s="174">
        <f>výdavky!J12</f>
        <v>45000</v>
      </c>
    </row>
    <row r="17" spans="1:14" x14ac:dyDescent="0.2">
      <c r="A17" s="130">
        <f t="shared" si="0"/>
        <v>11</v>
      </c>
      <c r="B17" s="163"/>
      <c r="C17" s="164" t="s">
        <v>189</v>
      </c>
      <c r="D17" s="165">
        <f t="shared" si="5"/>
        <v>3</v>
      </c>
      <c r="E17" s="166" t="s">
        <v>190</v>
      </c>
      <c r="F17" s="167"/>
      <c r="G17" s="168">
        <f t="shared" si="4"/>
        <v>0</v>
      </c>
      <c r="H17" s="575">
        <f>výdavky!D14</f>
        <v>100</v>
      </c>
      <c r="I17" s="169">
        <f>výdavky!E14</f>
        <v>0</v>
      </c>
      <c r="J17" s="169">
        <f>výdavky!F14</f>
        <v>0</v>
      </c>
      <c r="K17" s="567">
        <f>výdavky!G14</f>
        <v>0</v>
      </c>
      <c r="L17" s="575">
        <f>výdavky!H14</f>
        <v>0</v>
      </c>
      <c r="M17" s="306">
        <f>výdavky!I14</f>
        <v>0</v>
      </c>
      <c r="N17" s="169">
        <f>výdavky!J14</f>
        <v>200</v>
      </c>
    </row>
    <row r="18" spans="1:14" x14ac:dyDescent="0.2">
      <c r="A18" s="130">
        <f t="shared" si="0"/>
        <v>12</v>
      </c>
      <c r="B18" s="163"/>
      <c r="C18" s="164" t="s">
        <v>191</v>
      </c>
      <c r="D18" s="170">
        <f t="shared" si="5"/>
        <v>4</v>
      </c>
      <c r="E18" s="175" t="s">
        <v>192</v>
      </c>
      <c r="F18" s="176"/>
      <c r="G18" s="173">
        <f t="shared" si="4"/>
        <v>995.8</v>
      </c>
      <c r="H18" s="576">
        <f>výdavky!D15</f>
        <v>25000</v>
      </c>
      <c r="I18" s="174">
        <f>výdavky!E15</f>
        <v>28466.240000000002</v>
      </c>
      <c r="J18" s="174">
        <f>výdavky!F15</f>
        <v>30000</v>
      </c>
      <c r="K18" s="417">
        <f>výdavky!G15</f>
        <v>26000</v>
      </c>
      <c r="L18" s="576">
        <f>výdavky!H15</f>
        <v>30000</v>
      </c>
      <c r="M18" s="307">
        <f>výdavky!I15</f>
        <v>30000</v>
      </c>
      <c r="N18" s="174">
        <f>výdavky!J15</f>
        <v>30000</v>
      </c>
    </row>
    <row r="19" spans="1:14" x14ac:dyDescent="0.2">
      <c r="A19" s="130">
        <f t="shared" si="0"/>
        <v>13</v>
      </c>
      <c r="B19" s="163"/>
      <c r="C19" s="164" t="s">
        <v>193</v>
      </c>
      <c r="D19" s="170">
        <f t="shared" si="5"/>
        <v>5</v>
      </c>
      <c r="E19" s="166" t="s">
        <v>194</v>
      </c>
      <c r="F19" s="167"/>
      <c r="G19" s="168">
        <f t="shared" si="4"/>
        <v>1185</v>
      </c>
      <c r="H19" s="575">
        <f>výdavky!D17</f>
        <v>46042</v>
      </c>
      <c r="I19" s="169">
        <f>výdavky!E17</f>
        <v>31750.59</v>
      </c>
      <c r="J19" s="169">
        <f>výdavky!F17</f>
        <v>24700</v>
      </c>
      <c r="K19" s="567">
        <f>výdavky!G17</f>
        <v>35449</v>
      </c>
      <c r="L19" s="575">
        <f>výdavky!H17</f>
        <v>33700</v>
      </c>
      <c r="M19" s="306">
        <f>výdavky!I17</f>
        <v>35700</v>
      </c>
      <c r="N19" s="169">
        <f>výdavky!J17</f>
        <v>38700</v>
      </c>
    </row>
    <row r="20" spans="1:14" x14ac:dyDescent="0.2">
      <c r="A20" s="130">
        <f t="shared" si="0"/>
        <v>14</v>
      </c>
      <c r="B20" s="163"/>
      <c r="C20" s="164" t="s">
        <v>195</v>
      </c>
      <c r="D20" s="165">
        <f t="shared" si="5"/>
        <v>6</v>
      </c>
      <c r="E20" s="177" t="s">
        <v>196</v>
      </c>
      <c r="F20" s="178"/>
      <c r="G20" s="179">
        <f t="shared" si="4"/>
        <v>542.70000000000005</v>
      </c>
      <c r="H20" s="579">
        <f>výdavky!D30</f>
        <v>15750</v>
      </c>
      <c r="I20" s="180">
        <f>výdavky!E30</f>
        <v>18678.641200000005</v>
      </c>
      <c r="J20" s="180">
        <f>výdavky!F30</f>
        <v>14340</v>
      </c>
      <c r="K20" s="569">
        <f>výdavky!G30</f>
        <v>19390</v>
      </c>
      <c r="L20" s="579">
        <f>výdavky!H30</f>
        <v>15350</v>
      </c>
      <c r="M20" s="348">
        <f>výdavky!I30</f>
        <v>16350</v>
      </c>
      <c r="N20" s="180">
        <f>výdavky!J30</f>
        <v>15850</v>
      </c>
    </row>
    <row r="21" spans="1:14" x14ac:dyDescent="0.2">
      <c r="A21" s="130">
        <f t="shared" si="0"/>
        <v>15</v>
      </c>
      <c r="B21" s="163"/>
      <c r="C21" s="164" t="s">
        <v>197</v>
      </c>
      <c r="D21" s="170">
        <f t="shared" si="5"/>
        <v>7</v>
      </c>
      <c r="E21" s="175" t="s">
        <v>198</v>
      </c>
      <c r="F21" s="176"/>
      <c r="G21" s="173">
        <f t="shared" si="4"/>
        <v>139.4</v>
      </c>
      <c r="H21" s="576">
        <f>výdavky!D37</f>
        <v>5300</v>
      </c>
      <c r="I21" s="174">
        <f>výdavky!E37</f>
        <v>179.26</v>
      </c>
      <c r="J21" s="174">
        <f>výdavky!F37</f>
        <v>3300</v>
      </c>
      <c r="K21" s="417">
        <f>výdavky!G37</f>
        <v>1300</v>
      </c>
      <c r="L21" s="576">
        <f>výdavky!H37</f>
        <v>3700</v>
      </c>
      <c r="M21" s="307">
        <f>výdavky!I37</f>
        <v>4200</v>
      </c>
      <c r="N21" s="174">
        <f>výdavky!J37</f>
        <v>2200</v>
      </c>
    </row>
    <row r="22" spans="1:14" x14ac:dyDescent="0.2">
      <c r="A22" s="130">
        <f t="shared" si="0"/>
        <v>16</v>
      </c>
      <c r="B22" s="163"/>
      <c r="C22" s="164" t="s">
        <v>199</v>
      </c>
      <c r="D22" s="170">
        <f t="shared" si="5"/>
        <v>8</v>
      </c>
      <c r="E22" s="175" t="s">
        <v>200</v>
      </c>
      <c r="F22" s="176"/>
      <c r="G22" s="173">
        <f t="shared" si="4"/>
        <v>0.3</v>
      </c>
      <c r="H22" s="576">
        <f>výdavky!D41</f>
        <v>215</v>
      </c>
      <c r="I22" s="174">
        <f>výdavky!E41</f>
        <v>436.64</v>
      </c>
      <c r="J22" s="174">
        <f>výdavky!F41</f>
        <v>10</v>
      </c>
      <c r="K22" s="417">
        <f>výdavky!G41</f>
        <v>10</v>
      </c>
      <c r="L22" s="576">
        <f>výdavky!H41</f>
        <v>10</v>
      </c>
      <c r="M22" s="307">
        <f>výdavky!I41</f>
        <v>10</v>
      </c>
      <c r="N22" s="174">
        <f>výdavky!J41</f>
        <v>1010</v>
      </c>
    </row>
    <row r="23" spans="1:14" x14ac:dyDescent="0.2">
      <c r="A23" s="130">
        <f t="shared" si="0"/>
        <v>17</v>
      </c>
      <c r="B23" s="163"/>
      <c r="C23" s="164" t="s">
        <v>201</v>
      </c>
      <c r="D23" s="1786">
        <f t="shared" si="5"/>
        <v>9</v>
      </c>
      <c r="E23" s="177" t="s">
        <v>202</v>
      </c>
      <c r="F23" s="178"/>
      <c r="G23" s="179">
        <f t="shared" si="4"/>
        <v>1102</v>
      </c>
      <c r="H23" s="579">
        <f>výdavky!D49-výdavky!D60</f>
        <v>69232</v>
      </c>
      <c r="I23" s="180">
        <f>výdavky!E49</f>
        <v>47316.380000000005</v>
      </c>
      <c r="J23" s="180">
        <f>výdavky!F49-výdavky!F60</f>
        <v>32700</v>
      </c>
      <c r="K23" s="569">
        <f>výdavky!G49-výdavky!G60</f>
        <v>59358</v>
      </c>
      <c r="L23" s="579">
        <f>výdavky!H49-výdavky!H60</f>
        <v>33200</v>
      </c>
      <c r="M23" s="348">
        <f>výdavky!I49-výdavky!I60</f>
        <v>33200</v>
      </c>
      <c r="N23" s="180">
        <f>výdavky!J49-výdavky!J60</f>
        <v>34300</v>
      </c>
    </row>
    <row r="24" spans="1:14" s="1785" customFormat="1" x14ac:dyDescent="0.2">
      <c r="A24" s="130"/>
      <c r="B24" s="163"/>
      <c r="C24" s="164" t="s">
        <v>209</v>
      </c>
      <c r="D24" s="1212">
        <v>10</v>
      </c>
      <c r="E24" s="1787" t="s">
        <v>963</v>
      </c>
      <c r="F24" s="1787"/>
      <c r="G24" s="1391"/>
      <c r="H24" s="580"/>
      <c r="I24" s="878"/>
      <c r="J24" s="565">
        <f>výdavky!F80</f>
        <v>18000</v>
      </c>
      <c r="K24" s="570">
        <f>výdavky!G80</f>
        <v>18600</v>
      </c>
      <c r="L24" s="580">
        <f>výdavky!H80</f>
        <v>18000</v>
      </c>
      <c r="M24" s="878">
        <f>výdavky!I80</f>
        <v>18000</v>
      </c>
      <c r="N24" s="565">
        <f>výdavky!J80</f>
        <v>18000</v>
      </c>
    </row>
    <row r="25" spans="1:14" x14ac:dyDescent="0.2">
      <c r="A25" s="130">
        <v>18</v>
      </c>
      <c r="B25" s="156"/>
      <c r="C25" s="164"/>
      <c r="D25" s="697" t="s">
        <v>178</v>
      </c>
      <c r="E25" s="698"/>
      <c r="F25" s="699"/>
      <c r="G25" s="700">
        <f t="shared" ref="G25:N25" si="6">G26</f>
        <v>3636.3999999999996</v>
      </c>
      <c r="H25" s="885">
        <f>H26</f>
        <v>6756</v>
      </c>
      <c r="I25" s="727">
        <f t="shared" si="6"/>
        <v>0</v>
      </c>
      <c r="J25" s="701">
        <f>J26</f>
        <v>0</v>
      </c>
      <c r="K25" s="899">
        <f t="shared" si="6"/>
        <v>3283.2</v>
      </c>
      <c r="L25" s="885">
        <f t="shared" si="6"/>
        <v>1566.4</v>
      </c>
      <c r="M25" s="727">
        <f t="shared" si="6"/>
        <v>0</v>
      </c>
      <c r="N25" s="701">
        <f t="shared" si="6"/>
        <v>0</v>
      </c>
    </row>
    <row r="26" spans="1:14" x14ac:dyDescent="0.2">
      <c r="A26" s="130">
        <f>A25+1</f>
        <v>19</v>
      </c>
      <c r="B26" s="163"/>
      <c r="C26" s="157" t="s">
        <v>183</v>
      </c>
      <c r="D26" s="158" t="s">
        <v>184</v>
      </c>
      <c r="E26" s="159"/>
      <c r="F26" s="160"/>
      <c r="G26" s="161">
        <f>SUM(G27:G29)</f>
        <v>3636.3999999999996</v>
      </c>
      <c r="H26" s="863">
        <f>H27</f>
        <v>6756</v>
      </c>
      <c r="I26" s="338">
        <f>SUM(I27:I27)</f>
        <v>0</v>
      </c>
      <c r="J26" s="162">
        <f>J27</f>
        <v>0</v>
      </c>
      <c r="K26" s="276">
        <f>SUM(K27:K27)</f>
        <v>3283.2</v>
      </c>
      <c r="L26" s="574">
        <f>SUM(L27:L27)</f>
        <v>1566.4</v>
      </c>
      <c r="M26" s="338">
        <f>SUM(M27:M27)</f>
        <v>0</v>
      </c>
      <c r="N26" s="162">
        <f>SUM(N27:N27)</f>
        <v>0</v>
      </c>
    </row>
    <row r="27" spans="1:14" x14ac:dyDescent="0.2">
      <c r="A27" s="130">
        <f>A26+1</f>
        <v>20</v>
      </c>
      <c r="B27" s="156"/>
      <c r="C27" s="164" t="s">
        <v>203</v>
      </c>
      <c r="D27" s="170">
        <v>1</v>
      </c>
      <c r="E27" s="175" t="s">
        <v>781</v>
      </c>
      <c r="F27" s="181"/>
      <c r="G27" s="182">
        <v>18.2</v>
      </c>
      <c r="H27" s="576">
        <f>výdavky!D695</f>
        <v>6756</v>
      </c>
      <c r="I27" s="307">
        <f>výdavky!E695</f>
        <v>0</v>
      </c>
      <c r="J27" s="174">
        <f>výdavky!F695</f>
        <v>0</v>
      </c>
      <c r="K27" s="417">
        <f>výdavky!G695</f>
        <v>3283.2</v>
      </c>
      <c r="L27" s="576">
        <f>výdavky!H695</f>
        <v>1566.4</v>
      </c>
      <c r="M27" s="307">
        <f>výdavky!I695</f>
        <v>0</v>
      </c>
      <c r="N27" s="174">
        <f>výdavky!J695</f>
        <v>0</v>
      </c>
    </row>
    <row r="28" spans="1:14" x14ac:dyDescent="0.2">
      <c r="A28" s="130">
        <v>21</v>
      </c>
      <c r="B28" s="183"/>
      <c r="C28" s="143" t="s">
        <v>204</v>
      </c>
      <c r="D28" s="144" t="s">
        <v>205</v>
      </c>
      <c r="E28" s="184"/>
      <c r="F28" s="185"/>
      <c r="G28" s="186">
        <f>G30</f>
        <v>1809.1</v>
      </c>
      <c r="H28" s="886">
        <f>H30</f>
        <v>16300</v>
      </c>
      <c r="I28" s="728">
        <f t="shared" ref="I28:N29" si="7">I29</f>
        <v>17253.63</v>
      </c>
      <c r="J28" s="187">
        <f>J29</f>
        <v>20100</v>
      </c>
      <c r="K28" s="900">
        <f t="shared" si="7"/>
        <v>21077</v>
      </c>
      <c r="L28" s="886">
        <f t="shared" si="7"/>
        <v>21400</v>
      </c>
      <c r="M28" s="728">
        <f t="shared" si="7"/>
        <v>21400</v>
      </c>
      <c r="N28" s="187">
        <f t="shared" si="7"/>
        <v>21400</v>
      </c>
    </row>
    <row r="29" spans="1:14" s="189" customFormat="1" x14ac:dyDescent="0.2">
      <c r="A29" s="130">
        <f>A28+1</f>
        <v>22</v>
      </c>
      <c r="B29" s="188"/>
      <c r="C29" s="151"/>
      <c r="D29" s="133" t="s">
        <v>176</v>
      </c>
      <c r="E29" s="152"/>
      <c r="F29" s="153"/>
      <c r="G29" s="154">
        <f>G30</f>
        <v>1809.1</v>
      </c>
      <c r="H29" s="573">
        <f>H30</f>
        <v>16300</v>
      </c>
      <c r="I29" s="305">
        <f t="shared" si="7"/>
        <v>17253.63</v>
      </c>
      <c r="J29" s="155">
        <f>J30</f>
        <v>20100</v>
      </c>
      <c r="K29" s="412">
        <f t="shared" si="7"/>
        <v>21077</v>
      </c>
      <c r="L29" s="573">
        <f t="shared" si="7"/>
        <v>21400</v>
      </c>
      <c r="M29" s="305">
        <f t="shared" si="7"/>
        <v>21400</v>
      </c>
      <c r="N29" s="155">
        <f t="shared" si="7"/>
        <v>21400</v>
      </c>
    </row>
    <row r="30" spans="1:14" s="189" customFormat="1" x14ac:dyDescent="0.2">
      <c r="A30" s="130">
        <f>A29+1</f>
        <v>23</v>
      </c>
      <c r="B30" s="188"/>
      <c r="C30" s="190" t="s">
        <v>183</v>
      </c>
      <c r="D30" s="191" t="s">
        <v>184</v>
      </c>
      <c r="E30" s="159"/>
      <c r="F30" s="192"/>
      <c r="G30" s="193">
        <f>SUM(G35:G38)</f>
        <v>1809.1</v>
      </c>
      <c r="H30" s="574">
        <f>SUM(H31:H35)</f>
        <v>16300</v>
      </c>
      <c r="I30" s="338">
        <f>SUM(I31,I32,I33,I34,I35)</f>
        <v>17253.63</v>
      </c>
      <c r="J30" s="162">
        <f>SUM(J31:J35)</f>
        <v>20100</v>
      </c>
      <c r="K30" s="276">
        <f>SUM(K31,K32,K33,K34,K35)</f>
        <v>21077</v>
      </c>
      <c r="L30" s="574">
        <f>SUM(L31,L32,L33,L34,L35)</f>
        <v>21400</v>
      </c>
      <c r="M30" s="338">
        <f>SUM(M31,M32,M33,M34,M35)</f>
        <v>21400</v>
      </c>
      <c r="N30" s="162">
        <f>SUM(N31,N32,N33,N34,N35)</f>
        <v>21400</v>
      </c>
    </row>
    <row r="31" spans="1:14" s="189" customFormat="1" x14ac:dyDescent="0.2">
      <c r="A31" s="130">
        <v>24</v>
      </c>
      <c r="B31" s="188"/>
      <c r="C31" s="194" t="s">
        <v>185</v>
      </c>
      <c r="D31" s="195">
        <v>1</v>
      </c>
      <c r="E31" s="196" t="s">
        <v>186</v>
      </c>
      <c r="F31" s="197" t="s">
        <v>206</v>
      </c>
      <c r="G31" s="198"/>
      <c r="H31" s="575">
        <f>výdavky!D86</f>
        <v>9000</v>
      </c>
      <c r="I31" s="306">
        <f>výdavky!E86</f>
        <v>9542.5</v>
      </c>
      <c r="J31" s="169">
        <f>výdavky!F86</f>
        <v>9500</v>
      </c>
      <c r="K31" s="567">
        <f>výdavky!G86</f>
        <v>10267</v>
      </c>
      <c r="L31" s="575">
        <f>výdavky!H86</f>
        <v>10500</v>
      </c>
      <c r="M31" s="306">
        <f>výdavky!I86</f>
        <v>10500</v>
      </c>
      <c r="N31" s="169">
        <f>výdavky!J86</f>
        <v>10500</v>
      </c>
    </row>
    <row r="32" spans="1:14" s="189" customFormat="1" x14ac:dyDescent="0.2">
      <c r="A32" s="130">
        <v>25</v>
      </c>
      <c r="B32" s="188"/>
      <c r="C32" s="194" t="s">
        <v>187</v>
      </c>
      <c r="D32" s="199">
        <v>2</v>
      </c>
      <c r="E32" s="200" t="s">
        <v>188</v>
      </c>
      <c r="F32" s="201" t="s">
        <v>206</v>
      </c>
      <c r="G32" s="202"/>
      <c r="H32" s="576">
        <f>výdavky!D87</f>
        <v>3200</v>
      </c>
      <c r="I32" s="307">
        <f>výdavky!E87</f>
        <v>3369.58</v>
      </c>
      <c r="J32" s="174">
        <f>výdavky!F87</f>
        <v>3500</v>
      </c>
      <c r="K32" s="417">
        <f>výdavky!G87</f>
        <v>3710</v>
      </c>
      <c r="L32" s="576">
        <f>výdavky!H87</f>
        <v>3800</v>
      </c>
      <c r="M32" s="307">
        <f>výdavky!I87</f>
        <v>3800</v>
      </c>
      <c r="N32" s="174">
        <f>výdavky!J87</f>
        <v>3800</v>
      </c>
    </row>
    <row r="33" spans="1:14" s="189" customFormat="1" x14ac:dyDescent="0.2">
      <c r="A33" s="130">
        <v>26</v>
      </c>
      <c r="B33" s="188"/>
      <c r="C33" s="194" t="s">
        <v>201</v>
      </c>
      <c r="D33" s="195">
        <v>3</v>
      </c>
      <c r="E33" s="196" t="s">
        <v>202</v>
      </c>
      <c r="F33" s="197" t="s">
        <v>206</v>
      </c>
      <c r="G33" s="198"/>
      <c r="H33" s="575">
        <f>výdavky!D90</f>
        <v>500</v>
      </c>
      <c r="I33" s="306">
        <f>výdavky!E90</f>
        <v>180</v>
      </c>
      <c r="J33" s="169">
        <f>výdavky!F90</f>
        <v>500</v>
      </c>
      <c r="K33" s="567">
        <f>výdavky!G90</f>
        <v>500</v>
      </c>
      <c r="L33" s="575">
        <f>výdavky!H90</f>
        <v>500</v>
      </c>
      <c r="M33" s="306">
        <f>výdavky!I90</f>
        <v>500</v>
      </c>
      <c r="N33" s="169">
        <f>výdavky!J90</f>
        <v>500</v>
      </c>
    </row>
    <row r="34" spans="1:14" s="189" customFormat="1" x14ac:dyDescent="0.2">
      <c r="A34" s="130">
        <v>27</v>
      </c>
      <c r="B34" s="188"/>
      <c r="C34" s="194" t="s">
        <v>201</v>
      </c>
      <c r="D34" s="199">
        <v>4</v>
      </c>
      <c r="E34" s="200" t="s">
        <v>506</v>
      </c>
      <c r="F34" s="203"/>
      <c r="G34" s="202"/>
      <c r="H34" s="576">
        <f>výdavky!D88</f>
        <v>100</v>
      </c>
      <c r="I34" s="307">
        <f>výdavky!E88</f>
        <v>79.95</v>
      </c>
      <c r="J34" s="174">
        <f>výdavky!F88</f>
        <v>100</v>
      </c>
      <c r="K34" s="417">
        <f>výdavky!G88</f>
        <v>100</v>
      </c>
      <c r="L34" s="576">
        <f>výdavky!H88</f>
        <v>100</v>
      </c>
      <c r="M34" s="307">
        <f>výdavky!I88</f>
        <v>100</v>
      </c>
      <c r="N34" s="174">
        <f>výdavky!J88</f>
        <v>100</v>
      </c>
    </row>
    <row r="35" spans="1:14" s="189" customFormat="1" x14ac:dyDescent="0.2">
      <c r="A35" s="130">
        <v>28</v>
      </c>
      <c r="B35" s="188"/>
      <c r="C35" s="194" t="s">
        <v>201</v>
      </c>
      <c r="D35" s="170">
        <v>5</v>
      </c>
      <c r="E35" s="200" t="s">
        <v>207</v>
      </c>
      <c r="F35" s="203"/>
      <c r="G35" s="204">
        <f>ROUND(M35/30.126,1)</f>
        <v>215.8</v>
      </c>
      <c r="H35" s="615">
        <f>výdavky!D91</f>
        <v>3500</v>
      </c>
      <c r="I35" s="729">
        <f>výdavky!E91</f>
        <v>4081.6</v>
      </c>
      <c r="J35" s="205">
        <f>výdavky!F91+výdavky!F79</f>
        <v>6500</v>
      </c>
      <c r="K35" s="901">
        <f>výdavky!G91</f>
        <v>6500</v>
      </c>
      <c r="L35" s="615">
        <f>výdavky!H91</f>
        <v>6500</v>
      </c>
      <c r="M35" s="729">
        <f>výdavky!I91</f>
        <v>6500</v>
      </c>
      <c r="N35" s="205">
        <f>výdavky!J91</f>
        <v>6500</v>
      </c>
    </row>
    <row r="36" spans="1:14" x14ac:dyDescent="0.2">
      <c r="A36" s="130">
        <f t="shared" ref="A36:A52" si="8">A35+1</f>
        <v>29</v>
      </c>
      <c r="B36" s="135">
        <v>2</v>
      </c>
      <c r="C36" s="136" t="s">
        <v>208</v>
      </c>
      <c r="D36" s="137"/>
      <c r="E36" s="137"/>
      <c r="F36" s="138"/>
      <c r="G36" s="139">
        <f>G38</f>
        <v>531.1</v>
      </c>
      <c r="H36" s="572">
        <f>H37</f>
        <v>23616</v>
      </c>
      <c r="I36" s="308">
        <f t="shared" ref="I36:N37" si="9">I37</f>
        <v>35576.32</v>
      </c>
      <c r="J36" s="141">
        <f>J37</f>
        <v>10500</v>
      </c>
      <c r="K36" s="410">
        <f t="shared" si="9"/>
        <v>7385</v>
      </c>
      <c r="L36" s="572">
        <f t="shared" si="9"/>
        <v>24552</v>
      </c>
      <c r="M36" s="308">
        <f t="shared" si="9"/>
        <v>16000</v>
      </c>
      <c r="N36" s="141">
        <f t="shared" si="9"/>
        <v>16000</v>
      </c>
    </row>
    <row r="37" spans="1:14" x14ac:dyDescent="0.2">
      <c r="A37" s="130">
        <f t="shared" si="8"/>
        <v>30</v>
      </c>
      <c r="B37" s="150"/>
      <c r="C37" s="151"/>
      <c r="D37" s="132" t="s">
        <v>176</v>
      </c>
      <c r="E37" s="152"/>
      <c r="F37" s="153"/>
      <c r="G37" s="154">
        <f>G38</f>
        <v>531.1</v>
      </c>
      <c r="H37" s="573">
        <f>H38</f>
        <v>23616</v>
      </c>
      <c r="I37" s="305">
        <f t="shared" si="9"/>
        <v>35576.32</v>
      </c>
      <c r="J37" s="155">
        <f>J38</f>
        <v>10500</v>
      </c>
      <c r="K37" s="412">
        <f t="shared" si="9"/>
        <v>7385</v>
      </c>
      <c r="L37" s="573">
        <f t="shared" si="9"/>
        <v>24552</v>
      </c>
      <c r="M37" s="305">
        <f t="shared" si="9"/>
        <v>16000</v>
      </c>
      <c r="N37" s="155">
        <f t="shared" si="9"/>
        <v>16000</v>
      </c>
    </row>
    <row r="38" spans="1:14" x14ac:dyDescent="0.2">
      <c r="A38" s="130">
        <f t="shared" si="8"/>
        <v>31</v>
      </c>
      <c r="B38" s="183"/>
      <c r="C38" s="190" t="s">
        <v>183</v>
      </c>
      <c r="D38" s="191" t="s">
        <v>184</v>
      </c>
      <c r="E38" s="159"/>
      <c r="F38" s="160"/>
      <c r="G38" s="206">
        <f>SUM(G39)</f>
        <v>531.1</v>
      </c>
      <c r="H38" s="578">
        <f>H39+H40</f>
        <v>23616</v>
      </c>
      <c r="I38" s="730">
        <f>SUM(I39:I40)</f>
        <v>35576.32</v>
      </c>
      <c r="J38" s="207">
        <f>J39+J40</f>
        <v>10500</v>
      </c>
      <c r="K38" s="568">
        <f>SUM(K39:K40)</f>
        <v>7385</v>
      </c>
      <c r="L38" s="578">
        <f>SUM(L39:L40)</f>
        <v>24552</v>
      </c>
      <c r="M38" s="730">
        <f>SUM(M39:M40)</f>
        <v>16000</v>
      </c>
      <c r="N38" s="207">
        <f>SUM(N39:N40)</f>
        <v>16000</v>
      </c>
    </row>
    <row r="39" spans="1:14" x14ac:dyDescent="0.2">
      <c r="A39" s="130">
        <f t="shared" si="8"/>
        <v>32</v>
      </c>
      <c r="B39" s="188"/>
      <c r="C39" s="194" t="s">
        <v>209</v>
      </c>
      <c r="D39" s="208" t="s">
        <v>210</v>
      </c>
      <c r="E39" s="166" t="s">
        <v>211</v>
      </c>
      <c r="F39" s="209"/>
      <c r="G39" s="210">
        <f>ROUND(M39/30.126,1)</f>
        <v>531.1</v>
      </c>
      <c r="H39" s="874">
        <f>výdavky!D77</f>
        <v>9400</v>
      </c>
      <c r="I39" s="731">
        <f>výdavky!E77</f>
        <v>18439.21</v>
      </c>
      <c r="J39" s="211">
        <f>výdavky!F77</f>
        <v>10500</v>
      </c>
      <c r="K39" s="902">
        <f>výdavky!G77</f>
        <v>7385</v>
      </c>
      <c r="L39" s="874">
        <f>výdavky!H77+výdavky!H78</f>
        <v>24552</v>
      </c>
      <c r="M39" s="731">
        <f>výdavky!I77</f>
        <v>16000</v>
      </c>
      <c r="N39" s="211">
        <f>výdavky!J77</f>
        <v>16000</v>
      </c>
    </row>
    <row r="40" spans="1:14" x14ac:dyDescent="0.2">
      <c r="A40" s="130">
        <f t="shared" si="8"/>
        <v>33</v>
      </c>
      <c r="B40" s="188"/>
      <c r="C40" s="212" t="s">
        <v>209</v>
      </c>
      <c r="D40" s="213" t="s">
        <v>212</v>
      </c>
      <c r="E40" s="175" t="s">
        <v>213</v>
      </c>
      <c r="F40" s="181"/>
      <c r="G40" s="204"/>
      <c r="H40" s="615">
        <f>výdavky!D75+výdavky!D76+výdavky!D79</f>
        <v>14216</v>
      </c>
      <c r="I40" s="729">
        <f>výdavky!E76+výdavky!E75</f>
        <v>17137.11</v>
      </c>
      <c r="J40" s="205">
        <f>výdavky!F75+výdavky!F76</f>
        <v>0</v>
      </c>
      <c r="K40" s="901">
        <f>výdavky!G75</f>
        <v>0</v>
      </c>
      <c r="L40" s="615">
        <f>výdavky!H75+výdavky!H76</f>
        <v>0</v>
      </c>
      <c r="M40" s="729">
        <f>výdavky!I75+výdavky!I76</f>
        <v>0</v>
      </c>
      <c r="N40" s="205">
        <f>výdavky!J75+výdavky!J76</f>
        <v>0</v>
      </c>
    </row>
    <row r="41" spans="1:14" x14ac:dyDescent="0.2">
      <c r="A41" s="130">
        <f t="shared" si="8"/>
        <v>34</v>
      </c>
      <c r="B41" s="135">
        <v>3</v>
      </c>
      <c r="C41" s="136" t="s">
        <v>214</v>
      </c>
      <c r="D41" s="137"/>
      <c r="E41" s="137"/>
      <c r="F41" s="138"/>
      <c r="G41" s="139">
        <f>G43</f>
        <v>232.4</v>
      </c>
      <c r="H41" s="572">
        <f>H42+H50</f>
        <v>158799.51999999999</v>
      </c>
      <c r="I41" s="308">
        <f>SUM(I42+I50)</f>
        <v>247412.25999999998</v>
      </c>
      <c r="J41" s="141">
        <f>J42+J50</f>
        <v>168504</v>
      </c>
      <c r="K41" s="410">
        <f>SUM(K42+K50)</f>
        <v>223508</v>
      </c>
      <c r="L41" s="1091">
        <f>SUM(L42+L50)</f>
        <v>197505</v>
      </c>
      <c r="M41" s="1092">
        <f>SUM(M42+M50)</f>
        <v>143504</v>
      </c>
      <c r="N41" s="141">
        <f>SUM(N42+N50)</f>
        <v>128004</v>
      </c>
    </row>
    <row r="42" spans="1:14" x14ac:dyDescent="0.2">
      <c r="A42" s="130">
        <f t="shared" si="8"/>
        <v>35</v>
      </c>
      <c r="B42" s="150"/>
      <c r="C42" s="151"/>
      <c r="D42" s="132" t="s">
        <v>176</v>
      </c>
      <c r="E42" s="152"/>
      <c r="F42" s="153"/>
      <c r="G42" s="154">
        <f>G43</f>
        <v>232.4</v>
      </c>
      <c r="H42" s="573">
        <f>H43+H45</f>
        <v>16298.52</v>
      </c>
      <c r="I42" s="305">
        <f>SUM(I43+I45)</f>
        <v>16733.52</v>
      </c>
      <c r="J42" s="155">
        <f>J43+J45</f>
        <v>15000</v>
      </c>
      <c r="K42" s="412">
        <f>SUM(K43+K45)</f>
        <v>17217</v>
      </c>
      <c r="L42" s="573">
        <f>SUM(L43+L45)</f>
        <v>14500</v>
      </c>
      <c r="M42" s="305">
        <f>SUM(M43+M45)</f>
        <v>13500</v>
      </c>
      <c r="N42" s="155">
        <f>SUM(N43+N45)</f>
        <v>13000</v>
      </c>
    </row>
    <row r="43" spans="1:14" x14ac:dyDescent="0.2">
      <c r="A43" s="130">
        <f t="shared" si="8"/>
        <v>36</v>
      </c>
      <c r="B43" s="156"/>
      <c r="C43" s="157" t="s">
        <v>215</v>
      </c>
      <c r="D43" s="158" t="s">
        <v>216</v>
      </c>
      <c r="E43" s="159"/>
      <c r="F43" s="160"/>
      <c r="G43" s="161">
        <f>SUM(G44:G44)</f>
        <v>232.4</v>
      </c>
      <c r="H43" s="574">
        <f t="shared" ref="H43:N43" si="10">H44</f>
        <v>10709.9</v>
      </c>
      <c r="I43" s="338">
        <f t="shared" si="10"/>
        <v>10709.9</v>
      </c>
      <c r="J43" s="162">
        <f t="shared" si="10"/>
        <v>9000</v>
      </c>
      <c r="K43" s="276">
        <f t="shared" si="10"/>
        <v>10800</v>
      </c>
      <c r="L43" s="574">
        <f t="shared" si="10"/>
        <v>8000</v>
      </c>
      <c r="M43" s="338">
        <f t="shared" si="10"/>
        <v>7000</v>
      </c>
      <c r="N43" s="162">
        <f t="shared" si="10"/>
        <v>7000</v>
      </c>
    </row>
    <row r="44" spans="1:14" x14ac:dyDescent="0.2">
      <c r="A44" s="130">
        <f t="shared" si="8"/>
        <v>37</v>
      </c>
      <c r="B44" s="156"/>
      <c r="C44" s="214" t="s">
        <v>217</v>
      </c>
      <c r="D44" s="208" t="s">
        <v>210</v>
      </c>
      <c r="E44" s="196" t="s">
        <v>218</v>
      </c>
      <c r="F44" s="197"/>
      <c r="G44" s="215">
        <f>ROUND(M44/30.126,1)</f>
        <v>232.4</v>
      </c>
      <c r="H44" s="575">
        <f>výdavky!D83</f>
        <v>10709.9</v>
      </c>
      <c r="I44" s="306">
        <f>výdavky!E83</f>
        <v>10709.9</v>
      </c>
      <c r="J44" s="169">
        <f>výdavky!F83</f>
        <v>9000</v>
      </c>
      <c r="K44" s="567">
        <f>výdavky!G83</f>
        <v>10800</v>
      </c>
      <c r="L44" s="575">
        <f>výdavky!H83</f>
        <v>8000</v>
      </c>
      <c r="M44" s="306">
        <f>výdavky!I83</f>
        <v>7000</v>
      </c>
      <c r="N44" s="169">
        <f>výdavky!J83</f>
        <v>7000</v>
      </c>
    </row>
    <row r="45" spans="1:14" x14ac:dyDescent="0.2">
      <c r="A45" s="130">
        <f t="shared" si="8"/>
        <v>38</v>
      </c>
      <c r="B45" s="156"/>
      <c r="C45" s="157" t="s">
        <v>219</v>
      </c>
      <c r="D45" s="158" t="s">
        <v>220</v>
      </c>
      <c r="E45" s="159"/>
      <c r="F45" s="160"/>
      <c r="G45" s="161">
        <f>SUM(G46:G46)</f>
        <v>16.600000000000001</v>
      </c>
      <c r="H45" s="863">
        <f t="shared" ref="H45:N45" si="11">SUM(H46:H49)</f>
        <v>5588.62</v>
      </c>
      <c r="I45" s="338">
        <f t="shared" si="11"/>
        <v>6023.62</v>
      </c>
      <c r="J45" s="162">
        <f t="shared" si="11"/>
        <v>6000</v>
      </c>
      <c r="K45" s="276">
        <f t="shared" si="11"/>
        <v>6417</v>
      </c>
      <c r="L45" s="574">
        <f t="shared" si="11"/>
        <v>6500</v>
      </c>
      <c r="M45" s="338">
        <f t="shared" si="11"/>
        <v>6500</v>
      </c>
      <c r="N45" s="162">
        <f t="shared" si="11"/>
        <v>6000</v>
      </c>
    </row>
    <row r="46" spans="1:14" x14ac:dyDescent="0.2">
      <c r="A46" s="130">
        <f t="shared" si="8"/>
        <v>39</v>
      </c>
      <c r="B46" s="156"/>
      <c r="C46" s="214" t="s">
        <v>221</v>
      </c>
      <c r="D46" s="208" t="s">
        <v>212</v>
      </c>
      <c r="E46" s="166" t="s">
        <v>222</v>
      </c>
      <c r="F46" s="209"/>
      <c r="G46" s="215">
        <f>ROUND(M46/30.126,1)</f>
        <v>16.600000000000001</v>
      </c>
      <c r="H46" s="575">
        <f>výdavky!D60</f>
        <v>600</v>
      </c>
      <c r="I46" s="306">
        <f>výdavky!E60</f>
        <v>375</v>
      </c>
      <c r="J46" s="169">
        <f>výdavky!F60</f>
        <v>500</v>
      </c>
      <c r="K46" s="567">
        <f>výdavky!G60</f>
        <v>500</v>
      </c>
      <c r="L46" s="575">
        <f>výdavky!H60</f>
        <v>500</v>
      </c>
      <c r="M46" s="306">
        <f>výdavky!I60</f>
        <v>500</v>
      </c>
      <c r="N46" s="169">
        <f>výdavky!J60</f>
        <v>500</v>
      </c>
    </row>
    <row r="47" spans="1:14" x14ac:dyDescent="0.2">
      <c r="A47" s="130">
        <f t="shared" si="8"/>
        <v>40</v>
      </c>
      <c r="B47" s="156"/>
      <c r="C47" s="214" t="s">
        <v>221</v>
      </c>
      <c r="D47" s="213" t="s">
        <v>223</v>
      </c>
      <c r="E47" s="175" t="s">
        <v>224</v>
      </c>
      <c r="F47" s="181"/>
      <c r="G47" s="182">
        <f>ROUND(M47/30.126,1)</f>
        <v>182.6</v>
      </c>
      <c r="H47" s="576">
        <f>výdavky!D92</f>
        <v>4500</v>
      </c>
      <c r="I47" s="307">
        <f>SUM(výdavky!E92)</f>
        <v>5160</v>
      </c>
      <c r="J47" s="174">
        <f>výdavky!F92</f>
        <v>5000</v>
      </c>
      <c r="K47" s="417">
        <f>výdavky!G92</f>
        <v>5160</v>
      </c>
      <c r="L47" s="576">
        <f>výdavky!H92</f>
        <v>5500</v>
      </c>
      <c r="M47" s="307">
        <f>výdavky!I92</f>
        <v>5500</v>
      </c>
      <c r="N47" s="174">
        <f>výdavky!J92</f>
        <v>5500</v>
      </c>
    </row>
    <row r="48" spans="1:14" s="219" customFormat="1" ht="11.25" x14ac:dyDescent="0.2">
      <c r="A48" s="130">
        <f t="shared" si="8"/>
        <v>41</v>
      </c>
      <c r="B48" s="216"/>
      <c r="C48" s="214" t="s">
        <v>221</v>
      </c>
      <c r="D48" s="208" t="s">
        <v>225</v>
      </c>
      <c r="E48" s="217" t="s">
        <v>226</v>
      </c>
      <c r="F48" s="216"/>
      <c r="G48" s="216"/>
      <c r="H48" s="887">
        <v>0</v>
      </c>
      <c r="I48" s="321">
        <v>0</v>
      </c>
      <c r="J48" s="218">
        <v>0</v>
      </c>
      <c r="K48" s="903">
        <v>0</v>
      </c>
      <c r="L48" s="737">
        <v>0</v>
      </c>
      <c r="M48" s="321">
        <v>0</v>
      </c>
      <c r="N48" s="218">
        <v>0</v>
      </c>
    </row>
    <row r="49" spans="1:14" s="219" customFormat="1" ht="11.25" x14ac:dyDescent="0.2">
      <c r="A49" s="130">
        <f t="shared" si="8"/>
        <v>42</v>
      </c>
      <c r="B49" s="216"/>
      <c r="C49" s="214" t="s">
        <v>221</v>
      </c>
      <c r="D49" s="213" t="s">
        <v>227</v>
      </c>
      <c r="E49" s="220" t="s">
        <v>228</v>
      </c>
      <c r="F49" s="221"/>
      <c r="G49" s="221"/>
      <c r="H49" s="868">
        <f>výdavky!D84</f>
        <v>488.62</v>
      </c>
      <c r="I49" s="742">
        <f>výdavky!E84</f>
        <v>488.62</v>
      </c>
      <c r="J49" s="716">
        <f>výdavky!F84</f>
        <v>500</v>
      </c>
      <c r="K49" s="1364">
        <f>výdavky!G84</f>
        <v>757</v>
      </c>
      <c r="L49" s="738">
        <f>výdavky!H84</f>
        <v>500</v>
      </c>
      <c r="M49" s="311">
        <f>výdavky!I84</f>
        <v>500</v>
      </c>
      <c r="N49" s="716">
        <f>výdavky!J84</f>
        <v>0</v>
      </c>
    </row>
    <row r="50" spans="1:14" x14ac:dyDescent="0.2">
      <c r="A50" s="130">
        <f t="shared" si="8"/>
        <v>43</v>
      </c>
      <c r="B50" s="156"/>
      <c r="C50" s="222"/>
      <c r="D50" s="709" t="s">
        <v>229</v>
      </c>
      <c r="E50" s="710"/>
      <c r="F50" s="711"/>
      <c r="G50" s="712" t="e">
        <f t="shared" ref="G50:N50" si="12">G51</f>
        <v>#REF!</v>
      </c>
      <c r="H50" s="880">
        <f>H51</f>
        <v>142501</v>
      </c>
      <c r="I50" s="732">
        <f t="shared" si="12"/>
        <v>230678.74</v>
      </c>
      <c r="J50" s="713">
        <f>J51</f>
        <v>153504</v>
      </c>
      <c r="K50" s="904">
        <f t="shared" si="12"/>
        <v>206291</v>
      </c>
      <c r="L50" s="880">
        <f t="shared" si="12"/>
        <v>183005</v>
      </c>
      <c r="M50" s="732">
        <f t="shared" si="12"/>
        <v>130004</v>
      </c>
      <c r="N50" s="713">
        <f t="shared" si="12"/>
        <v>115004</v>
      </c>
    </row>
    <row r="51" spans="1:14" x14ac:dyDescent="0.2">
      <c r="A51" s="130">
        <f t="shared" si="8"/>
        <v>44</v>
      </c>
      <c r="B51" s="156"/>
      <c r="C51" s="157" t="s">
        <v>183</v>
      </c>
      <c r="D51" s="158" t="s">
        <v>220</v>
      </c>
      <c r="E51" s="159"/>
      <c r="F51" s="160"/>
      <c r="G51" s="223" t="e">
        <f>SUM(#REF!)</f>
        <v>#REF!</v>
      </c>
      <c r="H51" s="893">
        <f>H52+H56+H55+H53</f>
        <v>142501</v>
      </c>
      <c r="I51" s="733">
        <f>SUM(I52:I56)</f>
        <v>230678.74</v>
      </c>
      <c r="J51" s="224">
        <f>J52+J56+J55+J53</f>
        <v>153504</v>
      </c>
      <c r="K51" s="416">
        <f>SUM(K52:K56)</f>
        <v>206291</v>
      </c>
      <c r="L51" s="893">
        <f>SUM(L52:L56)</f>
        <v>183005</v>
      </c>
      <c r="M51" s="733">
        <f>SUM(M52:M56)</f>
        <v>130004</v>
      </c>
      <c r="N51" s="224">
        <f>SUM(N52:N56)</f>
        <v>115004</v>
      </c>
    </row>
    <row r="52" spans="1:14" s="219" customFormat="1" ht="11.25" x14ac:dyDescent="0.2">
      <c r="A52" s="130">
        <f t="shared" si="8"/>
        <v>45</v>
      </c>
      <c r="B52" s="156"/>
      <c r="C52" s="164" t="s">
        <v>230</v>
      </c>
      <c r="D52" s="1265" t="s">
        <v>231</v>
      </c>
      <c r="E52" s="692" t="s">
        <v>912</v>
      </c>
      <c r="F52" s="1266"/>
      <c r="G52" s="1267"/>
      <c r="H52" s="1268">
        <f>výdavky!D807+výdavky!D806</f>
        <v>5999</v>
      </c>
      <c r="I52" s="1269">
        <f>výdavky!E807</f>
        <v>1864.24</v>
      </c>
      <c r="J52" s="1270">
        <f>výdavky!F807</f>
        <v>0</v>
      </c>
      <c r="K52" s="1271">
        <f>výdavky!G807</f>
        <v>0</v>
      </c>
      <c r="L52" s="1268">
        <f>výdavky!H807</f>
        <v>0</v>
      </c>
      <c r="M52" s="1269">
        <f>výdavky!I807</f>
        <v>0</v>
      </c>
      <c r="N52" s="1270">
        <f>výdavky!J807</f>
        <v>0</v>
      </c>
    </row>
    <row r="53" spans="1:14" s="1362" customFormat="1" ht="11.25" x14ac:dyDescent="0.2">
      <c r="A53" s="130"/>
      <c r="B53" s="156"/>
      <c r="C53" s="164" t="s">
        <v>1031</v>
      </c>
      <c r="D53" s="2059" t="s">
        <v>233</v>
      </c>
      <c r="E53" s="1465" t="s">
        <v>934</v>
      </c>
      <c r="F53" s="2060"/>
      <c r="G53" s="2061"/>
      <c r="H53" s="2062">
        <f>výdavky!D810</f>
        <v>3000</v>
      </c>
      <c r="I53" s="2063">
        <f>výdavky!E810</f>
        <v>3386.17</v>
      </c>
      <c r="J53" s="2064">
        <f>výdavky!F810</f>
        <v>3300</v>
      </c>
      <c r="K53" s="2065">
        <f>výdavky!G810+výdavky!G811</f>
        <v>6087</v>
      </c>
      <c r="L53" s="2062">
        <f>výdavky!H810</f>
        <v>300</v>
      </c>
      <c r="M53" s="2063">
        <f>výdavky!I810</f>
        <v>0</v>
      </c>
      <c r="N53" s="2064">
        <f>výdavky!J810</f>
        <v>0</v>
      </c>
    </row>
    <row r="54" spans="1:14" s="1362" customFormat="1" ht="11.25" x14ac:dyDescent="0.2">
      <c r="A54" s="130"/>
      <c r="B54" s="156"/>
      <c r="C54" s="164" t="s">
        <v>232</v>
      </c>
      <c r="D54" s="2059" t="s">
        <v>261</v>
      </c>
      <c r="E54" s="1465" t="s">
        <v>1032</v>
      </c>
      <c r="F54" s="2060"/>
      <c r="G54" s="2061"/>
      <c r="H54" s="2062">
        <f>výdavky!D812</f>
        <v>0</v>
      </c>
      <c r="I54" s="2063">
        <f>výdavky!E812</f>
        <v>72342.87</v>
      </c>
      <c r="J54" s="2064">
        <f>výdavky!F812</f>
        <v>0</v>
      </c>
      <c r="K54" s="2065">
        <f>výdavky!G812</f>
        <v>50000</v>
      </c>
      <c r="L54" s="2062">
        <f>výdavky!H812</f>
        <v>32501</v>
      </c>
      <c r="M54" s="2063">
        <f>výdavky!I812</f>
        <v>0</v>
      </c>
      <c r="N54" s="2064">
        <f>výdavky!J812</f>
        <v>0</v>
      </c>
    </row>
    <row r="55" spans="1:14" s="219" customFormat="1" ht="11.25" x14ac:dyDescent="0.2">
      <c r="A55" s="130">
        <v>46</v>
      </c>
      <c r="B55" s="156"/>
      <c r="C55" s="164" t="s">
        <v>782</v>
      </c>
      <c r="D55" s="208" t="s">
        <v>263</v>
      </c>
      <c r="E55" s="196" t="s">
        <v>783</v>
      </c>
      <c r="F55" s="225"/>
      <c r="G55" s="226"/>
      <c r="H55" s="891">
        <f>výdavky!D809+výdavky!D808</f>
        <v>46910</v>
      </c>
      <c r="I55" s="734">
        <f>výdavky!E809</f>
        <v>55200</v>
      </c>
      <c r="J55" s="227">
        <f>výdavky!F809</f>
        <v>55200</v>
      </c>
      <c r="K55" s="905">
        <f>výdavky!G809</f>
        <v>55200</v>
      </c>
      <c r="L55" s="891">
        <f>výdavky!H809</f>
        <v>55200</v>
      </c>
      <c r="M55" s="734">
        <f>výdavky!I809</f>
        <v>35000</v>
      </c>
      <c r="N55" s="227">
        <f>výdavky!J809</f>
        <v>20000</v>
      </c>
    </row>
    <row r="56" spans="1:14" s="219" customFormat="1" ht="11.25" x14ac:dyDescent="0.2">
      <c r="A56" s="130">
        <v>47</v>
      </c>
      <c r="B56" s="156"/>
      <c r="C56" s="164" t="s">
        <v>232</v>
      </c>
      <c r="D56" s="213" t="s">
        <v>265</v>
      </c>
      <c r="E56" s="200" t="s">
        <v>234</v>
      </c>
      <c r="F56" s="203"/>
      <c r="G56" s="228"/>
      <c r="H56" s="892">
        <f>výdavky!D813+výdavky!D811</f>
        <v>86592</v>
      </c>
      <c r="I56" s="735">
        <f>výdavky!E813+výdavky!E806</f>
        <v>97885.46</v>
      </c>
      <c r="J56" s="229">
        <f>výdavky!F813+výdavky!F811</f>
        <v>95004</v>
      </c>
      <c r="K56" s="906">
        <f>výdavky!G813+výdavky!G806</f>
        <v>95004</v>
      </c>
      <c r="L56" s="892">
        <f>výdavky!H813</f>
        <v>95004</v>
      </c>
      <c r="M56" s="735">
        <f>výdavky!I813+výdavky!I810</f>
        <v>95004</v>
      </c>
      <c r="N56" s="229">
        <f>výdavky!J813+výdavky!J810</f>
        <v>95004</v>
      </c>
    </row>
    <row r="57" spans="1:14" x14ac:dyDescent="0.2">
      <c r="A57" s="130">
        <v>48</v>
      </c>
      <c r="B57" s="230">
        <v>4</v>
      </c>
      <c r="C57" s="231" t="s">
        <v>235</v>
      </c>
      <c r="D57" s="137"/>
      <c r="E57" s="137"/>
      <c r="F57" s="138"/>
      <c r="G57" s="139">
        <f>SUM(G59)</f>
        <v>782.50000000000011</v>
      </c>
      <c r="H57" s="572">
        <f>H58</f>
        <v>27444</v>
      </c>
      <c r="I57" s="308">
        <f>SUM(I58)</f>
        <v>20221.73</v>
      </c>
      <c r="J57" s="141">
        <f>J58</f>
        <v>21370</v>
      </c>
      <c r="K57" s="410">
        <f>SUM(K58)</f>
        <v>22170</v>
      </c>
      <c r="L57" s="572">
        <f>SUM(L58)</f>
        <v>22370</v>
      </c>
      <c r="M57" s="308">
        <f>SUM(M58)</f>
        <v>23570</v>
      </c>
      <c r="N57" s="141">
        <f>SUM(N58)</f>
        <v>23570</v>
      </c>
    </row>
    <row r="58" spans="1:14" x14ac:dyDescent="0.2">
      <c r="A58" s="130">
        <v>49</v>
      </c>
      <c r="B58" s="232"/>
      <c r="C58" s="222"/>
      <c r="D58" s="132" t="s">
        <v>176</v>
      </c>
      <c r="E58" s="152"/>
      <c r="F58" s="153"/>
      <c r="G58" s="154">
        <f t="shared" ref="G58:N58" si="13">G59</f>
        <v>782.50000000000011</v>
      </c>
      <c r="H58" s="573">
        <f>H59</f>
        <v>27444</v>
      </c>
      <c r="I58" s="305">
        <f t="shared" si="13"/>
        <v>20221.73</v>
      </c>
      <c r="J58" s="155">
        <f>J59</f>
        <v>21370</v>
      </c>
      <c r="K58" s="412">
        <f t="shared" si="13"/>
        <v>22170</v>
      </c>
      <c r="L58" s="573">
        <f t="shared" si="13"/>
        <v>22370</v>
      </c>
      <c r="M58" s="305">
        <f t="shared" si="13"/>
        <v>23570</v>
      </c>
      <c r="N58" s="155">
        <f t="shared" si="13"/>
        <v>23570</v>
      </c>
    </row>
    <row r="59" spans="1:14" x14ac:dyDescent="0.2">
      <c r="A59" s="130">
        <f t="shared" ref="A59:A65" si="14">A58+1</f>
        <v>50</v>
      </c>
      <c r="B59" s="156"/>
      <c r="C59" s="233" t="s">
        <v>236</v>
      </c>
      <c r="D59" s="191" t="s">
        <v>237</v>
      </c>
      <c r="E59" s="159"/>
      <c r="F59" s="160"/>
      <c r="G59" s="193">
        <f>SUM(G60:G65)</f>
        <v>782.50000000000011</v>
      </c>
      <c r="H59" s="574">
        <f>SUM(H60:H65)</f>
        <v>27444</v>
      </c>
      <c r="I59" s="338">
        <f>I60+I61+I62+I63+I64+I65</f>
        <v>20221.73</v>
      </c>
      <c r="J59" s="162">
        <f>SUM(J60:J65)</f>
        <v>21370</v>
      </c>
      <c r="K59" s="276">
        <f>SUM(K60:K65)</f>
        <v>22170</v>
      </c>
      <c r="L59" s="574">
        <f>SUM(L60:L65)</f>
        <v>22370</v>
      </c>
      <c r="M59" s="338">
        <f>SUM(M60:M65)</f>
        <v>23570</v>
      </c>
      <c r="N59" s="162">
        <f>SUM(N60:N65)</f>
        <v>23570</v>
      </c>
    </row>
    <row r="60" spans="1:14" x14ac:dyDescent="0.2">
      <c r="A60" s="130">
        <f t="shared" si="14"/>
        <v>51</v>
      </c>
      <c r="B60" s="156"/>
      <c r="C60" s="214" t="s">
        <v>185</v>
      </c>
      <c r="D60" s="208" t="s">
        <v>210</v>
      </c>
      <c r="E60" s="166" t="s">
        <v>238</v>
      </c>
      <c r="F60" s="209"/>
      <c r="G60" s="215">
        <f t="shared" ref="G60:G65" si="15">ROUND(M60/30.126,1)</f>
        <v>564.29999999999995</v>
      </c>
      <c r="H60" s="575">
        <f>výdavky!D95+výdavky!D105</f>
        <v>20574</v>
      </c>
      <c r="I60" s="306">
        <f>výdavky!E95+výdavky!E105</f>
        <v>14341.76</v>
      </c>
      <c r="J60" s="169">
        <f>výdavky!F95+výdavky!F105</f>
        <v>15000</v>
      </c>
      <c r="K60" s="567">
        <f>výdavky!G95+výdavky!G105</f>
        <v>15800</v>
      </c>
      <c r="L60" s="575">
        <f>výdavky!H95+výdavky!H105</f>
        <v>15800</v>
      </c>
      <c r="M60" s="306">
        <f>výdavky!I95</f>
        <v>17000</v>
      </c>
      <c r="N60" s="169">
        <f>výdavky!J95</f>
        <v>17000</v>
      </c>
    </row>
    <row r="61" spans="1:14" x14ac:dyDescent="0.2">
      <c r="A61" s="130">
        <f t="shared" si="14"/>
        <v>52</v>
      </c>
      <c r="B61" s="156"/>
      <c r="C61" s="214" t="s">
        <v>187</v>
      </c>
      <c r="D61" s="213" t="s">
        <v>212</v>
      </c>
      <c r="E61" s="175" t="s">
        <v>239</v>
      </c>
      <c r="F61" s="181"/>
      <c r="G61" s="182">
        <f t="shared" si="15"/>
        <v>199.2</v>
      </c>
      <c r="H61" s="576">
        <f>výdavky!D97+výdavky!D98</f>
        <v>6250</v>
      </c>
      <c r="I61" s="307">
        <f>výdavky!E97</f>
        <v>5529.39</v>
      </c>
      <c r="J61" s="174">
        <f>výdavky!F97+výdavky!F98</f>
        <v>5800</v>
      </c>
      <c r="K61" s="417">
        <f>výdavky!G97</f>
        <v>5800</v>
      </c>
      <c r="L61" s="576">
        <f>výdavky!H97</f>
        <v>6000</v>
      </c>
      <c r="M61" s="307">
        <f>výdavky!I97</f>
        <v>6000</v>
      </c>
      <c r="N61" s="174">
        <f>výdavky!J97</f>
        <v>6000</v>
      </c>
    </row>
    <row r="62" spans="1:14" x14ac:dyDescent="0.2">
      <c r="A62" s="130">
        <f t="shared" si="14"/>
        <v>53</v>
      </c>
      <c r="B62" s="156"/>
      <c r="C62" s="214" t="s">
        <v>221</v>
      </c>
      <c r="D62" s="208" t="s">
        <v>223</v>
      </c>
      <c r="E62" s="166" t="s">
        <v>240</v>
      </c>
      <c r="F62" s="209"/>
      <c r="G62" s="215">
        <f t="shared" si="15"/>
        <v>0.7</v>
      </c>
      <c r="H62" s="575">
        <f>výdavky!D99</f>
        <v>20</v>
      </c>
      <c r="I62" s="306">
        <f>výdavky!E99</f>
        <v>0</v>
      </c>
      <c r="J62" s="169">
        <f>výdavky!F99</f>
        <v>20</v>
      </c>
      <c r="K62" s="567">
        <f>výdavky!G99</f>
        <v>20</v>
      </c>
      <c r="L62" s="575">
        <f>výdavky!H99</f>
        <v>20</v>
      </c>
      <c r="M62" s="306">
        <f>výdavky!I99</f>
        <v>20</v>
      </c>
      <c r="N62" s="169">
        <f>výdavky!J99</f>
        <v>20</v>
      </c>
    </row>
    <row r="63" spans="1:14" x14ac:dyDescent="0.2">
      <c r="A63" s="130">
        <f t="shared" si="14"/>
        <v>54</v>
      </c>
      <c r="B63" s="156"/>
      <c r="C63" s="214" t="s">
        <v>221</v>
      </c>
      <c r="D63" s="213" t="s">
        <v>225</v>
      </c>
      <c r="E63" s="171" t="s">
        <v>241</v>
      </c>
      <c r="F63" s="201"/>
      <c r="G63" s="182">
        <f t="shared" si="15"/>
        <v>10</v>
      </c>
      <c r="H63" s="576">
        <f>výdavky!D100</f>
        <v>350</v>
      </c>
      <c r="I63" s="307">
        <f>výdavky!E100</f>
        <v>316.98</v>
      </c>
      <c r="J63" s="174">
        <f>výdavky!F100</f>
        <v>300</v>
      </c>
      <c r="K63" s="417">
        <f>výdavky!G100</f>
        <v>300</v>
      </c>
      <c r="L63" s="576">
        <f>výdavky!H100</f>
        <v>300</v>
      </c>
      <c r="M63" s="307">
        <f>výdavky!I100</f>
        <v>300</v>
      </c>
      <c r="N63" s="174">
        <f>výdavky!J100</f>
        <v>300</v>
      </c>
    </row>
    <row r="64" spans="1:14" x14ac:dyDescent="0.2">
      <c r="A64" s="130">
        <f t="shared" si="14"/>
        <v>55</v>
      </c>
      <c r="B64" s="156"/>
      <c r="C64" s="214" t="s">
        <v>221</v>
      </c>
      <c r="D64" s="208" t="s">
        <v>227</v>
      </c>
      <c r="E64" s="234" t="s">
        <v>476</v>
      </c>
      <c r="F64" s="197"/>
      <c r="G64" s="215">
        <f t="shared" si="15"/>
        <v>1.7</v>
      </c>
      <c r="H64" s="575">
        <f>výdavky!D106</f>
        <v>50</v>
      </c>
      <c r="I64" s="306">
        <f>výdavky!E106</f>
        <v>0</v>
      </c>
      <c r="J64" s="169">
        <f>výdavky!F106</f>
        <v>50</v>
      </c>
      <c r="K64" s="567">
        <f>výdavky!G106</f>
        <v>50</v>
      </c>
      <c r="L64" s="575">
        <f>výdavky!H106</f>
        <v>50</v>
      </c>
      <c r="M64" s="306">
        <f>výdavky!I106</f>
        <v>50</v>
      </c>
      <c r="N64" s="169">
        <f>výdavky!J106</f>
        <v>50</v>
      </c>
    </row>
    <row r="65" spans="1:14" x14ac:dyDescent="0.2">
      <c r="A65" s="130">
        <f t="shared" si="14"/>
        <v>56</v>
      </c>
      <c r="B65" s="156"/>
      <c r="C65" s="214" t="s">
        <v>221</v>
      </c>
      <c r="D65" s="213" t="s">
        <v>231</v>
      </c>
      <c r="E65" s="171" t="s">
        <v>202</v>
      </c>
      <c r="F65" s="201"/>
      <c r="G65" s="182">
        <f t="shared" si="15"/>
        <v>6.6</v>
      </c>
      <c r="H65" s="576">
        <f>výdavky!D104</f>
        <v>200</v>
      </c>
      <c r="I65" s="307">
        <f>výdavky!E104</f>
        <v>33.6</v>
      </c>
      <c r="J65" s="174">
        <f>výdavky!F104</f>
        <v>200</v>
      </c>
      <c r="K65" s="417">
        <f>výdavky!G104</f>
        <v>200</v>
      </c>
      <c r="L65" s="576">
        <f>výdavky!H104</f>
        <v>200</v>
      </c>
      <c r="M65" s="307">
        <f>výdavky!I104</f>
        <v>200</v>
      </c>
      <c r="N65" s="174">
        <f>výdavky!J104</f>
        <v>200</v>
      </c>
    </row>
    <row r="66" spans="1:14" x14ac:dyDescent="0.2">
      <c r="A66" s="130">
        <v>57</v>
      </c>
      <c r="B66" s="135">
        <v>5</v>
      </c>
      <c r="C66" s="235" t="s">
        <v>242</v>
      </c>
      <c r="D66" s="137"/>
      <c r="E66" s="137"/>
      <c r="F66" s="236"/>
      <c r="G66" s="139">
        <v>0</v>
      </c>
      <c r="H66" s="572">
        <f>H67</f>
        <v>3000</v>
      </c>
      <c r="I66" s="308">
        <f t="shared" ref="I66:N67" si="16">I67</f>
        <v>7165</v>
      </c>
      <c r="J66" s="141">
        <f>J67</f>
        <v>3000</v>
      </c>
      <c r="K66" s="410">
        <f t="shared" si="16"/>
        <v>14394</v>
      </c>
      <c r="L66" s="572">
        <f t="shared" si="16"/>
        <v>0</v>
      </c>
      <c r="M66" s="308">
        <f t="shared" si="16"/>
        <v>0</v>
      </c>
      <c r="N66" s="141">
        <f t="shared" si="16"/>
        <v>0</v>
      </c>
    </row>
    <row r="67" spans="1:14" x14ac:dyDescent="0.2">
      <c r="A67" s="130">
        <f>A66+1</f>
        <v>58</v>
      </c>
      <c r="B67" s="150"/>
      <c r="C67" s="151"/>
      <c r="D67" s="133" t="s">
        <v>176</v>
      </c>
      <c r="E67" s="152"/>
      <c r="F67" s="153"/>
      <c r="G67" s="154">
        <f>G68</f>
        <v>0</v>
      </c>
      <c r="H67" s="573">
        <f>H68</f>
        <v>3000</v>
      </c>
      <c r="I67" s="305">
        <f t="shared" si="16"/>
        <v>7165</v>
      </c>
      <c r="J67" s="155">
        <f>J68</f>
        <v>3000</v>
      </c>
      <c r="K67" s="412">
        <f t="shared" si="16"/>
        <v>14394</v>
      </c>
      <c r="L67" s="573">
        <f t="shared" si="16"/>
        <v>0</v>
      </c>
      <c r="M67" s="305">
        <f t="shared" si="16"/>
        <v>0</v>
      </c>
      <c r="N67" s="155">
        <f t="shared" si="16"/>
        <v>0</v>
      </c>
    </row>
    <row r="68" spans="1:14" x14ac:dyDescent="0.2">
      <c r="A68" s="130">
        <f>A67+1</f>
        <v>59</v>
      </c>
      <c r="B68" s="150"/>
      <c r="C68" s="237" t="s">
        <v>243</v>
      </c>
      <c r="D68" s="191" t="s">
        <v>244</v>
      </c>
      <c r="E68" s="159"/>
      <c r="F68" s="192"/>
      <c r="G68" s="193">
        <f>SUM(G69:G69)</f>
        <v>0</v>
      </c>
      <c r="H68" s="574">
        <f>H69+H70</f>
        <v>3000</v>
      </c>
      <c r="I68" s="338">
        <f>SUM(I69:I70)</f>
        <v>7165</v>
      </c>
      <c r="J68" s="162">
        <f>J69+J70</f>
        <v>3000</v>
      </c>
      <c r="K68" s="276">
        <f>SUM(K69:K70)</f>
        <v>14394</v>
      </c>
      <c r="L68" s="574">
        <f>SUM(L69:L70)</f>
        <v>0</v>
      </c>
      <c r="M68" s="338">
        <f>SUM(M69:M70)</f>
        <v>0</v>
      </c>
      <c r="N68" s="162">
        <f>SUM(N69:N70)</f>
        <v>0</v>
      </c>
    </row>
    <row r="69" spans="1:14" x14ac:dyDescent="0.2">
      <c r="A69" s="130">
        <f>A68+1</f>
        <v>60</v>
      </c>
      <c r="B69" s="150"/>
      <c r="C69" s="238">
        <v>630</v>
      </c>
      <c r="D69" s="199">
        <v>1</v>
      </c>
      <c r="E69" s="239" t="s">
        <v>245</v>
      </c>
      <c r="F69" s="240"/>
      <c r="G69" s="241"/>
      <c r="H69" s="892">
        <f>výdavky!D10+výdavky!D11</f>
        <v>3000</v>
      </c>
      <c r="I69" s="735">
        <f>SUM(výdavky!E10)+výdavky!E11+výdavky!E16</f>
        <v>7165</v>
      </c>
      <c r="J69" s="229">
        <f>výdavky!F10</f>
        <v>3000</v>
      </c>
      <c r="K69" s="906">
        <f>SUM(výdavky!G10,výdavky!G11,výdavky!G16)</f>
        <v>14394</v>
      </c>
      <c r="L69" s="892">
        <f>výdavky!H10</f>
        <v>0</v>
      </c>
      <c r="M69" s="735">
        <f>výdavky!I10</f>
        <v>0</v>
      </c>
      <c r="N69" s="229">
        <f>výdavky!J10</f>
        <v>0</v>
      </c>
    </row>
    <row r="70" spans="1:14" ht="13.5" thickBot="1" x14ac:dyDescent="0.25">
      <c r="A70" s="242">
        <f>A69+1</f>
        <v>61</v>
      </c>
      <c r="B70" s="243"/>
      <c r="C70" s="244">
        <v>630</v>
      </c>
      <c r="D70" s="245">
        <v>2</v>
      </c>
      <c r="E70" s="246" t="s">
        <v>245</v>
      </c>
      <c r="F70" s="247"/>
      <c r="G70" s="248"/>
      <c r="H70" s="894"/>
      <c r="I70" s="736">
        <v>0</v>
      </c>
      <c r="J70" s="249"/>
      <c r="K70" s="907">
        <v>0</v>
      </c>
      <c r="L70" s="894">
        <f>výdavky!H10</f>
        <v>0</v>
      </c>
      <c r="M70" s="1169">
        <f>výdavky!I10</f>
        <v>0</v>
      </c>
      <c r="N70" s="249">
        <f>výdavky!I10</f>
        <v>0</v>
      </c>
    </row>
  </sheetData>
  <mergeCells count="2">
    <mergeCell ref="G3:N3"/>
    <mergeCell ref="D4:F6"/>
  </mergeCells>
  <phoneticPr fontId="43" type="noConversion"/>
  <pageMargins left="0.25" right="0.25" top="0.75" bottom="0.75" header="0.3" footer="0.3"/>
  <pageSetup paperSize="9" scale="80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52"/>
  <sheetViews>
    <sheetView topLeftCell="A4" workbookViewId="0">
      <selection activeCell="A10" sqref="A10:I10"/>
    </sheetView>
  </sheetViews>
  <sheetFormatPr defaultRowHeight="12.75" x14ac:dyDescent="0.2"/>
  <sheetData>
    <row r="2" spans="1:10" ht="25.5" x14ac:dyDescent="0.2">
      <c r="A2" s="2332" t="s">
        <v>1036</v>
      </c>
      <c r="B2" s="2332"/>
      <c r="C2" s="2332"/>
      <c r="D2" s="2332" t="s">
        <v>1037</v>
      </c>
      <c r="E2" s="2332"/>
      <c r="F2" s="2332"/>
      <c r="G2" s="2332"/>
      <c r="H2" s="2332"/>
      <c r="I2" s="2332"/>
      <c r="J2" s="2066"/>
    </row>
    <row r="3" spans="1:10" ht="12.75" customHeight="1" x14ac:dyDescent="0.2">
      <c r="A3" s="2068"/>
      <c r="B3" s="2068"/>
      <c r="C3" s="2068"/>
      <c r="D3" s="2068"/>
      <c r="E3" s="2068"/>
      <c r="F3" s="2068"/>
      <c r="G3" s="2068"/>
      <c r="H3" s="2068"/>
      <c r="I3" s="2068"/>
    </row>
    <row r="4" spans="1:10" ht="48.75" customHeight="1" x14ac:dyDescent="0.2">
      <c r="A4" s="2330" t="s">
        <v>1038</v>
      </c>
      <c r="B4" s="2331"/>
      <c r="C4" s="2331"/>
      <c r="D4" s="2331"/>
      <c r="E4" s="2331"/>
      <c r="F4" s="2331"/>
      <c r="G4" s="2331"/>
      <c r="H4" s="2331"/>
      <c r="I4" s="2331"/>
    </row>
    <row r="5" spans="1:10" ht="15.75" x14ac:dyDescent="0.2">
      <c r="A5" s="2067"/>
    </row>
    <row r="6" spans="1:10" ht="18.75" x14ac:dyDescent="0.3">
      <c r="A6" s="2069" t="s">
        <v>1039</v>
      </c>
    </row>
    <row r="7" spans="1:10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</row>
    <row r="8" spans="1:10" ht="15.75" x14ac:dyDescent="0.25">
      <c r="A8" s="2070" t="s">
        <v>170</v>
      </c>
      <c r="B8" s="1579">
        <f>'Program 1'!H7</f>
        <v>545154.52</v>
      </c>
      <c r="C8" s="1579">
        <f>'Program 1'!I7</f>
        <v>604362.42119999998</v>
      </c>
      <c r="D8" s="1579">
        <f>'Program 1'!J7</f>
        <v>502124</v>
      </c>
      <c r="E8" s="1579">
        <f>'Program 1'!K7</f>
        <v>617124.19999999995</v>
      </c>
      <c r="F8" s="2072">
        <f>'Program 1'!L7</f>
        <v>571353.4</v>
      </c>
      <c r="G8" s="1579">
        <f>'Program 1'!M7</f>
        <v>511934</v>
      </c>
      <c r="H8" s="1579">
        <f>'Program 1'!N7</f>
        <v>499234</v>
      </c>
    </row>
    <row r="10" spans="1:10" ht="103.5" customHeight="1" x14ac:dyDescent="0.25">
      <c r="A10" s="2309" t="s">
        <v>1041</v>
      </c>
      <c r="B10" s="2309"/>
      <c r="C10" s="2309"/>
      <c r="D10" s="2309"/>
      <c r="E10" s="2309"/>
      <c r="F10" s="2309"/>
      <c r="G10" s="2309"/>
      <c r="H10" s="2309"/>
      <c r="I10" s="2309"/>
    </row>
    <row r="12" spans="1:10" ht="15" x14ac:dyDescent="0.25">
      <c r="A12" s="2306" t="s">
        <v>1042</v>
      </c>
      <c r="B12" s="2306"/>
      <c r="C12" s="2306"/>
      <c r="D12" s="2306" t="s">
        <v>180</v>
      </c>
      <c r="E12" s="2306"/>
      <c r="F12" s="2306"/>
      <c r="G12" s="2306"/>
      <c r="H12" s="2306"/>
      <c r="I12" s="2306"/>
    </row>
    <row r="14" spans="1:10" ht="27.75" customHeight="1" x14ac:dyDescent="0.25">
      <c r="A14" s="2307" t="s">
        <v>1043</v>
      </c>
      <c r="B14" s="2307"/>
      <c r="C14" s="2307"/>
      <c r="D14" s="2307"/>
      <c r="E14" s="2307"/>
      <c r="F14" s="2307"/>
      <c r="G14" s="2307"/>
      <c r="H14" s="2307"/>
      <c r="I14" s="2307"/>
    </row>
    <row r="16" spans="1:10" ht="15" x14ac:dyDescent="0.25">
      <c r="A16" s="2076" t="s">
        <v>1039</v>
      </c>
      <c r="B16" s="2057"/>
      <c r="C16" s="2057"/>
      <c r="D16" s="2057"/>
      <c r="E16" s="2057"/>
      <c r="F16" s="2057"/>
      <c r="G16" s="2057"/>
      <c r="H16" s="2057"/>
      <c r="I16" s="2057"/>
    </row>
    <row r="17" spans="1:9" ht="15" x14ac:dyDescent="0.25">
      <c r="A17" s="2074" t="s">
        <v>1040</v>
      </c>
      <c r="B17" s="2074">
        <v>2022</v>
      </c>
      <c r="C17" s="2074">
        <v>2023</v>
      </c>
      <c r="D17" s="2074">
        <v>2024</v>
      </c>
      <c r="E17" s="2074" t="s">
        <v>984</v>
      </c>
      <c r="F17" s="2074">
        <v>2025</v>
      </c>
      <c r="G17" s="2074">
        <v>2026</v>
      </c>
      <c r="H17" s="2074">
        <v>2027</v>
      </c>
      <c r="I17" s="2057"/>
    </row>
    <row r="18" spans="1:9" ht="15" x14ac:dyDescent="0.25">
      <c r="A18" s="2075" t="s">
        <v>170</v>
      </c>
      <c r="B18" s="2077">
        <f>'Program 1'!H11</f>
        <v>332295</v>
      </c>
      <c r="C18" s="2077">
        <f>'Program 1'!I11</f>
        <v>293987.11120000004</v>
      </c>
      <c r="D18" s="2077">
        <f>'Program 1'!J11</f>
        <v>298750</v>
      </c>
      <c r="E18" s="2077">
        <f>'Program 1'!K11</f>
        <v>349667.2</v>
      </c>
      <c r="F18" s="2078">
        <f>'Program 1'!L11</f>
        <v>326926.40000000002</v>
      </c>
      <c r="G18" s="2077">
        <f>'Program 1'!M11</f>
        <v>328860</v>
      </c>
      <c r="H18" s="2077">
        <f>'Program 1'!N11</f>
        <v>331660</v>
      </c>
      <c r="I18" s="2057"/>
    </row>
    <row r="20" spans="1:9" ht="141.75" customHeight="1" x14ac:dyDescent="0.2">
      <c r="A20" s="2316" t="s">
        <v>1044</v>
      </c>
      <c r="B20" s="2316"/>
      <c r="C20" s="2316"/>
      <c r="D20" s="2316"/>
      <c r="E20" s="2316"/>
      <c r="F20" s="2316"/>
      <c r="G20" s="2316"/>
      <c r="H20" s="2316"/>
      <c r="I20" s="2316"/>
    </row>
    <row r="22" spans="1:9" ht="15" x14ac:dyDescent="0.25">
      <c r="A22" s="2317" t="s">
        <v>1045</v>
      </c>
      <c r="B22" s="2317"/>
      <c r="C22" s="2317"/>
      <c r="D22" s="2317" t="s">
        <v>182</v>
      </c>
      <c r="E22" s="2317"/>
      <c r="F22" s="2317"/>
      <c r="G22" s="2317"/>
      <c r="H22" s="2317"/>
      <c r="I22" s="2317"/>
    </row>
    <row r="23" spans="1:9" ht="15" x14ac:dyDescent="0.25">
      <c r="A23" s="2318" t="s">
        <v>1046</v>
      </c>
      <c r="B23" s="2318"/>
      <c r="C23" s="2318"/>
      <c r="D23" s="2319" t="s">
        <v>1047</v>
      </c>
      <c r="E23" s="2319"/>
      <c r="F23" s="2319"/>
      <c r="G23" s="2319"/>
      <c r="H23" s="2319"/>
      <c r="I23" s="2319"/>
    </row>
    <row r="24" spans="1:9" x14ac:dyDescent="0.2">
      <c r="A24" s="2205" t="s">
        <v>1048</v>
      </c>
      <c r="B24" s="2205"/>
      <c r="C24" s="2205"/>
      <c r="D24" s="2205" t="s">
        <v>1049</v>
      </c>
      <c r="E24" s="2205"/>
      <c r="F24" s="2205"/>
      <c r="G24" s="2205"/>
      <c r="H24" s="2205"/>
      <c r="I24" s="2205"/>
    </row>
    <row r="26" spans="1:9" ht="15" x14ac:dyDescent="0.25">
      <c r="A26" s="2076" t="s">
        <v>1050</v>
      </c>
      <c r="B26" s="2057"/>
      <c r="C26" s="2057"/>
      <c r="D26" s="2057"/>
      <c r="E26" s="2057"/>
      <c r="F26" s="2057"/>
      <c r="G26" s="2057"/>
      <c r="H26" s="2057"/>
    </row>
    <row r="27" spans="1:9" ht="15" x14ac:dyDescent="0.25">
      <c r="A27" s="2079" t="s">
        <v>1040</v>
      </c>
      <c r="B27" s="2079">
        <v>2022</v>
      </c>
      <c r="C27" s="2079">
        <v>2023</v>
      </c>
      <c r="D27" s="2079">
        <v>2024</v>
      </c>
      <c r="E27" s="2079" t="s">
        <v>984</v>
      </c>
      <c r="F27" s="2079">
        <v>2025</v>
      </c>
      <c r="G27" s="2079">
        <v>2026</v>
      </c>
      <c r="H27" s="2079">
        <v>2027</v>
      </c>
    </row>
    <row r="28" spans="1:9" ht="15" x14ac:dyDescent="0.25">
      <c r="A28" s="2075" t="s">
        <v>170</v>
      </c>
      <c r="B28" s="2077">
        <f>'Program 1'!H12</f>
        <v>315995</v>
      </c>
      <c r="C28" s="2077">
        <f>'Program 1'!I12</f>
        <v>276733.48120000004</v>
      </c>
      <c r="D28" s="2077">
        <f>'Program 1'!J12</f>
        <v>278650</v>
      </c>
      <c r="E28" s="2077">
        <f>'Program 1'!K12</f>
        <v>328590.2</v>
      </c>
      <c r="F28" s="2078">
        <f>'Program 1'!L12</f>
        <v>305526.40000000002</v>
      </c>
      <c r="G28" s="2077">
        <f>'Program 1'!M12</f>
        <v>307460</v>
      </c>
      <c r="H28" s="2077">
        <f>'Program 1'!N12</f>
        <v>310260</v>
      </c>
    </row>
    <row r="36" spans="1:9" ht="15" x14ac:dyDescent="0.25">
      <c r="A36" s="2076" t="s">
        <v>1051</v>
      </c>
      <c r="H36" s="2080"/>
      <c r="I36" s="2080"/>
    </row>
    <row r="37" spans="1:9" ht="38.25" x14ac:dyDescent="0.2">
      <c r="A37" s="2310" t="s">
        <v>1052</v>
      </c>
      <c r="B37" s="2310"/>
      <c r="C37" s="2310"/>
      <c r="D37" s="2310" t="s">
        <v>1056</v>
      </c>
      <c r="E37" s="2310"/>
      <c r="F37" s="2310"/>
      <c r="G37" s="2087" t="s">
        <v>1054</v>
      </c>
      <c r="H37" s="2087" t="s">
        <v>1055</v>
      </c>
      <c r="I37" s="2087" t="s">
        <v>1053</v>
      </c>
    </row>
    <row r="38" spans="1:9" x14ac:dyDescent="0.2">
      <c r="A38" s="2320" t="s">
        <v>1062</v>
      </c>
      <c r="B38" s="2320"/>
      <c r="C38" s="2320"/>
      <c r="D38" s="2205" t="s">
        <v>1057</v>
      </c>
      <c r="E38" s="2205"/>
      <c r="F38" s="2205"/>
      <c r="G38" s="2081">
        <v>5</v>
      </c>
      <c r="H38" s="2081">
        <v>5</v>
      </c>
      <c r="I38" s="2081">
        <v>5</v>
      </c>
    </row>
    <row r="39" spans="1:9" x14ac:dyDescent="0.2">
      <c r="A39" s="2320"/>
      <c r="B39" s="2320"/>
      <c r="C39" s="2320"/>
      <c r="D39" s="2082" t="s">
        <v>1058</v>
      </c>
      <c r="E39" s="2082"/>
      <c r="F39" s="2082"/>
      <c r="G39" s="2081">
        <v>100</v>
      </c>
      <c r="H39" s="2081">
        <v>100</v>
      </c>
      <c r="I39" s="2081">
        <v>100</v>
      </c>
    </row>
    <row r="40" spans="1:9" x14ac:dyDescent="0.2">
      <c r="A40" s="2320"/>
      <c r="B40" s="2320"/>
      <c r="C40" s="2320"/>
      <c r="D40" s="2305" t="s">
        <v>1059</v>
      </c>
      <c r="E40" s="2305"/>
      <c r="F40" s="2305"/>
      <c r="G40" s="2081">
        <v>4</v>
      </c>
      <c r="H40" s="2081">
        <v>4</v>
      </c>
      <c r="I40" s="2081">
        <v>4</v>
      </c>
    </row>
    <row r="41" spans="1:9" ht="40.5" customHeight="1" x14ac:dyDescent="0.2">
      <c r="A41" s="2320"/>
      <c r="B41" s="2320"/>
      <c r="C41" s="2320"/>
      <c r="D41" s="2305" t="s">
        <v>1060</v>
      </c>
      <c r="E41" s="2305"/>
      <c r="F41" s="2305"/>
      <c r="G41" s="2083" t="s">
        <v>1063</v>
      </c>
      <c r="H41" s="2083" t="s">
        <v>1063</v>
      </c>
      <c r="I41" s="2083" t="s">
        <v>1063</v>
      </c>
    </row>
    <row r="42" spans="1:9" ht="25.5" customHeight="1" x14ac:dyDescent="0.2">
      <c r="A42" s="2320"/>
      <c r="B42" s="2320"/>
      <c r="C42" s="2320"/>
      <c r="D42" s="2305" t="s">
        <v>1061</v>
      </c>
      <c r="E42" s="2305"/>
      <c r="F42" s="2305"/>
      <c r="G42" s="2081">
        <v>1</v>
      </c>
      <c r="H42" s="2081">
        <v>1</v>
      </c>
      <c r="I42" s="2081">
        <v>1</v>
      </c>
    </row>
    <row r="43" spans="1:9" ht="44.25" customHeight="1" x14ac:dyDescent="0.2">
      <c r="A43" s="2320" t="s">
        <v>1067</v>
      </c>
      <c r="B43" s="2320"/>
      <c r="C43" s="2320"/>
      <c r="D43" s="2305" t="s">
        <v>1064</v>
      </c>
      <c r="E43" s="2305"/>
      <c r="F43" s="2305"/>
      <c r="G43" s="2084">
        <v>4</v>
      </c>
      <c r="H43" s="2084">
        <v>4</v>
      </c>
      <c r="I43" s="2084">
        <v>4</v>
      </c>
    </row>
    <row r="44" spans="1:9" ht="40.5" customHeight="1" x14ac:dyDescent="0.2">
      <c r="A44" s="2320"/>
      <c r="B44" s="2320"/>
      <c r="C44" s="2320"/>
      <c r="D44" s="2305" t="s">
        <v>1065</v>
      </c>
      <c r="E44" s="2305"/>
      <c r="F44" s="2305"/>
      <c r="G44" s="2085" t="s">
        <v>1066</v>
      </c>
      <c r="H44" s="2085" t="s">
        <v>1066</v>
      </c>
      <c r="I44" s="2085" t="s">
        <v>1066</v>
      </c>
    </row>
    <row r="45" spans="1:9" ht="39.75" customHeight="1" x14ac:dyDescent="0.2">
      <c r="A45" s="2321" t="s">
        <v>1072</v>
      </c>
      <c r="B45" s="2322"/>
      <c r="C45" s="2323"/>
      <c r="D45" s="2305" t="s">
        <v>1068</v>
      </c>
      <c r="E45" s="2305"/>
      <c r="F45" s="2305"/>
      <c r="G45" s="2083">
        <v>0</v>
      </c>
      <c r="H45" s="2083">
        <v>0</v>
      </c>
      <c r="I45" s="2083">
        <v>0</v>
      </c>
    </row>
    <row r="46" spans="1:9" ht="26.25" customHeight="1" x14ac:dyDescent="0.2">
      <c r="A46" s="2324"/>
      <c r="B46" s="2325"/>
      <c r="C46" s="2326"/>
      <c r="D46" s="2305" t="s">
        <v>1069</v>
      </c>
      <c r="E46" s="2305"/>
      <c r="F46" s="2305"/>
      <c r="G46" s="2083">
        <v>100</v>
      </c>
      <c r="H46" s="2083">
        <v>100</v>
      </c>
      <c r="I46" s="2083">
        <v>100</v>
      </c>
    </row>
    <row r="47" spans="1:9" ht="41.25" customHeight="1" x14ac:dyDescent="0.2">
      <c r="A47" s="2327" t="s">
        <v>1073</v>
      </c>
      <c r="B47" s="2328"/>
      <c r="C47" s="2329"/>
      <c r="D47" s="2305" t="s">
        <v>1070</v>
      </c>
      <c r="E47" s="2305"/>
      <c r="F47" s="2305"/>
      <c r="G47" s="2086" t="s">
        <v>1071</v>
      </c>
      <c r="H47" s="2086" t="s">
        <v>1071</v>
      </c>
      <c r="I47" s="2086" t="s">
        <v>1071</v>
      </c>
    </row>
    <row r="49" spans="1:9" ht="15" x14ac:dyDescent="0.25">
      <c r="A49" s="2317" t="s">
        <v>1074</v>
      </c>
      <c r="B49" s="2317"/>
      <c r="C49" s="2317"/>
      <c r="D49" s="2317" t="s">
        <v>205</v>
      </c>
      <c r="E49" s="2317"/>
      <c r="F49" s="2317"/>
      <c r="G49" s="2317"/>
      <c r="H49" s="2317"/>
      <c r="I49" s="2317"/>
    </row>
    <row r="50" spans="1:9" ht="32.25" customHeight="1" x14ac:dyDescent="0.25">
      <c r="A50" s="2318" t="s">
        <v>1046</v>
      </c>
      <c r="B50" s="2318"/>
      <c r="C50" s="2318"/>
      <c r="D50" s="2319" t="s">
        <v>1075</v>
      </c>
      <c r="E50" s="2319"/>
      <c r="F50" s="2319"/>
      <c r="G50" s="2319"/>
      <c r="H50" s="2319"/>
      <c r="I50" s="2319"/>
    </row>
    <row r="51" spans="1:9" x14ac:dyDescent="0.2">
      <c r="A51" s="2205" t="s">
        <v>1048</v>
      </c>
      <c r="B51" s="2205"/>
      <c r="C51" s="2205"/>
      <c r="D51" s="2205" t="s">
        <v>1049</v>
      </c>
      <c r="E51" s="2205"/>
      <c r="F51" s="2205"/>
      <c r="G51" s="2205"/>
      <c r="H51" s="2205"/>
      <c r="I51" s="2205"/>
    </row>
    <row r="52" spans="1:9" x14ac:dyDescent="0.2">
      <c r="A52" s="2057"/>
      <c r="B52" s="2057"/>
      <c r="C52" s="2057"/>
      <c r="D52" s="2057"/>
      <c r="E52" s="2057"/>
      <c r="F52" s="2057"/>
      <c r="G52" s="2057"/>
      <c r="H52" s="2057"/>
      <c r="I52" s="2057"/>
    </row>
    <row r="53" spans="1:9" ht="15" x14ac:dyDescent="0.25">
      <c r="A53" s="2076" t="s">
        <v>1050</v>
      </c>
      <c r="B53" s="2057"/>
      <c r="C53" s="2057"/>
      <c r="D53" s="2057"/>
      <c r="E53" s="2057"/>
      <c r="F53" s="2057"/>
      <c r="G53" s="2057"/>
      <c r="H53" s="2057"/>
      <c r="I53" s="2057"/>
    </row>
    <row r="54" spans="1:9" ht="15" x14ac:dyDescent="0.25">
      <c r="A54" s="2079" t="s">
        <v>1040</v>
      </c>
      <c r="B54" s="2079">
        <v>2022</v>
      </c>
      <c r="C54" s="2079">
        <v>2023</v>
      </c>
      <c r="D54" s="2079">
        <v>2024</v>
      </c>
      <c r="E54" s="2079" t="s">
        <v>984</v>
      </c>
      <c r="F54" s="2079">
        <v>2025</v>
      </c>
      <c r="G54" s="2079">
        <v>2026</v>
      </c>
      <c r="H54" s="2079">
        <v>2027</v>
      </c>
      <c r="I54" s="2057"/>
    </row>
    <row r="55" spans="1:9" ht="15" x14ac:dyDescent="0.25">
      <c r="A55" s="2075" t="s">
        <v>170</v>
      </c>
      <c r="B55" s="2077">
        <f>'Program 1'!H28</f>
        <v>16300</v>
      </c>
      <c r="C55" s="2077">
        <f>'Program 1'!I28</f>
        <v>17253.63</v>
      </c>
      <c r="D55" s="2077">
        <f>'Program 1'!J28</f>
        <v>20100</v>
      </c>
      <c r="E55" s="2077">
        <f>'Program 1'!K28</f>
        <v>21077</v>
      </c>
      <c r="F55" s="2078">
        <f>'Program 1'!L28</f>
        <v>21400</v>
      </c>
      <c r="G55" s="2077">
        <f>'Program 1'!M28</f>
        <v>21400</v>
      </c>
      <c r="H55" s="2077">
        <f>'Program 1'!N28</f>
        <v>21400</v>
      </c>
      <c r="I55" s="2057"/>
    </row>
    <row r="57" spans="1:9" ht="15" x14ac:dyDescent="0.25">
      <c r="A57" s="2076" t="s">
        <v>1051</v>
      </c>
      <c r="B57" s="2057"/>
      <c r="C57" s="2057"/>
      <c r="D57" s="2057"/>
      <c r="E57" s="2057"/>
      <c r="F57" s="2057"/>
      <c r="G57" s="2057"/>
      <c r="H57" s="2080"/>
      <c r="I57" s="2080"/>
    </row>
    <row r="58" spans="1:9" ht="38.25" x14ac:dyDescent="0.2">
      <c r="A58" s="2310" t="s">
        <v>1052</v>
      </c>
      <c r="B58" s="2310"/>
      <c r="C58" s="2310"/>
      <c r="D58" s="2310" t="s">
        <v>1056</v>
      </c>
      <c r="E58" s="2310"/>
      <c r="F58" s="2310"/>
      <c r="G58" s="2087" t="s">
        <v>1054</v>
      </c>
      <c r="H58" s="2087" t="s">
        <v>1055</v>
      </c>
      <c r="I58" s="2087" t="s">
        <v>1053</v>
      </c>
    </row>
    <row r="59" spans="1:9" ht="26.25" customHeight="1" x14ac:dyDescent="0.2">
      <c r="A59" s="2320" t="s">
        <v>1078</v>
      </c>
      <c r="B59" s="2320"/>
      <c r="C59" s="2320"/>
      <c r="D59" s="2305" t="s">
        <v>1076</v>
      </c>
      <c r="E59" s="2305"/>
      <c r="F59" s="2305"/>
      <c r="G59" s="2090">
        <v>6</v>
      </c>
      <c r="H59" s="2090">
        <v>6</v>
      </c>
      <c r="I59" s="2090">
        <v>6</v>
      </c>
    </row>
    <row r="60" spans="1:9" ht="27" customHeight="1" x14ac:dyDescent="0.2">
      <c r="A60" s="2320"/>
      <c r="B60" s="2320"/>
      <c r="C60" s="2320"/>
      <c r="D60" s="2305" t="s">
        <v>1077</v>
      </c>
      <c r="E60" s="2305"/>
      <c r="F60" s="2305"/>
      <c r="G60" s="2090">
        <v>10</v>
      </c>
      <c r="H60" s="2090">
        <v>10</v>
      </c>
      <c r="I60" s="2090">
        <v>10</v>
      </c>
    </row>
    <row r="62" spans="1:9" ht="15" x14ac:dyDescent="0.25">
      <c r="A62" s="2306" t="s">
        <v>1079</v>
      </c>
      <c r="B62" s="2306"/>
      <c r="C62" s="2306"/>
      <c r="D62" s="2306" t="s">
        <v>1080</v>
      </c>
      <c r="E62" s="2306"/>
      <c r="F62" s="2306"/>
      <c r="G62" s="2306"/>
      <c r="H62" s="2306"/>
      <c r="I62" s="2306"/>
    </row>
    <row r="63" spans="1:9" x14ac:dyDescent="0.2">
      <c r="A63" s="2057"/>
      <c r="B63" s="2057"/>
      <c r="C63" s="2057"/>
      <c r="D63" s="2057"/>
      <c r="E63" s="2057"/>
      <c r="F63" s="2057"/>
      <c r="G63" s="2057"/>
      <c r="H63" s="2057"/>
      <c r="I63" s="2057"/>
    </row>
    <row r="64" spans="1:9" ht="15" x14ac:dyDescent="0.25">
      <c r="A64" s="2307" t="s">
        <v>1043</v>
      </c>
      <c r="B64" s="2307"/>
      <c r="C64" s="2307"/>
      <c r="D64" s="2307"/>
      <c r="E64" s="2307"/>
      <c r="F64" s="2307"/>
      <c r="G64" s="2307"/>
      <c r="H64" s="2307"/>
      <c r="I64" s="2307"/>
    </row>
    <row r="65" spans="1:9" ht="37.5" customHeight="1" x14ac:dyDescent="0.2">
      <c r="A65" s="2308" t="s">
        <v>1081</v>
      </c>
      <c r="B65" s="2308"/>
      <c r="C65" s="2308"/>
      <c r="D65" s="2308"/>
      <c r="E65" s="2308"/>
      <c r="F65" s="2308"/>
      <c r="G65" s="2308"/>
      <c r="H65" s="2308"/>
      <c r="I65" s="2308"/>
    </row>
    <row r="66" spans="1:9" ht="15" x14ac:dyDescent="0.25">
      <c r="A66" s="2076" t="s">
        <v>1039</v>
      </c>
      <c r="B66" s="2068"/>
      <c r="C66" s="2057"/>
      <c r="D66" s="2057"/>
      <c r="E66" s="2057"/>
      <c r="F66" s="2057"/>
      <c r="G66" s="2057"/>
      <c r="H66" s="2057"/>
      <c r="I66" s="2057"/>
    </row>
    <row r="67" spans="1:9" ht="15" x14ac:dyDescent="0.25">
      <c r="A67" s="2074" t="s">
        <v>1040</v>
      </c>
      <c r="B67" s="2074">
        <v>2022</v>
      </c>
      <c r="C67" s="2074">
        <v>2023</v>
      </c>
      <c r="D67" s="2074">
        <v>2024</v>
      </c>
      <c r="E67" s="2074" t="s">
        <v>984</v>
      </c>
      <c r="F67" s="2074">
        <v>2025</v>
      </c>
      <c r="G67" s="2074">
        <v>2026</v>
      </c>
      <c r="H67" s="2074">
        <v>2027</v>
      </c>
      <c r="I67" s="2057"/>
    </row>
    <row r="68" spans="1:9" ht="15" x14ac:dyDescent="0.25">
      <c r="A68" s="2075" t="s">
        <v>170</v>
      </c>
      <c r="B68" s="2077">
        <f>'Program 1'!H36</f>
        <v>23616</v>
      </c>
      <c r="C68" s="2077">
        <f>'Program 1'!I36</f>
        <v>35576.32</v>
      </c>
      <c r="D68" s="2077">
        <f>'Program 1'!J36</f>
        <v>10500</v>
      </c>
      <c r="E68" s="2077">
        <f>'Program 1'!K36</f>
        <v>7385</v>
      </c>
      <c r="F68" s="2078">
        <f>'Program 1'!L36</f>
        <v>24552</v>
      </c>
      <c r="G68" s="2077">
        <f>'Program 1'!M36</f>
        <v>16000</v>
      </c>
      <c r="H68" s="2077">
        <f>'Program 1'!N36</f>
        <v>16000</v>
      </c>
      <c r="I68" s="2057"/>
    </row>
    <row r="69" spans="1:9" x14ac:dyDescent="0.2">
      <c r="A69" s="2057"/>
      <c r="B69" s="2057"/>
      <c r="C69" s="2057"/>
      <c r="D69" s="2057"/>
      <c r="E69" s="2057"/>
      <c r="F69" s="2057"/>
      <c r="G69" s="2057"/>
      <c r="H69" s="2057"/>
      <c r="I69" s="2057"/>
    </row>
    <row r="70" spans="1:9" x14ac:dyDescent="0.2">
      <c r="A70" s="2316" t="s">
        <v>1044</v>
      </c>
      <c r="B70" s="2316"/>
      <c r="C70" s="2316"/>
      <c r="D70" s="2316"/>
      <c r="E70" s="2316"/>
      <c r="F70" s="2316"/>
      <c r="G70" s="2316"/>
      <c r="H70" s="2316"/>
      <c r="I70" s="2316"/>
    </row>
    <row r="71" spans="1:9" ht="57" customHeight="1" x14ac:dyDescent="0.2">
      <c r="A71" s="2308" t="s">
        <v>1082</v>
      </c>
      <c r="B71" s="2308"/>
      <c r="C71" s="2308"/>
      <c r="D71" s="2308"/>
      <c r="E71" s="2308"/>
      <c r="F71" s="2308"/>
      <c r="G71" s="2308"/>
      <c r="H71" s="2308"/>
      <c r="I71" s="2308"/>
    </row>
    <row r="73" spans="1:9" ht="15" x14ac:dyDescent="0.25">
      <c r="A73" s="2076" t="s">
        <v>1051</v>
      </c>
      <c r="B73" s="2057"/>
      <c r="C73" s="2057"/>
      <c r="D73" s="2057"/>
      <c r="E73" s="2057"/>
      <c r="F73" s="2057"/>
      <c r="G73" s="2057"/>
      <c r="H73" s="2080"/>
      <c r="I73" s="2080"/>
    </row>
    <row r="74" spans="1:9" ht="38.25" x14ac:dyDescent="0.2">
      <c r="A74" s="2310" t="s">
        <v>1052</v>
      </c>
      <c r="B74" s="2310"/>
      <c r="C74" s="2310"/>
      <c r="D74" s="2310" t="s">
        <v>1056</v>
      </c>
      <c r="E74" s="2310"/>
      <c r="F74" s="2310"/>
      <c r="G74" s="2087" t="s">
        <v>1054</v>
      </c>
      <c r="H74" s="2087" t="s">
        <v>1055</v>
      </c>
      <c r="I74" s="2087" t="s">
        <v>1053</v>
      </c>
    </row>
    <row r="75" spans="1:9" ht="42" customHeight="1" x14ac:dyDescent="0.2">
      <c r="A75" s="2305" t="s">
        <v>1083</v>
      </c>
      <c r="B75" s="2305"/>
      <c r="C75" s="2305"/>
      <c r="D75" s="2313" t="s">
        <v>1084</v>
      </c>
      <c r="E75" s="2314"/>
      <c r="F75" s="2315"/>
      <c r="G75" s="2090">
        <v>4</v>
      </c>
      <c r="H75" s="2090">
        <v>4</v>
      </c>
      <c r="I75" s="2090">
        <v>4</v>
      </c>
    </row>
    <row r="76" spans="1:9" ht="41.25" customHeight="1" x14ac:dyDescent="0.2">
      <c r="A76" s="2311" t="s">
        <v>1085</v>
      </c>
      <c r="B76" s="2311"/>
      <c r="C76" s="2311"/>
      <c r="D76" s="2311" t="s">
        <v>1077</v>
      </c>
      <c r="E76" s="2311"/>
      <c r="F76" s="2311"/>
      <c r="G76" s="2090">
        <v>1</v>
      </c>
      <c r="H76" s="2090">
        <v>1</v>
      </c>
      <c r="I76" s="2090">
        <v>1</v>
      </c>
    </row>
    <row r="78" spans="1:9" ht="15" x14ac:dyDescent="0.25">
      <c r="A78" s="2306" t="s">
        <v>1086</v>
      </c>
      <c r="B78" s="2306"/>
      <c r="C78" s="2306"/>
      <c r="D78" s="2306" t="s">
        <v>214</v>
      </c>
      <c r="E78" s="2306"/>
      <c r="F78" s="2306"/>
      <c r="G78" s="2306"/>
      <c r="H78" s="2306"/>
      <c r="I78" s="2306"/>
    </row>
    <row r="79" spans="1:9" x14ac:dyDescent="0.2">
      <c r="A79" s="2057"/>
      <c r="B79" s="2057"/>
      <c r="C79" s="2057"/>
      <c r="D79" s="2057"/>
      <c r="E79" s="2057"/>
      <c r="F79" s="2057"/>
      <c r="G79" s="2057"/>
      <c r="H79" s="2057"/>
      <c r="I79" s="2057"/>
    </row>
    <row r="80" spans="1:9" ht="15" customHeight="1" x14ac:dyDescent="0.25">
      <c r="A80" s="2307" t="s">
        <v>1043</v>
      </c>
      <c r="B80" s="2307"/>
      <c r="C80" s="2307"/>
      <c r="D80" s="2307"/>
      <c r="E80" s="2307"/>
      <c r="F80" s="2307"/>
      <c r="G80" s="2307"/>
      <c r="H80" s="2307"/>
      <c r="I80" s="2307"/>
    </row>
    <row r="81" spans="1:21" ht="30.75" customHeight="1" x14ac:dyDescent="0.2">
      <c r="A81" s="2308" t="s">
        <v>1087</v>
      </c>
      <c r="B81" s="2308"/>
      <c r="C81" s="2308"/>
      <c r="D81" s="2308"/>
      <c r="E81" s="2308"/>
      <c r="F81" s="2308"/>
      <c r="G81" s="2308"/>
      <c r="H81" s="2308"/>
      <c r="I81" s="2308"/>
    </row>
    <row r="82" spans="1:21" s="2057" customFormat="1" ht="15" customHeight="1" x14ac:dyDescent="0.2">
      <c r="A82" s="2094"/>
      <c r="B82" s="2094"/>
      <c r="C82" s="2094"/>
      <c r="D82" s="2094"/>
      <c r="E82" s="2094"/>
      <c r="F82" s="2094"/>
      <c r="G82" s="2094"/>
      <c r="H82" s="2094"/>
      <c r="I82" s="2094"/>
    </row>
    <row r="83" spans="1:21" ht="15" x14ac:dyDescent="0.25">
      <c r="A83" s="2076" t="s">
        <v>1039</v>
      </c>
      <c r="B83" s="2068"/>
      <c r="C83" s="2057"/>
      <c r="D83" s="2057"/>
      <c r="E83" s="2057"/>
      <c r="F83" s="2057"/>
      <c r="G83" s="2057"/>
      <c r="H83" s="2057"/>
      <c r="I83" s="2057"/>
    </row>
    <row r="84" spans="1:21" ht="15" x14ac:dyDescent="0.25">
      <c r="A84" s="2074" t="s">
        <v>1040</v>
      </c>
      <c r="B84" s="2074">
        <v>2022</v>
      </c>
      <c r="C84" s="2074">
        <v>2023</v>
      </c>
      <c r="D84" s="2074">
        <v>2024</v>
      </c>
      <c r="E84" s="2074" t="s">
        <v>984</v>
      </c>
      <c r="F84" s="2074">
        <v>2025</v>
      </c>
      <c r="G84" s="2074">
        <v>2026</v>
      </c>
      <c r="H84" s="2074">
        <v>2027</v>
      </c>
      <c r="I84" s="2057"/>
    </row>
    <row r="85" spans="1:21" ht="15" x14ac:dyDescent="0.25">
      <c r="A85" s="2075" t="s">
        <v>170</v>
      </c>
      <c r="B85" s="2077">
        <f>'Program 1'!H41</f>
        <v>158799.51999999999</v>
      </c>
      <c r="C85" s="2077">
        <f>'Program 1'!I41</f>
        <v>247412.25999999998</v>
      </c>
      <c r="D85" s="2077">
        <f>'Program 1'!J41</f>
        <v>168504</v>
      </c>
      <c r="E85" s="2077">
        <f>'Program 1'!K41</f>
        <v>223508</v>
      </c>
      <c r="F85" s="2078">
        <f>'Program 1'!L41</f>
        <v>197505</v>
      </c>
      <c r="G85" s="2077">
        <f>'Program 1'!M41</f>
        <v>143504</v>
      </c>
      <c r="H85" s="2077">
        <f>'Program 1'!N41</f>
        <v>128004</v>
      </c>
      <c r="I85" s="2057"/>
    </row>
    <row r="87" spans="1:21" ht="15" x14ac:dyDescent="0.2">
      <c r="A87" s="2092" t="s">
        <v>1088</v>
      </c>
    </row>
    <row r="88" spans="1:21" ht="53.25" customHeight="1" x14ac:dyDescent="0.2">
      <c r="A88" s="2308" t="s">
        <v>1089</v>
      </c>
      <c r="B88" s="2308"/>
      <c r="C88" s="2308"/>
      <c r="D88" s="2308"/>
      <c r="E88" s="2308"/>
      <c r="F88" s="2308"/>
      <c r="G88" s="2308"/>
      <c r="H88" s="2308"/>
      <c r="I88" s="2308"/>
      <c r="J88" s="2089"/>
      <c r="K88" s="2089"/>
      <c r="L88" s="2089"/>
      <c r="M88" s="2089"/>
      <c r="N88" s="2089"/>
      <c r="O88" s="2089"/>
      <c r="P88" s="2089"/>
      <c r="Q88" s="2089"/>
      <c r="R88" s="2089"/>
      <c r="S88" s="2089"/>
      <c r="T88" s="2089"/>
      <c r="U88" s="2089"/>
    </row>
    <row r="90" spans="1:21" ht="15" x14ac:dyDescent="0.25">
      <c r="A90" s="2076" t="s">
        <v>1051</v>
      </c>
      <c r="B90" s="2057"/>
      <c r="C90" s="2057"/>
      <c r="D90" s="2057"/>
      <c r="E90" s="2057"/>
      <c r="F90" s="2057"/>
      <c r="G90" s="2057"/>
      <c r="H90" s="2080"/>
      <c r="I90" s="2080"/>
    </row>
    <row r="91" spans="1:21" ht="38.25" x14ac:dyDescent="0.2">
      <c r="A91" s="2310" t="s">
        <v>1052</v>
      </c>
      <c r="B91" s="2310"/>
      <c r="C91" s="2310"/>
      <c r="D91" s="2310" t="s">
        <v>1056</v>
      </c>
      <c r="E91" s="2310"/>
      <c r="F91" s="2310"/>
      <c r="G91" s="2087" t="s">
        <v>1054</v>
      </c>
      <c r="H91" s="2087" t="s">
        <v>1055</v>
      </c>
      <c r="I91" s="2087" t="s">
        <v>1053</v>
      </c>
    </row>
    <row r="92" spans="1:21" ht="36.75" customHeight="1" x14ac:dyDescent="0.2">
      <c r="A92" s="2305" t="s">
        <v>1091</v>
      </c>
      <c r="B92" s="2305"/>
      <c r="C92" s="2305"/>
      <c r="D92" s="2313" t="s">
        <v>1090</v>
      </c>
      <c r="E92" s="2314"/>
      <c r="F92" s="2315"/>
      <c r="G92" s="2093">
        <v>0.3</v>
      </c>
      <c r="H92" s="2093">
        <v>0.3</v>
      </c>
      <c r="I92" s="2093">
        <v>0.3</v>
      </c>
    </row>
    <row r="93" spans="1:21" ht="30.75" customHeight="1" x14ac:dyDescent="0.2">
      <c r="A93" s="2311" t="s">
        <v>1094</v>
      </c>
      <c r="B93" s="2311"/>
      <c r="C93" s="2311"/>
      <c r="D93" s="2305" t="s">
        <v>1092</v>
      </c>
      <c r="E93" s="2305"/>
      <c r="F93" s="2305"/>
      <c r="G93" s="2083">
        <v>10</v>
      </c>
      <c r="H93" s="2083">
        <v>10</v>
      </c>
      <c r="I93" s="2083">
        <v>10</v>
      </c>
    </row>
    <row r="94" spans="1:21" ht="26.25" customHeight="1" x14ac:dyDescent="0.2">
      <c r="A94" s="2311"/>
      <c r="B94" s="2311"/>
      <c r="C94" s="2311"/>
      <c r="D94" s="2305" t="s">
        <v>1093</v>
      </c>
      <c r="E94" s="2305"/>
      <c r="F94" s="2305"/>
      <c r="G94" s="2093">
        <v>1</v>
      </c>
      <c r="H94" s="2093">
        <v>1</v>
      </c>
      <c r="I94" s="2093">
        <v>1</v>
      </c>
    </row>
    <row r="96" spans="1:21" ht="15" x14ac:dyDescent="0.25">
      <c r="A96" s="2306" t="s">
        <v>1095</v>
      </c>
      <c r="B96" s="2306"/>
      <c r="C96" s="2306"/>
      <c r="D96" s="2306" t="s">
        <v>235</v>
      </c>
      <c r="E96" s="2306"/>
      <c r="F96" s="2306"/>
      <c r="G96" s="2306"/>
      <c r="H96" s="2306"/>
      <c r="I96" s="2306"/>
    </row>
    <row r="97" spans="1:9" x14ac:dyDescent="0.2">
      <c r="A97" s="2057"/>
      <c r="B97" s="2057"/>
      <c r="C97" s="2057"/>
      <c r="D97" s="2057"/>
      <c r="E97" s="2057"/>
      <c r="F97" s="2057"/>
      <c r="G97" s="2057"/>
      <c r="H97" s="2057"/>
      <c r="I97" s="2057"/>
    </row>
    <row r="98" spans="1:9" ht="15" x14ac:dyDescent="0.25">
      <c r="A98" s="2307" t="s">
        <v>1043</v>
      </c>
      <c r="B98" s="2307"/>
      <c r="C98" s="2307"/>
      <c r="D98" s="2307"/>
      <c r="E98" s="2307"/>
      <c r="F98" s="2307"/>
      <c r="G98" s="2307"/>
      <c r="H98" s="2307"/>
      <c r="I98" s="2307"/>
    </row>
    <row r="99" spans="1:9" ht="15" x14ac:dyDescent="0.2">
      <c r="A99" s="2308" t="s">
        <v>1096</v>
      </c>
      <c r="B99" s="2308"/>
      <c r="C99" s="2308"/>
      <c r="D99" s="2308"/>
      <c r="E99" s="2308"/>
      <c r="F99" s="2308"/>
      <c r="G99" s="2308"/>
      <c r="H99" s="2308"/>
      <c r="I99" s="2308"/>
    </row>
    <row r="100" spans="1:9" s="2057" customFormat="1" ht="15" x14ac:dyDescent="0.2">
      <c r="A100" s="2094"/>
      <c r="B100" s="2094"/>
      <c r="C100" s="2094"/>
      <c r="D100" s="2094"/>
      <c r="E100" s="2094"/>
      <c r="F100" s="2094"/>
      <c r="G100" s="2094"/>
      <c r="H100" s="2094"/>
      <c r="I100" s="2094"/>
    </row>
    <row r="101" spans="1:9" ht="15" x14ac:dyDescent="0.25">
      <c r="A101" s="2076" t="s">
        <v>1039</v>
      </c>
      <c r="B101" s="2068"/>
      <c r="C101" s="2057"/>
      <c r="D101" s="2057"/>
      <c r="E101" s="2057"/>
      <c r="F101" s="2057"/>
      <c r="G101" s="2057"/>
      <c r="H101" s="2057"/>
      <c r="I101" s="2057"/>
    </row>
    <row r="102" spans="1:9" ht="15" x14ac:dyDescent="0.25">
      <c r="A102" s="2074" t="s">
        <v>1040</v>
      </c>
      <c r="B102" s="2074">
        <v>2022</v>
      </c>
      <c r="C102" s="2074">
        <v>2023</v>
      </c>
      <c r="D102" s="2074">
        <v>2024</v>
      </c>
      <c r="E102" s="2074" t="s">
        <v>984</v>
      </c>
      <c r="F102" s="2074">
        <v>2025</v>
      </c>
      <c r="G102" s="2074">
        <v>2026</v>
      </c>
      <c r="H102" s="2074">
        <v>2027</v>
      </c>
      <c r="I102" s="2057"/>
    </row>
    <row r="103" spans="1:9" ht="15" x14ac:dyDescent="0.25">
      <c r="A103" s="2075" t="s">
        <v>170</v>
      </c>
      <c r="B103" s="2077">
        <f>'Program 1'!H57</f>
        <v>27444</v>
      </c>
      <c r="C103" s="2077">
        <f>'Program 1'!I57</f>
        <v>20221.73</v>
      </c>
      <c r="D103" s="2077">
        <f>'Program 1'!J58</f>
        <v>21370</v>
      </c>
      <c r="E103" s="2077">
        <f>'Program 1'!K58</f>
        <v>22170</v>
      </c>
      <c r="F103" s="2078">
        <f>'Program 1'!L58</f>
        <v>22370</v>
      </c>
      <c r="G103" s="2077">
        <f>'Program 1'!M58</f>
        <v>23570</v>
      </c>
      <c r="H103" s="2077">
        <f>'Program 1'!N58</f>
        <v>23570</v>
      </c>
      <c r="I103" s="2057"/>
    </row>
    <row r="104" spans="1:9" x14ac:dyDescent="0.2">
      <c r="A104" s="2057"/>
      <c r="B104" s="2057"/>
      <c r="C104" s="2057"/>
      <c r="D104" s="2057"/>
      <c r="E104" s="2057"/>
      <c r="F104" s="2057"/>
      <c r="G104" s="2057"/>
      <c r="H104" s="2057"/>
      <c r="I104" s="2057"/>
    </row>
    <row r="105" spans="1:9" ht="15" x14ac:dyDescent="0.2">
      <c r="A105" s="2092" t="s">
        <v>1088</v>
      </c>
      <c r="B105" s="2057"/>
      <c r="C105" s="2057"/>
      <c r="D105" s="2057"/>
      <c r="E105" s="2057"/>
      <c r="F105" s="2057"/>
      <c r="G105" s="2057"/>
      <c r="H105" s="2057"/>
      <c r="I105" s="2057"/>
    </row>
    <row r="106" spans="1:9" ht="15" x14ac:dyDescent="0.2">
      <c r="A106" s="2308" t="s">
        <v>1089</v>
      </c>
      <c r="B106" s="2308"/>
      <c r="C106" s="2308"/>
      <c r="D106" s="2308"/>
      <c r="E106" s="2308"/>
      <c r="F106" s="2308"/>
      <c r="G106" s="2308"/>
      <c r="H106" s="2308"/>
      <c r="I106" s="2308"/>
    </row>
    <row r="107" spans="1:9" x14ac:dyDescent="0.2">
      <c r="A107" s="2057"/>
      <c r="B107" s="2057"/>
      <c r="C107" s="2057"/>
      <c r="D107" s="2057"/>
      <c r="E107" s="2057"/>
      <c r="F107" s="2057"/>
      <c r="G107" s="2057"/>
      <c r="H107" s="2057"/>
      <c r="I107" s="2057"/>
    </row>
    <row r="108" spans="1:9" ht="15" x14ac:dyDescent="0.25">
      <c r="A108" s="2076" t="s">
        <v>1051</v>
      </c>
      <c r="B108" s="2057"/>
      <c r="C108" s="2057"/>
      <c r="D108" s="2057"/>
      <c r="E108" s="2057"/>
      <c r="F108" s="2057"/>
      <c r="G108" s="2057"/>
      <c r="H108" s="2080"/>
      <c r="I108" s="2080"/>
    </row>
    <row r="109" spans="1:9" ht="38.25" x14ac:dyDescent="0.2">
      <c r="A109" s="2310" t="s">
        <v>1052</v>
      </c>
      <c r="B109" s="2310"/>
      <c r="C109" s="2310"/>
      <c r="D109" s="2310" t="s">
        <v>1056</v>
      </c>
      <c r="E109" s="2310"/>
      <c r="F109" s="2310"/>
      <c r="G109" s="2087" t="s">
        <v>1054</v>
      </c>
      <c r="H109" s="2087" t="s">
        <v>1055</v>
      </c>
      <c r="I109" s="2087" t="s">
        <v>1053</v>
      </c>
    </row>
    <row r="110" spans="1:9" ht="33" customHeight="1" x14ac:dyDescent="0.2">
      <c r="A110" s="2311" t="s">
        <v>1104</v>
      </c>
      <c r="B110" s="2311"/>
      <c r="C110" s="2311"/>
      <c r="D110" s="2305" t="s">
        <v>1097</v>
      </c>
      <c r="E110" s="2305"/>
      <c r="F110" s="2305"/>
      <c r="G110" s="2083">
        <v>100</v>
      </c>
      <c r="H110" s="2083">
        <v>100</v>
      </c>
      <c r="I110" s="2083">
        <v>100</v>
      </c>
    </row>
    <row r="111" spans="1:9" ht="27" customHeight="1" x14ac:dyDescent="0.2">
      <c r="A111" s="2311"/>
      <c r="B111" s="2311"/>
      <c r="C111" s="2311"/>
      <c r="D111" s="2305" t="s">
        <v>1098</v>
      </c>
      <c r="E111" s="2305"/>
      <c r="F111" s="2305"/>
      <c r="G111" s="2091" t="s">
        <v>1099</v>
      </c>
      <c r="H111" s="2091" t="s">
        <v>1099</v>
      </c>
      <c r="I111" s="2091" t="s">
        <v>1099</v>
      </c>
    </row>
    <row r="112" spans="1:9" ht="24.75" customHeight="1" x14ac:dyDescent="0.2">
      <c r="A112" s="2311"/>
      <c r="B112" s="2311"/>
      <c r="C112" s="2311"/>
      <c r="D112" s="2305" t="s">
        <v>1100</v>
      </c>
      <c r="E112" s="2305"/>
      <c r="F112" s="2305"/>
      <c r="G112" s="2083">
        <v>30</v>
      </c>
      <c r="H112" s="2083">
        <v>30</v>
      </c>
      <c r="I112" s="2083">
        <v>30</v>
      </c>
    </row>
    <row r="113" spans="1:9" x14ac:dyDescent="0.2">
      <c r="A113" s="2312" t="s">
        <v>1103</v>
      </c>
      <c r="B113" s="2312"/>
      <c r="C113" s="2312"/>
      <c r="D113" s="2205" t="s">
        <v>1101</v>
      </c>
      <c r="E113" s="2205"/>
      <c r="F113" s="2205"/>
      <c r="G113" s="2083">
        <v>20</v>
      </c>
      <c r="H113" s="2083">
        <v>20</v>
      </c>
      <c r="I113" s="2083">
        <v>20</v>
      </c>
    </row>
    <row r="114" spans="1:9" ht="24" customHeight="1" x14ac:dyDescent="0.2">
      <c r="A114" s="2312"/>
      <c r="B114" s="2312"/>
      <c r="C114" s="2312"/>
      <c r="D114" s="2305" t="s">
        <v>1102</v>
      </c>
      <c r="E114" s="2305"/>
      <c r="F114" s="2305"/>
      <c r="G114" s="2083" t="s">
        <v>1105</v>
      </c>
      <c r="H114" s="2083" t="s">
        <v>1105</v>
      </c>
      <c r="I114" s="2083" t="s">
        <v>1105</v>
      </c>
    </row>
    <row r="115" spans="1:9" x14ac:dyDescent="0.2">
      <c r="A115" s="2068"/>
      <c r="B115" s="2068"/>
      <c r="C115" s="2068"/>
      <c r="D115" s="2068"/>
      <c r="E115" s="2068"/>
      <c r="F115" s="2068"/>
      <c r="G115" s="2068"/>
      <c r="H115" s="2068"/>
      <c r="I115" s="2068"/>
    </row>
    <row r="116" spans="1:9" ht="15" x14ac:dyDescent="0.25">
      <c r="A116" s="2306" t="s">
        <v>1106</v>
      </c>
      <c r="B116" s="2306"/>
      <c r="C116" s="2306"/>
      <c r="D116" s="2306" t="s">
        <v>242</v>
      </c>
      <c r="E116" s="2306"/>
      <c r="F116" s="2306"/>
      <c r="G116" s="2306"/>
      <c r="H116" s="2306"/>
      <c r="I116" s="2306"/>
    </row>
    <row r="117" spans="1:9" x14ac:dyDescent="0.2">
      <c r="A117" s="2057"/>
      <c r="B117" s="2057"/>
      <c r="C117" s="2057"/>
      <c r="D117" s="2057"/>
      <c r="E117" s="2057"/>
      <c r="F117" s="2057"/>
      <c r="G117" s="2057"/>
      <c r="H117" s="2057"/>
      <c r="I117" s="2057"/>
    </row>
    <row r="118" spans="1:9" ht="15" x14ac:dyDescent="0.25">
      <c r="A118" s="2307" t="s">
        <v>1043</v>
      </c>
      <c r="B118" s="2307"/>
      <c r="C118" s="2307"/>
      <c r="D118" s="2307"/>
      <c r="E118" s="2307"/>
      <c r="F118" s="2307"/>
      <c r="G118" s="2307"/>
      <c r="H118" s="2307"/>
      <c r="I118" s="2307"/>
    </row>
    <row r="119" spans="1:9" ht="15" x14ac:dyDescent="0.2">
      <c r="A119" s="2308" t="s">
        <v>1107</v>
      </c>
      <c r="B119" s="2308"/>
      <c r="C119" s="2308"/>
      <c r="D119" s="2308"/>
      <c r="E119" s="2308"/>
      <c r="F119" s="2308"/>
      <c r="G119" s="2308"/>
      <c r="H119" s="2308"/>
      <c r="I119" s="2308"/>
    </row>
    <row r="120" spans="1:9" ht="15" x14ac:dyDescent="0.2">
      <c r="A120" s="2094"/>
      <c r="B120" s="2094"/>
      <c r="C120" s="2094"/>
      <c r="D120" s="2094"/>
      <c r="E120" s="2094"/>
      <c r="F120" s="2094"/>
      <c r="G120" s="2094"/>
      <c r="H120" s="2094"/>
      <c r="I120" s="2094"/>
    </row>
    <row r="121" spans="1:9" ht="15" x14ac:dyDescent="0.25">
      <c r="A121" s="2076" t="s">
        <v>1039</v>
      </c>
      <c r="B121" s="2068"/>
      <c r="C121" s="2057"/>
      <c r="D121" s="2057"/>
      <c r="E121" s="2057"/>
      <c r="F121" s="2057"/>
      <c r="G121" s="2057"/>
      <c r="H121" s="2057"/>
      <c r="I121" s="2057"/>
    </row>
    <row r="122" spans="1:9" ht="15" x14ac:dyDescent="0.25">
      <c r="A122" s="2074" t="s">
        <v>1040</v>
      </c>
      <c r="B122" s="2074">
        <v>2022</v>
      </c>
      <c r="C122" s="2074">
        <v>2023</v>
      </c>
      <c r="D122" s="2074">
        <v>2024</v>
      </c>
      <c r="E122" s="2074" t="s">
        <v>984</v>
      </c>
      <c r="F122" s="2074">
        <v>2025</v>
      </c>
      <c r="G122" s="2074">
        <v>2026</v>
      </c>
      <c r="H122" s="2074">
        <v>2027</v>
      </c>
      <c r="I122" s="2057"/>
    </row>
    <row r="123" spans="1:9" ht="15" x14ac:dyDescent="0.25">
      <c r="A123" s="2075" t="s">
        <v>170</v>
      </c>
      <c r="B123" s="2077">
        <f>'Program 1'!H66</f>
        <v>3000</v>
      </c>
      <c r="C123" s="2077">
        <f>'Program 1'!I66</f>
        <v>7165</v>
      </c>
      <c r="D123" s="2077">
        <f>'Program 1'!J66</f>
        <v>3000</v>
      </c>
      <c r="E123" s="2077">
        <f>'Program 1'!K66</f>
        <v>14394</v>
      </c>
      <c r="F123" s="2078">
        <f>'Program 1'!L66</f>
        <v>0</v>
      </c>
      <c r="G123" s="2077">
        <f>'Program 1'!M66</f>
        <v>0</v>
      </c>
      <c r="H123" s="2077">
        <f>'Program 1'!N66</f>
        <v>0</v>
      </c>
      <c r="I123" s="2057"/>
    </row>
    <row r="124" spans="1:9" x14ac:dyDescent="0.2">
      <c r="A124" s="2057"/>
      <c r="B124" s="2057"/>
      <c r="C124" s="2057"/>
      <c r="D124" s="2057"/>
      <c r="E124" s="2057"/>
      <c r="F124" s="2057"/>
      <c r="G124" s="2057"/>
      <c r="H124" s="2057"/>
      <c r="I124" s="2057"/>
    </row>
    <row r="125" spans="1:9" ht="15" x14ac:dyDescent="0.2">
      <c r="A125" s="2092" t="s">
        <v>1088</v>
      </c>
      <c r="B125" s="2057"/>
      <c r="C125" s="2057"/>
      <c r="D125" s="2057"/>
      <c r="E125" s="2057"/>
      <c r="F125" s="2057"/>
      <c r="G125" s="2057"/>
      <c r="H125" s="2057"/>
      <c r="I125" s="2057"/>
    </row>
    <row r="126" spans="1:9" ht="30" customHeight="1" x14ac:dyDescent="0.25">
      <c r="A126" s="2309" t="s">
        <v>1108</v>
      </c>
      <c r="B126" s="2309"/>
      <c r="C126" s="2309"/>
      <c r="D126" s="2309"/>
      <c r="E126" s="2309"/>
      <c r="F126" s="2309"/>
      <c r="G126" s="2309"/>
      <c r="H126" s="2309"/>
      <c r="I126" s="2309"/>
    </row>
    <row r="127" spans="1:9" hidden="1" x14ac:dyDescent="0.2">
      <c r="A127" s="2057"/>
      <c r="B127" s="2057"/>
      <c r="C127" s="2057"/>
      <c r="D127" s="2057"/>
      <c r="E127" s="2057"/>
      <c r="F127" s="2057"/>
      <c r="G127" s="2057"/>
      <c r="H127" s="2057"/>
      <c r="I127" s="2057"/>
    </row>
    <row r="128" spans="1:9" ht="15" x14ac:dyDescent="0.25">
      <c r="A128" s="2076"/>
      <c r="B128" s="2057"/>
      <c r="C128" s="2057"/>
      <c r="D128" s="2057"/>
      <c r="E128" s="2057"/>
      <c r="F128" s="2057"/>
      <c r="G128" s="2057"/>
      <c r="H128" s="2080"/>
      <c r="I128" s="2080"/>
    </row>
    <row r="129" spans="1:9" ht="15" x14ac:dyDescent="0.25">
      <c r="A129" s="2076" t="s">
        <v>1051</v>
      </c>
      <c r="B129" s="2057"/>
      <c r="C129" s="2057"/>
      <c r="D129" s="2057"/>
      <c r="E129" s="2057"/>
      <c r="F129" s="2057"/>
      <c r="G129" s="2057"/>
      <c r="H129" s="2080"/>
      <c r="I129" s="2080"/>
    </row>
    <row r="130" spans="1:9" ht="38.25" x14ac:dyDescent="0.2">
      <c r="A130" s="2310" t="s">
        <v>1052</v>
      </c>
      <c r="B130" s="2310"/>
      <c r="C130" s="2310"/>
      <c r="D130" s="2310" t="s">
        <v>1056</v>
      </c>
      <c r="E130" s="2310"/>
      <c r="F130" s="2310"/>
      <c r="G130" s="2087" t="s">
        <v>1054</v>
      </c>
      <c r="H130" s="2087" t="s">
        <v>1055</v>
      </c>
      <c r="I130" s="2087" t="s">
        <v>1053</v>
      </c>
    </row>
    <row r="131" spans="1:9" x14ac:dyDescent="0.2">
      <c r="A131" s="2305" t="s">
        <v>1111</v>
      </c>
      <c r="B131" s="2305"/>
      <c r="C131" s="2305"/>
      <c r="D131" s="2082" t="s">
        <v>1109</v>
      </c>
      <c r="E131" s="2082"/>
      <c r="F131" s="2082"/>
      <c r="G131" s="2083">
        <v>0</v>
      </c>
      <c r="H131" s="2083">
        <v>1</v>
      </c>
      <c r="I131" s="2083">
        <v>1</v>
      </c>
    </row>
    <row r="132" spans="1:9" x14ac:dyDescent="0.2">
      <c r="A132" s="2305"/>
      <c r="B132" s="2305"/>
      <c r="C132" s="2305"/>
      <c r="D132" s="2082" t="s">
        <v>1110</v>
      </c>
      <c r="E132" s="2082"/>
      <c r="F132" s="2082"/>
      <c r="G132" s="2083" t="s">
        <v>1063</v>
      </c>
      <c r="H132" s="2083" t="s">
        <v>1063</v>
      </c>
      <c r="I132" s="2083" t="s">
        <v>1063</v>
      </c>
    </row>
    <row r="133" spans="1:9" x14ac:dyDescent="0.2">
      <c r="A133" s="2068"/>
      <c r="B133" s="2068"/>
      <c r="C133" s="2068"/>
      <c r="D133" s="2068"/>
      <c r="E133" s="2068"/>
      <c r="F133" s="2068"/>
      <c r="G133" s="2068"/>
      <c r="H133" s="2068"/>
      <c r="I133" s="2068"/>
    </row>
    <row r="134" spans="1:9" x14ac:dyDescent="0.2">
      <c r="A134" s="2068"/>
      <c r="B134" s="2068"/>
      <c r="C134" s="2068"/>
      <c r="D134" s="2068"/>
      <c r="E134" s="2068"/>
      <c r="F134" s="2068"/>
      <c r="G134" s="2068"/>
      <c r="H134" s="2068"/>
      <c r="I134" s="2068"/>
    </row>
    <row r="135" spans="1:9" x14ac:dyDescent="0.2">
      <c r="A135" s="2068"/>
      <c r="B135" s="2068"/>
      <c r="C135" s="2068"/>
      <c r="D135" s="2068"/>
      <c r="E135" s="2068"/>
      <c r="F135" s="2068"/>
      <c r="G135" s="2068"/>
      <c r="H135" s="2068"/>
      <c r="I135" s="2068"/>
    </row>
    <row r="136" spans="1:9" x14ac:dyDescent="0.2">
      <c r="A136" s="2068"/>
      <c r="B136" s="2068"/>
      <c r="C136" s="2068"/>
      <c r="D136" s="2068"/>
      <c r="E136" s="2068"/>
      <c r="F136" s="2068"/>
      <c r="G136" s="2068"/>
      <c r="H136" s="2068"/>
      <c r="I136" s="2068"/>
    </row>
    <row r="137" spans="1:9" x14ac:dyDescent="0.2">
      <c r="A137" s="2068"/>
      <c r="B137" s="2068"/>
      <c r="C137" s="2068"/>
      <c r="D137" s="2068"/>
      <c r="E137" s="2068"/>
      <c r="F137" s="2068"/>
      <c r="G137" s="2068"/>
      <c r="H137" s="2068"/>
      <c r="I137" s="2068"/>
    </row>
    <row r="138" spans="1:9" x14ac:dyDescent="0.2">
      <c r="A138" s="2068"/>
      <c r="B138" s="2068"/>
      <c r="C138" s="2068"/>
      <c r="D138" s="2068"/>
      <c r="E138" s="2068"/>
      <c r="F138" s="2068"/>
      <c r="G138" s="2068"/>
      <c r="H138" s="2068"/>
      <c r="I138" s="2068"/>
    </row>
    <row r="139" spans="1:9" x14ac:dyDescent="0.2">
      <c r="A139" s="2068"/>
      <c r="B139" s="2068"/>
      <c r="C139" s="2068"/>
      <c r="D139" s="2068"/>
      <c r="E139" s="2068"/>
      <c r="F139" s="2068"/>
      <c r="G139" s="2068"/>
      <c r="H139" s="2068"/>
      <c r="I139" s="2068"/>
    </row>
    <row r="140" spans="1:9" x14ac:dyDescent="0.2">
      <c r="A140" s="2068"/>
      <c r="B140" s="2068"/>
      <c r="C140" s="2068"/>
      <c r="D140" s="2068"/>
      <c r="E140" s="2068"/>
      <c r="F140" s="2068"/>
      <c r="G140" s="2068"/>
      <c r="H140" s="2068"/>
      <c r="I140" s="2068"/>
    </row>
    <row r="141" spans="1:9" x14ac:dyDescent="0.2">
      <c r="A141" s="2068"/>
      <c r="B141" s="2068"/>
      <c r="C141" s="2068"/>
      <c r="D141" s="2068"/>
      <c r="E141" s="2068"/>
      <c r="F141" s="2068"/>
      <c r="G141" s="2068"/>
      <c r="H141" s="2068"/>
      <c r="I141" s="2068"/>
    </row>
    <row r="142" spans="1:9" x14ac:dyDescent="0.2">
      <c r="A142" s="2068"/>
      <c r="B142" s="2068"/>
      <c r="C142" s="2068"/>
      <c r="D142" s="2068"/>
      <c r="E142" s="2068"/>
      <c r="F142" s="2068"/>
      <c r="G142" s="2068"/>
      <c r="H142" s="2068"/>
      <c r="I142" s="2068"/>
    </row>
    <row r="143" spans="1:9" x14ac:dyDescent="0.2">
      <c r="A143" s="2068"/>
      <c r="B143" s="2068"/>
      <c r="C143" s="2068"/>
      <c r="D143" s="2068"/>
      <c r="E143" s="2068"/>
      <c r="F143" s="2068"/>
      <c r="G143" s="2068"/>
      <c r="H143" s="2068"/>
      <c r="I143" s="2068"/>
    </row>
    <row r="144" spans="1:9" x14ac:dyDescent="0.2">
      <c r="A144" s="2068"/>
      <c r="B144" s="2068"/>
      <c r="C144" s="2068"/>
      <c r="D144" s="2068"/>
      <c r="E144" s="2068"/>
      <c r="F144" s="2068"/>
      <c r="G144" s="2068"/>
      <c r="H144" s="2068"/>
      <c r="I144" s="2068"/>
    </row>
    <row r="145" spans="1:9" x14ac:dyDescent="0.2">
      <c r="A145" s="2068"/>
      <c r="B145" s="2068"/>
      <c r="C145" s="2068"/>
      <c r="D145" s="2068"/>
      <c r="E145" s="2068"/>
      <c r="F145" s="2068"/>
      <c r="G145" s="2068"/>
      <c r="H145" s="2068"/>
      <c r="I145" s="2068"/>
    </row>
    <row r="146" spans="1:9" x14ac:dyDescent="0.2">
      <c r="A146" s="2068"/>
      <c r="B146" s="2068"/>
      <c r="C146" s="2068"/>
      <c r="D146" s="2068"/>
      <c r="E146" s="2068"/>
      <c r="F146" s="2068"/>
      <c r="G146" s="2068"/>
      <c r="H146" s="2068"/>
      <c r="I146" s="2068"/>
    </row>
    <row r="147" spans="1:9" x14ac:dyDescent="0.2">
      <c r="A147" s="2068"/>
      <c r="B147" s="2068"/>
      <c r="C147" s="2068"/>
      <c r="D147" s="2068"/>
      <c r="E147" s="2068"/>
      <c r="F147" s="2068"/>
      <c r="G147" s="2068"/>
      <c r="H147" s="2068"/>
      <c r="I147" s="2068"/>
    </row>
    <row r="148" spans="1:9" x14ac:dyDescent="0.2">
      <c r="A148" s="2068"/>
      <c r="B148" s="2068"/>
      <c r="C148" s="2068"/>
      <c r="D148" s="2068"/>
      <c r="E148" s="2068"/>
      <c r="F148" s="2068"/>
      <c r="G148" s="2068"/>
      <c r="H148" s="2068"/>
      <c r="I148" s="2068"/>
    </row>
    <row r="149" spans="1:9" x14ac:dyDescent="0.2">
      <c r="A149" s="2068"/>
      <c r="B149" s="2068"/>
      <c r="C149" s="2068"/>
      <c r="D149" s="2068"/>
      <c r="E149" s="2068"/>
      <c r="F149" s="2068"/>
      <c r="G149" s="2068"/>
      <c r="H149" s="2068"/>
      <c r="I149" s="2068"/>
    </row>
    <row r="150" spans="1:9" x14ac:dyDescent="0.2">
      <c r="A150" s="2068"/>
      <c r="B150" s="2068"/>
      <c r="C150" s="2068"/>
      <c r="D150" s="2068"/>
      <c r="E150" s="2068"/>
      <c r="F150" s="2068"/>
      <c r="G150" s="2068"/>
      <c r="H150" s="2068"/>
      <c r="I150" s="2068"/>
    </row>
    <row r="151" spans="1:9" x14ac:dyDescent="0.2">
      <c r="A151" s="2068"/>
      <c r="B151" s="2068"/>
      <c r="C151" s="2068"/>
      <c r="D151" s="2068"/>
      <c r="E151" s="2068"/>
      <c r="F151" s="2068"/>
      <c r="G151" s="2068"/>
      <c r="H151" s="2068"/>
      <c r="I151" s="2068"/>
    </row>
    <row r="152" spans="1:9" x14ac:dyDescent="0.2">
      <c r="A152" s="2068"/>
      <c r="B152" s="2068"/>
      <c r="C152" s="2068"/>
      <c r="D152" s="2068"/>
      <c r="E152" s="2068"/>
      <c r="F152" s="2068"/>
      <c r="G152" s="2068"/>
      <c r="H152" s="2068"/>
      <c r="I152" s="2068"/>
    </row>
  </sheetData>
  <mergeCells count="86">
    <mergeCell ref="A4:I4"/>
    <mergeCell ref="A2:C2"/>
    <mergeCell ref="D2:I2"/>
    <mergeCell ref="A10:I10"/>
    <mergeCell ref="A12:C12"/>
    <mergeCell ref="D12:I12"/>
    <mergeCell ref="A14:I14"/>
    <mergeCell ref="A20:I20"/>
    <mergeCell ref="A22:C22"/>
    <mergeCell ref="D22:I22"/>
    <mergeCell ref="A23:C23"/>
    <mergeCell ref="D23:I23"/>
    <mergeCell ref="A24:C24"/>
    <mergeCell ref="D24:I24"/>
    <mergeCell ref="A37:C37"/>
    <mergeCell ref="D37:F37"/>
    <mergeCell ref="D38:F38"/>
    <mergeCell ref="D40:F40"/>
    <mergeCell ref="D41:F41"/>
    <mergeCell ref="D42:F42"/>
    <mergeCell ref="A38:C42"/>
    <mergeCell ref="D44:F44"/>
    <mergeCell ref="A43:C44"/>
    <mergeCell ref="D43:F43"/>
    <mergeCell ref="D45:F45"/>
    <mergeCell ref="D46:F46"/>
    <mergeCell ref="D47:F47"/>
    <mergeCell ref="A45:C46"/>
    <mergeCell ref="A47:C47"/>
    <mergeCell ref="A62:C62"/>
    <mergeCell ref="D62:I62"/>
    <mergeCell ref="A49:C49"/>
    <mergeCell ref="D49:I49"/>
    <mergeCell ref="A50:C50"/>
    <mergeCell ref="D50:I50"/>
    <mergeCell ref="A51:C51"/>
    <mergeCell ref="D51:I51"/>
    <mergeCell ref="A58:C58"/>
    <mergeCell ref="D58:F58"/>
    <mergeCell ref="A59:C60"/>
    <mergeCell ref="D59:F59"/>
    <mergeCell ref="D60:F60"/>
    <mergeCell ref="A64:I64"/>
    <mergeCell ref="A70:I70"/>
    <mergeCell ref="A65:I65"/>
    <mergeCell ref="A71:I71"/>
    <mergeCell ref="A74:C74"/>
    <mergeCell ref="D74:F74"/>
    <mergeCell ref="D75:F75"/>
    <mergeCell ref="D76:F76"/>
    <mergeCell ref="A75:C75"/>
    <mergeCell ref="A76:C76"/>
    <mergeCell ref="A78:C78"/>
    <mergeCell ref="D78:I78"/>
    <mergeCell ref="A96:C96"/>
    <mergeCell ref="D96:I96"/>
    <mergeCell ref="A80:I80"/>
    <mergeCell ref="A81:I81"/>
    <mergeCell ref="A88:I88"/>
    <mergeCell ref="A91:C91"/>
    <mergeCell ref="D91:F91"/>
    <mergeCell ref="D92:F92"/>
    <mergeCell ref="A92:C92"/>
    <mergeCell ref="D93:F93"/>
    <mergeCell ref="D94:F94"/>
    <mergeCell ref="A93:C94"/>
    <mergeCell ref="A98:I98"/>
    <mergeCell ref="A99:I99"/>
    <mergeCell ref="A106:I106"/>
    <mergeCell ref="A109:C109"/>
    <mergeCell ref="D109:F109"/>
    <mergeCell ref="D111:F111"/>
    <mergeCell ref="D112:F112"/>
    <mergeCell ref="A110:C112"/>
    <mergeCell ref="A113:C114"/>
    <mergeCell ref="D113:F113"/>
    <mergeCell ref="D114:F114"/>
    <mergeCell ref="D110:F110"/>
    <mergeCell ref="A131:C132"/>
    <mergeCell ref="A116:C116"/>
    <mergeCell ref="D116:I116"/>
    <mergeCell ref="A118:I118"/>
    <mergeCell ref="A119:I119"/>
    <mergeCell ref="A126:I126"/>
    <mergeCell ref="A130:C130"/>
    <mergeCell ref="D130:F1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7"/>
  <sheetViews>
    <sheetView workbookViewId="0">
      <selection activeCell="N18" sqref="N18"/>
    </sheetView>
  </sheetViews>
  <sheetFormatPr defaultRowHeight="12.75" x14ac:dyDescent="0.2"/>
  <cols>
    <col min="1" max="1" width="3.5703125" customWidth="1"/>
    <col min="2" max="2" width="4.140625" customWidth="1"/>
    <col min="3" max="3" width="7.5703125" customWidth="1"/>
    <col min="4" max="4" width="3.42578125" customWidth="1"/>
    <col min="5" max="5" width="31.140625" customWidth="1"/>
    <col min="6" max="6" width="11.85546875" customWidth="1"/>
    <col min="7" max="7" width="0" hidden="1" customWidth="1"/>
    <col min="12" max="12" width="8.42578125" customWidth="1"/>
  </cols>
  <sheetData>
    <row r="1" spans="1:14" ht="15.75" x14ac:dyDescent="0.25">
      <c r="A1" s="95"/>
      <c r="B1" s="99" t="s">
        <v>246</v>
      </c>
      <c r="E1" s="99" t="s">
        <v>247</v>
      </c>
      <c r="F1" s="97"/>
      <c r="G1" s="250" t="e">
        <f>G2-G7</f>
        <v>#REF!</v>
      </c>
      <c r="H1" s="250"/>
      <c r="I1" s="250"/>
      <c r="J1" s="250"/>
      <c r="K1" s="250"/>
      <c r="L1" s="251">
        <f>L2-L7</f>
        <v>0</v>
      </c>
      <c r="M1" s="251">
        <f>M2-M7</f>
        <v>0</v>
      </c>
      <c r="N1" s="251">
        <f>N2-N7</f>
        <v>0</v>
      </c>
    </row>
    <row r="2" spans="1:14" ht="15.75" x14ac:dyDescent="0.25">
      <c r="A2" s="95"/>
      <c r="B2" s="99"/>
      <c r="G2" s="252" t="e">
        <f>SUM(G8:G10)</f>
        <v>#REF!</v>
      </c>
      <c r="H2" s="252"/>
      <c r="I2" s="252"/>
      <c r="J2" s="252"/>
      <c r="K2" s="252"/>
      <c r="L2" s="107">
        <f>SUM(L8:L10)</f>
        <v>1290</v>
      </c>
      <c r="M2" s="107">
        <f>SUM(M8:M10)</f>
        <v>1590</v>
      </c>
      <c r="N2" s="107">
        <f>SUM(N8:N10)</f>
        <v>1590</v>
      </c>
    </row>
    <row r="3" spans="1:14" ht="16.5" thickBot="1" x14ac:dyDescent="0.3">
      <c r="A3" s="108"/>
      <c r="B3" s="109"/>
      <c r="C3" s="110"/>
      <c r="D3" s="110"/>
      <c r="E3" s="111"/>
      <c r="F3" s="112"/>
      <c r="G3" s="2302" t="s">
        <v>163</v>
      </c>
      <c r="H3" s="2302"/>
      <c r="I3" s="2302"/>
      <c r="J3" s="2302"/>
      <c r="K3" s="2302"/>
      <c r="L3" s="2302"/>
      <c r="M3" s="2302"/>
      <c r="N3" s="2302"/>
    </row>
    <row r="4" spans="1:14" ht="13.5" thickBot="1" x14ac:dyDescent="0.25">
      <c r="A4" s="113"/>
      <c r="B4" s="114" t="s">
        <v>164</v>
      </c>
      <c r="C4" s="115" t="s">
        <v>165</v>
      </c>
      <c r="D4" s="2333" t="s">
        <v>166</v>
      </c>
      <c r="E4" s="2333"/>
      <c r="F4" s="2333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3.5" thickBot="1" x14ac:dyDescent="0.25">
      <c r="A5" s="113"/>
      <c r="B5" s="114" t="s">
        <v>167</v>
      </c>
      <c r="C5" s="115" t="s">
        <v>168</v>
      </c>
      <c r="D5" s="2333"/>
      <c r="E5" s="2333"/>
      <c r="F5" s="2333"/>
      <c r="G5" s="118" t="s">
        <v>169</v>
      </c>
      <c r="H5" s="253" t="s">
        <v>170</v>
      </c>
      <c r="I5" s="253" t="s">
        <v>170</v>
      </c>
      <c r="J5" s="253" t="s">
        <v>170</v>
      </c>
      <c r="K5" s="119" t="s">
        <v>171</v>
      </c>
      <c r="L5" s="119" t="s">
        <v>171</v>
      </c>
      <c r="M5" s="119" t="s">
        <v>171</v>
      </c>
      <c r="N5" s="119" t="s">
        <v>171</v>
      </c>
    </row>
    <row r="6" spans="1:14" ht="13.5" thickBot="1" x14ac:dyDescent="0.25">
      <c r="A6" s="254"/>
      <c r="B6" s="255" t="s">
        <v>172</v>
      </c>
      <c r="C6" s="256" t="s">
        <v>173</v>
      </c>
      <c r="D6" s="2333"/>
      <c r="E6" s="2333"/>
      <c r="F6" s="2333"/>
      <c r="G6" s="257">
        <v>1</v>
      </c>
      <c r="H6" s="121">
        <v>-3</v>
      </c>
      <c r="I6" s="257">
        <v>-2</v>
      </c>
      <c r="J6" s="121">
        <v>-1</v>
      </c>
      <c r="K6" s="258">
        <v>-1</v>
      </c>
      <c r="L6" s="258">
        <v>0</v>
      </c>
      <c r="M6" s="258">
        <v>1</v>
      </c>
      <c r="N6" s="258">
        <v>2</v>
      </c>
    </row>
    <row r="7" spans="1:14" ht="15" x14ac:dyDescent="0.25">
      <c r="A7" s="130">
        <v>1</v>
      </c>
      <c r="B7" s="259" t="s">
        <v>246</v>
      </c>
      <c r="C7" s="260"/>
      <c r="D7" s="261"/>
      <c r="E7" s="262" t="s">
        <v>247</v>
      </c>
      <c r="F7" s="263"/>
      <c r="G7" s="264" t="e">
        <f>G11+#REF!</f>
        <v>#REF!</v>
      </c>
      <c r="H7" s="571">
        <f>H8+H9+H10</f>
        <v>2280</v>
      </c>
      <c r="I7" s="265">
        <f>SUM(I8:I10)</f>
        <v>1269.49</v>
      </c>
      <c r="J7" s="571">
        <f>J8+J9+J10</f>
        <v>1290</v>
      </c>
      <c r="K7" s="724">
        <f>SUM(K8:K10)</f>
        <v>1305</v>
      </c>
      <c r="L7" s="129">
        <f>SUM(L8:L10)</f>
        <v>1290</v>
      </c>
      <c r="M7" s="129">
        <f>SUM(M8:M10)</f>
        <v>1590</v>
      </c>
      <c r="N7" s="129">
        <f>SUM(N8:N10)</f>
        <v>1590</v>
      </c>
    </row>
    <row r="8" spans="1:14" x14ac:dyDescent="0.2">
      <c r="A8" s="130">
        <f t="shared" ref="A8:A14" si="0">A7+1</f>
        <v>2</v>
      </c>
      <c r="B8" s="266" t="s">
        <v>175</v>
      </c>
      <c r="C8" s="674" t="s">
        <v>176</v>
      </c>
      <c r="D8" s="675"/>
      <c r="E8" s="676"/>
      <c r="F8" s="677"/>
      <c r="G8" s="678" t="e">
        <f>G12+#REF!</f>
        <v>#REF!</v>
      </c>
      <c r="H8" s="778">
        <f>H12</f>
        <v>2280</v>
      </c>
      <c r="I8" s="776">
        <f>SUM(I12)</f>
        <v>1269.49</v>
      </c>
      <c r="J8" s="778">
        <f>J12</f>
        <v>1290</v>
      </c>
      <c r="K8" s="746">
        <f>SUM(K12)</f>
        <v>1305</v>
      </c>
      <c r="L8" s="679">
        <f>SUM(L12)</f>
        <v>1290</v>
      </c>
      <c r="M8" s="679">
        <f>SUM(M12)</f>
        <v>1590</v>
      </c>
      <c r="N8" s="679">
        <f>SUM(N12)</f>
        <v>1590</v>
      </c>
    </row>
    <row r="9" spans="1:14" x14ac:dyDescent="0.2">
      <c r="A9" s="130">
        <f t="shared" si="0"/>
        <v>3</v>
      </c>
      <c r="B9" s="266" t="s">
        <v>177</v>
      </c>
      <c r="C9" s="768" t="s">
        <v>178</v>
      </c>
      <c r="D9" s="769"/>
      <c r="E9" s="770"/>
      <c r="F9" s="771"/>
      <c r="G9" s="772" t="e">
        <f>#REF!</f>
        <v>#REF!</v>
      </c>
      <c r="H9" s="785">
        <v>0</v>
      </c>
      <c r="I9" s="775">
        <v>0</v>
      </c>
      <c r="J9" s="785">
        <v>0</v>
      </c>
      <c r="K9" s="773">
        <v>0</v>
      </c>
      <c r="L9" s="774">
        <v>0</v>
      </c>
      <c r="M9" s="774">
        <v>0</v>
      </c>
      <c r="N9" s="774">
        <v>0</v>
      </c>
    </row>
    <row r="10" spans="1:14" ht="13.5" thickBot="1" x14ac:dyDescent="0.25">
      <c r="A10" s="130">
        <f t="shared" si="0"/>
        <v>4</v>
      </c>
      <c r="B10" s="267"/>
      <c r="C10" s="702" t="s">
        <v>179</v>
      </c>
      <c r="D10" s="703"/>
      <c r="E10" s="704"/>
      <c r="F10" s="705"/>
      <c r="G10" s="796">
        <v>0</v>
      </c>
      <c r="H10" s="798">
        <v>0</v>
      </c>
      <c r="I10" s="797">
        <v>0</v>
      </c>
      <c r="J10" s="798">
        <v>0</v>
      </c>
      <c r="K10" s="799">
        <v>0</v>
      </c>
      <c r="L10" s="800">
        <v>0</v>
      </c>
      <c r="M10" s="800">
        <v>0</v>
      </c>
      <c r="N10" s="800">
        <v>0</v>
      </c>
    </row>
    <row r="11" spans="1:14" ht="13.5" thickTop="1" x14ac:dyDescent="0.2">
      <c r="A11" s="130">
        <f t="shared" si="0"/>
        <v>5</v>
      </c>
      <c r="B11" s="268">
        <v>1</v>
      </c>
      <c r="C11" s="235" t="s">
        <v>248</v>
      </c>
      <c r="D11" s="137"/>
      <c r="E11" s="137"/>
      <c r="F11" s="138"/>
      <c r="G11" s="139" t="e">
        <f>SUM(G13)+#REF!</f>
        <v>#REF!</v>
      </c>
      <c r="H11" s="572">
        <f>H12</f>
        <v>2280</v>
      </c>
      <c r="I11" s="269">
        <f t="shared" ref="I11:N12" si="1">I12</f>
        <v>1269.49</v>
      </c>
      <c r="J11" s="572">
        <f>J12</f>
        <v>1290</v>
      </c>
      <c r="K11" s="308">
        <f t="shared" si="1"/>
        <v>1305</v>
      </c>
      <c r="L11" s="141">
        <f t="shared" si="1"/>
        <v>1290</v>
      </c>
      <c r="M11" s="141">
        <f t="shared" si="1"/>
        <v>1590</v>
      </c>
      <c r="N11" s="141">
        <f t="shared" si="1"/>
        <v>1590</v>
      </c>
    </row>
    <row r="12" spans="1:14" x14ac:dyDescent="0.2">
      <c r="A12" s="130">
        <f t="shared" si="0"/>
        <v>6</v>
      </c>
      <c r="B12" s="270"/>
      <c r="C12" s="151"/>
      <c r="D12" s="133" t="s">
        <v>176</v>
      </c>
      <c r="E12" s="152"/>
      <c r="F12" s="153"/>
      <c r="G12" s="154" t="e">
        <f>G13</f>
        <v>#REF!</v>
      </c>
      <c r="H12" s="573">
        <f>H13</f>
        <v>2280</v>
      </c>
      <c r="I12" s="271">
        <f t="shared" si="1"/>
        <v>1269.49</v>
      </c>
      <c r="J12" s="573">
        <f>J13</f>
        <v>1290</v>
      </c>
      <c r="K12" s="305">
        <f t="shared" si="1"/>
        <v>1305</v>
      </c>
      <c r="L12" s="155">
        <f t="shared" si="1"/>
        <v>1290</v>
      </c>
      <c r="M12" s="155">
        <f t="shared" si="1"/>
        <v>1590</v>
      </c>
      <c r="N12" s="155">
        <f t="shared" si="1"/>
        <v>1590</v>
      </c>
    </row>
    <row r="13" spans="1:14" x14ac:dyDescent="0.2">
      <c r="A13" s="130">
        <f t="shared" si="0"/>
        <v>7</v>
      </c>
      <c r="B13" s="272"/>
      <c r="C13" s="273" t="s">
        <v>249</v>
      </c>
      <c r="D13" s="191" t="s">
        <v>248</v>
      </c>
      <c r="E13" s="274"/>
      <c r="F13" s="275"/>
      <c r="G13" s="193" t="e">
        <f>SUM(#REF!)</f>
        <v>#REF!</v>
      </c>
      <c r="H13" s="574">
        <f t="shared" ref="H13:N13" si="2">SUM(H14:H17)</f>
        <v>2280</v>
      </c>
      <c r="I13" s="384">
        <f t="shared" si="2"/>
        <v>1269.49</v>
      </c>
      <c r="J13" s="574">
        <f t="shared" si="2"/>
        <v>1290</v>
      </c>
      <c r="K13" s="338">
        <f t="shared" si="2"/>
        <v>1305</v>
      </c>
      <c r="L13" s="162">
        <f t="shared" si="2"/>
        <v>1290</v>
      </c>
      <c r="M13" s="162">
        <f t="shared" si="2"/>
        <v>1590</v>
      </c>
      <c r="N13" s="162">
        <f t="shared" si="2"/>
        <v>1590</v>
      </c>
    </row>
    <row r="14" spans="1:14" x14ac:dyDescent="0.2">
      <c r="A14" s="130">
        <f t="shared" si="0"/>
        <v>8</v>
      </c>
      <c r="B14" s="272"/>
      <c r="C14" s="212" t="s">
        <v>191</v>
      </c>
      <c r="D14" s="213" t="s">
        <v>210</v>
      </c>
      <c r="E14" s="171" t="s">
        <v>250</v>
      </c>
      <c r="F14" s="201"/>
      <c r="G14" s="202"/>
      <c r="H14" s="862">
        <f>výdavky!D120</f>
        <v>150</v>
      </c>
      <c r="I14" s="277">
        <f>výdavky!E120</f>
        <v>155.01</v>
      </c>
      <c r="J14" s="576">
        <f>výdavky!F120</f>
        <v>200</v>
      </c>
      <c r="K14" s="307">
        <f>výdavky!G120</f>
        <v>200</v>
      </c>
      <c r="L14" s="174">
        <f>výdavky!H120</f>
        <v>200</v>
      </c>
      <c r="M14" s="174">
        <f>výdavky!I120</f>
        <v>200</v>
      </c>
      <c r="N14" s="174">
        <f>výdavky!J120</f>
        <v>200</v>
      </c>
    </row>
    <row r="15" spans="1:14" x14ac:dyDescent="0.2">
      <c r="A15" s="130">
        <v>9</v>
      </c>
      <c r="B15" s="272"/>
      <c r="C15" s="212" t="s">
        <v>201</v>
      </c>
      <c r="D15" s="213" t="s">
        <v>212</v>
      </c>
      <c r="E15" s="171" t="s">
        <v>202</v>
      </c>
      <c r="F15" s="201"/>
      <c r="G15" s="202"/>
      <c r="H15" s="862">
        <f>výdavky!D121</f>
        <v>1730</v>
      </c>
      <c r="I15" s="277">
        <f>SUM(výdavky!E121)</f>
        <v>680</v>
      </c>
      <c r="J15" s="576">
        <f>výdavky!F121</f>
        <v>640</v>
      </c>
      <c r="K15" s="307">
        <f>výdavky!G121</f>
        <v>640</v>
      </c>
      <c r="L15" s="174">
        <f>výdavky!H121</f>
        <v>640</v>
      </c>
      <c r="M15" s="174">
        <f>výdavky!I121</f>
        <v>940</v>
      </c>
      <c r="N15" s="174">
        <f>výdavky!J121</f>
        <v>940</v>
      </c>
    </row>
    <row r="16" spans="1:14" s="1361" customFormat="1" ht="13.5" thickBot="1" x14ac:dyDescent="0.25">
      <c r="A16" s="130">
        <v>10</v>
      </c>
      <c r="B16" s="272"/>
      <c r="C16" s="279" t="s">
        <v>201</v>
      </c>
      <c r="D16" s="280" t="s">
        <v>223</v>
      </c>
      <c r="E16" s="281" t="s">
        <v>251</v>
      </c>
      <c r="F16" s="282"/>
      <c r="G16" s="283"/>
      <c r="H16" s="883">
        <f>výdavky!D122</f>
        <v>400</v>
      </c>
      <c r="I16" s="284">
        <f>výdavky!E122</f>
        <v>434.48</v>
      </c>
      <c r="J16" s="740">
        <f>výdavky!F122</f>
        <v>450</v>
      </c>
      <c r="K16" s="335">
        <f>výdavky!G122</f>
        <v>465</v>
      </c>
      <c r="L16" s="285">
        <f>výdavky!H122</f>
        <v>450</v>
      </c>
      <c r="M16" s="285">
        <f>výdavky!I122</f>
        <v>450</v>
      </c>
      <c r="N16" s="285">
        <f>výdavky!J122</f>
        <v>450</v>
      </c>
    </row>
    <row r="17" spans="1:14" ht="13.5" thickBot="1" x14ac:dyDescent="0.25">
      <c r="A17" s="242">
        <v>11</v>
      </c>
      <c r="B17" s="278"/>
      <c r="C17" s="279" t="s">
        <v>201</v>
      </c>
      <c r="D17" s="280" t="s">
        <v>225</v>
      </c>
      <c r="E17" s="281" t="s">
        <v>913</v>
      </c>
      <c r="F17" s="282"/>
      <c r="G17" s="283"/>
      <c r="H17" s="883">
        <f>výdavky!D123</f>
        <v>0</v>
      </c>
      <c r="I17" s="284">
        <f>výdavky!E123</f>
        <v>0</v>
      </c>
      <c r="J17" s="740">
        <f>výdavky!F123</f>
        <v>0</v>
      </c>
      <c r="K17" s="335">
        <f>výdavky!G123</f>
        <v>0</v>
      </c>
      <c r="L17" s="285">
        <f>výdavky!H123</f>
        <v>0</v>
      </c>
      <c r="M17" s="285">
        <f>výdavky!I123</f>
        <v>0</v>
      </c>
      <c r="N17" s="285">
        <f>výdavky!J123</f>
        <v>0</v>
      </c>
    </row>
  </sheetData>
  <mergeCells count="2">
    <mergeCell ref="G3:N3"/>
    <mergeCell ref="D4:F6"/>
  </mergeCells>
  <phoneticPr fontId="43" type="noConversion"/>
  <pageMargins left="0.25" right="0.25" top="0.75" bottom="0.75" header="0.3" footer="0.3"/>
  <pageSetup paperSize="9" scale="80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9"/>
  <sheetViews>
    <sheetView workbookViewId="0">
      <selection activeCell="A4" sqref="A4:I4"/>
    </sheetView>
  </sheetViews>
  <sheetFormatPr defaultRowHeight="12.75" x14ac:dyDescent="0.2"/>
  <sheetData>
    <row r="2" spans="1:9" ht="23.25" x14ac:dyDescent="0.2">
      <c r="A2" s="2332" t="s">
        <v>1112</v>
      </c>
      <c r="B2" s="2332"/>
      <c r="C2" s="2332"/>
      <c r="D2" s="2332" t="s">
        <v>1113</v>
      </c>
      <c r="E2" s="2332"/>
      <c r="F2" s="2332"/>
      <c r="G2" s="2332"/>
      <c r="H2" s="2332"/>
      <c r="I2" s="2332"/>
    </row>
    <row r="4" spans="1:9" ht="33" customHeight="1" x14ac:dyDescent="0.2">
      <c r="A4" s="2330" t="s">
        <v>1114</v>
      </c>
      <c r="B4" s="2331"/>
      <c r="C4" s="2331"/>
      <c r="D4" s="2331"/>
      <c r="E4" s="2331"/>
      <c r="F4" s="2331"/>
      <c r="G4" s="2331"/>
      <c r="H4" s="2331"/>
      <c r="I4" s="2331"/>
    </row>
    <row r="6" spans="1:9" ht="18.75" x14ac:dyDescent="0.3">
      <c r="A6" s="2069" t="s">
        <v>1039</v>
      </c>
      <c r="B6" s="2057"/>
      <c r="C6" s="2057"/>
      <c r="D6" s="2057"/>
      <c r="E6" s="2057"/>
      <c r="F6" s="2057"/>
      <c r="G6" s="2057"/>
      <c r="H6" s="2057"/>
      <c r="I6" s="2057"/>
    </row>
    <row r="7" spans="1:9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  <c r="I7" s="2057"/>
    </row>
    <row r="8" spans="1:9" ht="15.75" x14ac:dyDescent="0.25">
      <c r="A8" s="2070" t="s">
        <v>170</v>
      </c>
      <c r="B8" s="1579">
        <f>'Program 2'!H7</f>
        <v>2280</v>
      </c>
      <c r="C8" s="1579">
        <f>'Program 2'!I7</f>
        <v>1269.49</v>
      </c>
      <c r="D8" s="1579">
        <f>'Program 2'!J7</f>
        <v>1290</v>
      </c>
      <c r="E8" s="1579">
        <f>'Program 2'!K7</f>
        <v>1305</v>
      </c>
      <c r="F8" s="2072">
        <f>'Program 2'!L7</f>
        <v>1290</v>
      </c>
      <c r="G8" s="1579">
        <f>'Program 2'!M7</f>
        <v>1590</v>
      </c>
      <c r="H8" s="1579">
        <f>'Program 2'!N7</f>
        <v>1590</v>
      </c>
      <c r="I8" s="2057"/>
    </row>
    <row r="10" spans="1:9" ht="41.25" customHeight="1" x14ac:dyDescent="0.25">
      <c r="A10" s="2309" t="s">
        <v>1115</v>
      </c>
      <c r="B10" s="2309"/>
      <c r="C10" s="2309"/>
      <c r="D10" s="2309"/>
      <c r="E10" s="2309"/>
      <c r="F10" s="2309"/>
      <c r="G10" s="2309"/>
      <c r="H10" s="2309"/>
      <c r="I10" s="2309"/>
    </row>
    <row r="12" spans="1:9" ht="15" x14ac:dyDescent="0.25">
      <c r="A12" s="2306" t="s">
        <v>1116</v>
      </c>
      <c r="B12" s="2306"/>
      <c r="C12" s="2306"/>
      <c r="D12" s="2306" t="s">
        <v>248</v>
      </c>
      <c r="E12" s="2306"/>
      <c r="F12" s="2306"/>
      <c r="G12" s="2306"/>
      <c r="H12" s="2306"/>
      <c r="I12" s="2306"/>
    </row>
    <row r="13" spans="1:9" x14ac:dyDescent="0.2">
      <c r="A13" s="2057"/>
      <c r="B13" s="2057"/>
      <c r="C13" s="2057"/>
      <c r="D13" s="2057"/>
      <c r="E13" s="2057"/>
      <c r="F13" s="2057"/>
      <c r="G13" s="2057"/>
      <c r="H13" s="2057"/>
      <c r="I13" s="2057"/>
    </row>
    <row r="14" spans="1:9" ht="27.75" customHeight="1" x14ac:dyDescent="0.25">
      <c r="A14" s="2307" t="s">
        <v>1117</v>
      </c>
      <c r="B14" s="2307"/>
      <c r="C14" s="2307"/>
      <c r="D14" s="2307"/>
      <c r="E14" s="2307"/>
      <c r="F14" s="2307"/>
      <c r="G14" s="2307"/>
      <c r="H14" s="2307"/>
      <c r="I14" s="2307"/>
    </row>
    <row r="15" spans="1:9" x14ac:dyDescent="0.2">
      <c r="A15" s="2057"/>
      <c r="B15" s="2057"/>
      <c r="C15" s="2057"/>
      <c r="D15" s="2057"/>
      <c r="E15" s="2057"/>
      <c r="F15" s="2057"/>
      <c r="G15" s="2057"/>
      <c r="H15" s="2057"/>
      <c r="I15" s="2057"/>
    </row>
    <row r="16" spans="1:9" ht="15" x14ac:dyDescent="0.25">
      <c r="A16" s="2076" t="s">
        <v>1039</v>
      </c>
      <c r="B16" s="2057"/>
      <c r="C16" s="2057"/>
      <c r="D16" s="2057"/>
      <c r="E16" s="2057"/>
      <c r="F16" s="2057"/>
      <c r="G16" s="2057"/>
      <c r="H16" s="2057"/>
      <c r="I16" s="2057"/>
    </row>
    <row r="17" spans="1:9" ht="15" x14ac:dyDescent="0.25">
      <c r="A17" s="2074" t="s">
        <v>1040</v>
      </c>
      <c r="B17" s="2074">
        <v>2022</v>
      </c>
      <c r="C17" s="2074">
        <v>2023</v>
      </c>
      <c r="D17" s="2074">
        <v>2024</v>
      </c>
      <c r="E17" s="2074" t="s">
        <v>984</v>
      </c>
      <c r="F17" s="2074">
        <v>2025</v>
      </c>
      <c r="G17" s="2074">
        <v>2026</v>
      </c>
      <c r="H17" s="2074">
        <v>2027</v>
      </c>
      <c r="I17" s="2057"/>
    </row>
    <row r="18" spans="1:9" ht="15" x14ac:dyDescent="0.25">
      <c r="A18" s="2075" t="s">
        <v>170</v>
      </c>
      <c r="B18" s="2077">
        <f>'Program 2'!H11</f>
        <v>2280</v>
      </c>
      <c r="C18" s="2077">
        <f>'Program 2'!I11</f>
        <v>1269.49</v>
      </c>
      <c r="D18" s="2077">
        <f>'Program 2'!J11</f>
        <v>1290</v>
      </c>
      <c r="E18" s="2077">
        <f>'Program 2'!K11</f>
        <v>1305</v>
      </c>
      <c r="F18" s="2078">
        <f>'Program 2'!L11</f>
        <v>1290</v>
      </c>
      <c r="G18" s="2077">
        <f>'Program 2'!M11</f>
        <v>1590</v>
      </c>
      <c r="H18" s="2077">
        <f>'Program 2'!N11</f>
        <v>1590</v>
      </c>
      <c r="I18" s="2057"/>
    </row>
    <row r="19" spans="1:9" x14ac:dyDescent="0.2">
      <c r="A19" s="2057"/>
      <c r="B19" s="2057"/>
      <c r="C19" s="2057"/>
      <c r="D19" s="2057"/>
      <c r="E19" s="2057"/>
      <c r="F19" s="2057"/>
      <c r="G19" s="2057"/>
      <c r="H19" s="2057"/>
      <c r="I19" s="2057"/>
    </row>
    <row r="20" spans="1:9" x14ac:dyDescent="0.2">
      <c r="A20" s="2316" t="s">
        <v>1044</v>
      </c>
      <c r="B20" s="2316"/>
      <c r="C20" s="2316"/>
      <c r="D20" s="2316"/>
      <c r="E20" s="2316"/>
      <c r="F20" s="2316"/>
      <c r="G20" s="2316"/>
      <c r="H20" s="2316"/>
      <c r="I20" s="2316"/>
    </row>
    <row r="21" spans="1:9" ht="44.25" customHeight="1" x14ac:dyDescent="0.2">
      <c r="A21" s="2308" t="s">
        <v>1118</v>
      </c>
      <c r="B21" s="2308"/>
      <c r="C21" s="2308"/>
      <c r="D21" s="2308"/>
      <c r="E21" s="2308"/>
      <c r="F21" s="2308"/>
      <c r="G21" s="2308"/>
      <c r="H21" s="2308"/>
      <c r="I21" s="2308"/>
    </row>
    <row r="23" spans="1:9" ht="15" x14ac:dyDescent="0.25">
      <c r="A23" s="2076" t="s">
        <v>1051</v>
      </c>
      <c r="B23" s="2057"/>
      <c r="C23" s="2057"/>
      <c r="D23" s="2057"/>
      <c r="E23" s="2057"/>
      <c r="F23" s="2057"/>
      <c r="G23" s="2057"/>
      <c r="H23" s="2080"/>
      <c r="I23" s="2080"/>
    </row>
    <row r="24" spans="1:9" ht="38.25" x14ac:dyDescent="0.2">
      <c r="A24" s="2310" t="s">
        <v>1052</v>
      </c>
      <c r="B24" s="2310"/>
      <c r="C24" s="2310"/>
      <c r="D24" s="2310" t="s">
        <v>1056</v>
      </c>
      <c r="E24" s="2310"/>
      <c r="F24" s="2310"/>
      <c r="G24" s="2087" t="s">
        <v>1054</v>
      </c>
      <c r="H24" s="2087" t="s">
        <v>1055</v>
      </c>
      <c r="I24" s="2087" t="s">
        <v>1053</v>
      </c>
    </row>
    <row r="25" spans="1:9" x14ac:dyDescent="0.2">
      <c r="A25" s="2311" t="s">
        <v>1119</v>
      </c>
      <c r="B25" s="2311"/>
      <c r="C25" s="2311"/>
      <c r="D25" s="2305" t="s">
        <v>1120</v>
      </c>
      <c r="E25" s="2305"/>
      <c r="F25" s="2305"/>
      <c r="G25" s="2090" t="s">
        <v>1063</v>
      </c>
      <c r="H25" s="2090" t="s">
        <v>1063</v>
      </c>
      <c r="I25" s="2090" t="s">
        <v>1063</v>
      </c>
    </row>
    <row r="26" spans="1:9" ht="27" customHeight="1" x14ac:dyDescent="0.2">
      <c r="A26" s="2311"/>
      <c r="B26" s="2311"/>
      <c r="C26" s="2311"/>
      <c r="D26" s="2305" t="s">
        <v>1121</v>
      </c>
      <c r="E26" s="2305"/>
      <c r="F26" s="2305"/>
      <c r="G26" s="2095">
        <v>1</v>
      </c>
      <c r="H26" s="2095">
        <v>1</v>
      </c>
      <c r="I26" s="2095">
        <v>1</v>
      </c>
    </row>
    <row r="29" spans="1:9" x14ac:dyDescent="0.2">
      <c r="C29" s="2088"/>
    </row>
  </sheetData>
  <mergeCells count="14">
    <mergeCell ref="A25:C26"/>
    <mergeCell ref="D25:F25"/>
    <mergeCell ref="D26:F26"/>
    <mergeCell ref="A2:C2"/>
    <mergeCell ref="D2:I2"/>
    <mergeCell ref="A4:I4"/>
    <mergeCell ref="A10:I10"/>
    <mergeCell ref="A12:C12"/>
    <mergeCell ref="D12:I12"/>
    <mergeCell ref="A14:I14"/>
    <mergeCell ref="A20:I20"/>
    <mergeCell ref="A21:I21"/>
    <mergeCell ref="A24:C24"/>
    <mergeCell ref="D24:F2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5"/>
  <sheetViews>
    <sheetView workbookViewId="0">
      <selection activeCell="H14" sqref="H14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15.5703125" customWidth="1"/>
    <col min="7" max="7" width="0" hidden="1" customWidth="1"/>
    <col min="8" max="8" width="8.42578125" customWidth="1"/>
    <col min="9" max="9" width="8.28515625" customWidth="1"/>
    <col min="10" max="10" width="7.7109375" customWidth="1"/>
    <col min="11" max="11" width="7.140625" customWidth="1"/>
    <col min="12" max="12" width="8.5703125" customWidth="1"/>
    <col min="13" max="14" width="7.28515625" customWidth="1"/>
  </cols>
  <sheetData>
    <row r="1" spans="1:14" ht="15.75" x14ac:dyDescent="0.25">
      <c r="A1" s="156"/>
      <c r="B1" s="286" t="s">
        <v>252</v>
      </c>
      <c r="C1" s="96"/>
      <c r="D1" s="96"/>
      <c r="E1" s="287" t="s">
        <v>253</v>
      </c>
      <c r="F1" s="96"/>
      <c r="G1" s="288" t="e">
        <f>G2-G7</f>
        <v>#REF!</v>
      </c>
      <c r="H1" s="288"/>
      <c r="I1" s="288"/>
      <c r="J1" s="288"/>
      <c r="K1" s="288"/>
      <c r="L1" s="289">
        <f>L2-L7</f>
        <v>0</v>
      </c>
      <c r="M1" s="289">
        <f>M2-M7</f>
        <v>0</v>
      </c>
      <c r="N1" s="289">
        <f>N2-N7</f>
        <v>0</v>
      </c>
    </row>
    <row r="2" spans="1:14" ht="16.5" thickBot="1" x14ac:dyDescent="0.3">
      <c r="A2" s="156"/>
      <c r="B2" s="286"/>
      <c r="C2" s="96"/>
      <c r="D2" s="96"/>
      <c r="E2" s="96"/>
      <c r="F2" s="96"/>
      <c r="G2" s="250" t="e">
        <f>SUM(G8:G10)</f>
        <v>#REF!</v>
      </c>
      <c r="H2" s="250"/>
      <c r="I2" s="250"/>
      <c r="J2" s="250"/>
      <c r="K2" s="250"/>
      <c r="L2" s="290">
        <f>SUM(L8:L10)</f>
        <v>125030</v>
      </c>
      <c r="M2" s="290">
        <f>SUM(M8:M10)</f>
        <v>131730</v>
      </c>
      <c r="N2" s="290">
        <f>SUM(N8:N10)</f>
        <v>131730</v>
      </c>
    </row>
    <row r="3" spans="1:14" ht="16.5" thickBot="1" x14ac:dyDescent="0.3">
      <c r="A3" s="108"/>
      <c r="B3" s="109"/>
      <c r="C3" s="110"/>
      <c r="D3" s="110"/>
      <c r="E3" s="111"/>
      <c r="F3" s="112"/>
      <c r="G3" s="2302" t="s">
        <v>163</v>
      </c>
      <c r="H3" s="2303"/>
      <c r="I3" s="2303"/>
      <c r="J3" s="2303"/>
      <c r="K3" s="2303"/>
      <c r="L3" s="2303"/>
      <c r="M3" s="2303"/>
      <c r="N3" s="2303"/>
    </row>
    <row r="4" spans="1:14" ht="12.75" customHeight="1" thickBot="1" x14ac:dyDescent="0.25">
      <c r="A4" s="113"/>
      <c r="B4" s="114" t="s">
        <v>164</v>
      </c>
      <c r="C4" s="115" t="s">
        <v>165</v>
      </c>
      <c r="D4" s="2304" t="s">
        <v>166</v>
      </c>
      <c r="E4" s="2304"/>
      <c r="F4" s="2304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1.25" customHeight="1" thickBot="1" x14ac:dyDescent="0.25">
      <c r="A5" s="113"/>
      <c r="B5" s="114" t="s">
        <v>167</v>
      </c>
      <c r="C5" s="115" t="s">
        <v>168</v>
      </c>
      <c r="D5" s="2304"/>
      <c r="E5" s="2304"/>
      <c r="F5" s="2304"/>
      <c r="G5" s="118" t="s">
        <v>169</v>
      </c>
      <c r="H5" s="1426" t="s">
        <v>170</v>
      </c>
      <c r="I5" s="119" t="s">
        <v>170</v>
      </c>
      <c r="J5" s="119" t="s">
        <v>170</v>
      </c>
      <c r="K5" s="119" t="s">
        <v>170</v>
      </c>
      <c r="L5" s="119" t="s">
        <v>170</v>
      </c>
      <c r="M5" s="120" t="s">
        <v>171</v>
      </c>
      <c r="N5" s="1229" t="s">
        <v>171</v>
      </c>
    </row>
    <row r="6" spans="1:14" ht="13.5" thickBot="1" x14ac:dyDescent="0.25">
      <c r="A6" s="113"/>
      <c r="B6" s="114" t="s">
        <v>172</v>
      </c>
      <c r="C6" s="115" t="s">
        <v>173</v>
      </c>
      <c r="D6" s="2304"/>
      <c r="E6" s="2304"/>
      <c r="F6" s="2304"/>
      <c r="G6" s="121">
        <v>1</v>
      </c>
      <c r="H6" s="1427">
        <v>-3</v>
      </c>
      <c r="I6" s="258">
        <v>-2</v>
      </c>
      <c r="J6" s="258">
        <v>-1</v>
      </c>
      <c r="K6" s="258">
        <v>-1</v>
      </c>
      <c r="L6" s="258">
        <v>0</v>
      </c>
      <c r="M6" s="122">
        <v>1</v>
      </c>
      <c r="N6" s="1230">
        <v>2</v>
      </c>
    </row>
    <row r="7" spans="1:14" ht="15" x14ac:dyDescent="0.25">
      <c r="A7" s="1382">
        <v>1</v>
      </c>
      <c r="B7" s="1394" t="s">
        <v>252</v>
      </c>
      <c r="C7" s="1395"/>
      <c r="D7" s="1238"/>
      <c r="E7" s="1239" t="s">
        <v>253</v>
      </c>
      <c r="F7" s="1396"/>
      <c r="G7" s="1386" t="e">
        <f>G11+#REF!+#REF!+#REF!+#REF!+#REF!+G34+#REF!</f>
        <v>#REF!</v>
      </c>
      <c r="H7" s="1185">
        <f>H8+H9+H10</f>
        <v>126696</v>
      </c>
      <c r="I7" s="1186">
        <f>SUM(I8:I10)</f>
        <v>137078.21</v>
      </c>
      <c r="J7" s="1170">
        <f>J8+J9+J10</f>
        <v>123930</v>
      </c>
      <c r="K7" s="1188">
        <f>SUM(K8:K10)</f>
        <v>143918</v>
      </c>
      <c r="L7" s="1188">
        <f>SUM(L8:L10)</f>
        <v>125030</v>
      </c>
      <c r="M7" s="1187">
        <f>SUM(M8:M10)</f>
        <v>131730</v>
      </c>
      <c r="N7" s="1185">
        <f>SUM(N8:N10)</f>
        <v>131730</v>
      </c>
    </row>
    <row r="8" spans="1:14" x14ac:dyDescent="0.2">
      <c r="A8" s="1383">
        <f t="shared" ref="A8:A17" si="0">A7+1</f>
        <v>2</v>
      </c>
      <c r="B8" s="1245" t="s">
        <v>175</v>
      </c>
      <c r="C8" s="674" t="s">
        <v>176</v>
      </c>
      <c r="D8" s="675"/>
      <c r="E8" s="676"/>
      <c r="F8" s="1397"/>
      <c r="G8" s="1387" t="e">
        <f>G12+#REF!+#REF!+#REF!+#REF!+#REF!+#REF!+G35</f>
        <v>#REF!</v>
      </c>
      <c r="H8" s="778">
        <f>H12+H35</f>
        <v>123696</v>
      </c>
      <c r="I8" s="746">
        <f>SUM(I12,I35)</f>
        <v>133692.03999999998</v>
      </c>
      <c r="J8" s="679">
        <f>J12+J35</f>
        <v>120630</v>
      </c>
      <c r="K8" s="679">
        <f>SUM(K12,K35)</f>
        <v>139120</v>
      </c>
      <c r="L8" s="679">
        <f>SUM(L12,L35)</f>
        <v>124730</v>
      </c>
      <c r="M8" s="777">
        <f>SUM(M12,M35)</f>
        <v>131730</v>
      </c>
      <c r="N8" s="778">
        <f>SUM(N12,N35)</f>
        <v>131730</v>
      </c>
    </row>
    <row r="9" spans="1:14" x14ac:dyDescent="0.2">
      <c r="A9" s="1383">
        <f t="shared" si="0"/>
        <v>3</v>
      </c>
      <c r="B9" s="1245" t="s">
        <v>177</v>
      </c>
      <c r="C9" s="768" t="s">
        <v>178</v>
      </c>
      <c r="D9" s="801"/>
      <c r="E9" s="802"/>
      <c r="F9" s="1398"/>
      <c r="G9" s="1388" t="e">
        <f>'Program 1'!#REF!+#REF!+#REF!</f>
        <v>#REF!</v>
      </c>
      <c r="H9" s="785">
        <f>H31+H43</f>
        <v>0</v>
      </c>
      <c r="I9" s="773">
        <f>I31+I43+I27</f>
        <v>0</v>
      </c>
      <c r="J9" s="774">
        <f>J31+J43</f>
        <v>0</v>
      </c>
      <c r="K9" s="774">
        <f>K31+K43+K27</f>
        <v>4798</v>
      </c>
      <c r="L9" s="774">
        <f>L31+L43</f>
        <v>0</v>
      </c>
      <c r="M9" s="803">
        <f>M31+M43</f>
        <v>0</v>
      </c>
      <c r="N9" s="785">
        <f>N31+N43</f>
        <v>0</v>
      </c>
    </row>
    <row r="10" spans="1:14" ht="13.5" thickBot="1" x14ac:dyDescent="0.25">
      <c r="A10" s="1383">
        <f t="shared" si="0"/>
        <v>4</v>
      </c>
      <c r="B10" s="1399"/>
      <c r="C10" s="702" t="s">
        <v>179</v>
      </c>
      <c r="D10" s="703"/>
      <c r="E10" s="704"/>
      <c r="F10" s="1400"/>
      <c r="G10" s="1389" t="e">
        <f>#REF!</f>
        <v>#REF!</v>
      </c>
      <c r="H10" s="798">
        <f t="shared" ref="H10:N10" si="1">H24</f>
        <v>3000</v>
      </c>
      <c r="I10" s="799">
        <f t="shared" si="1"/>
        <v>3386.17</v>
      </c>
      <c r="J10" s="800">
        <f t="shared" si="1"/>
        <v>3300</v>
      </c>
      <c r="K10" s="800">
        <f t="shared" si="1"/>
        <v>0</v>
      </c>
      <c r="L10" s="797">
        <f t="shared" si="1"/>
        <v>300</v>
      </c>
      <c r="M10" s="804">
        <f t="shared" si="1"/>
        <v>0</v>
      </c>
      <c r="N10" s="798">
        <f t="shared" si="1"/>
        <v>0</v>
      </c>
    </row>
    <row r="11" spans="1:14" ht="13.5" thickTop="1" x14ac:dyDescent="0.2">
      <c r="A11" s="1383">
        <f t="shared" si="0"/>
        <v>5</v>
      </c>
      <c r="B11" s="1401">
        <v>1</v>
      </c>
      <c r="C11" s="231" t="s">
        <v>254</v>
      </c>
      <c r="D11" s="137"/>
      <c r="E11" s="137"/>
      <c r="F11" s="1402"/>
      <c r="G11" s="634" t="e">
        <f>G13+G32+#REF!</f>
        <v>#REF!</v>
      </c>
      <c r="H11" s="572">
        <f>H12+H24</f>
        <v>112174</v>
      </c>
      <c r="I11" s="308">
        <f>SUM(I12+I31)</f>
        <v>117856.56999999999</v>
      </c>
      <c r="J11" s="141">
        <f>J12+J24</f>
        <v>109580</v>
      </c>
      <c r="K11" s="141">
        <f>SUM(K12+K31)</f>
        <v>117770</v>
      </c>
      <c r="L11" s="141">
        <f>SUM(L12+L31)</f>
        <v>106880</v>
      </c>
      <c r="M11" s="410">
        <f>SUM(M12+M31)</f>
        <v>113880</v>
      </c>
      <c r="N11" s="572">
        <f>SUM(N12+N31)</f>
        <v>113880</v>
      </c>
    </row>
    <row r="12" spans="1:14" s="189" customFormat="1" x14ac:dyDescent="0.2">
      <c r="A12" s="1383">
        <f t="shared" si="0"/>
        <v>6</v>
      </c>
      <c r="B12" s="1403"/>
      <c r="C12" s="222"/>
      <c r="D12" s="132" t="s">
        <v>176</v>
      </c>
      <c r="E12" s="152"/>
      <c r="F12" s="1404"/>
      <c r="G12" s="657">
        <f t="shared" ref="G12:N12" si="2">G13</f>
        <v>3776.7999999999997</v>
      </c>
      <c r="H12" s="573">
        <f>H13</f>
        <v>109174</v>
      </c>
      <c r="I12" s="305">
        <f t="shared" si="2"/>
        <v>117856.56999999999</v>
      </c>
      <c r="J12" s="155">
        <f>J13</f>
        <v>106280</v>
      </c>
      <c r="K12" s="155">
        <f t="shared" si="2"/>
        <v>117770</v>
      </c>
      <c r="L12" s="155">
        <f t="shared" si="2"/>
        <v>106880</v>
      </c>
      <c r="M12" s="412">
        <f t="shared" si="2"/>
        <v>113880</v>
      </c>
      <c r="N12" s="573">
        <f t="shared" si="2"/>
        <v>113880</v>
      </c>
    </row>
    <row r="13" spans="1:14" x14ac:dyDescent="0.2">
      <c r="A13" s="1383">
        <f t="shared" si="0"/>
        <v>7</v>
      </c>
      <c r="B13" s="1235"/>
      <c r="C13" s="294" t="s">
        <v>255</v>
      </c>
      <c r="D13" s="191" t="s">
        <v>256</v>
      </c>
      <c r="E13" s="159"/>
      <c r="F13" s="1405"/>
      <c r="G13" s="1390">
        <f>SUM(G14:G21)</f>
        <v>3776.7999999999997</v>
      </c>
      <c r="H13" s="574">
        <f>SUM(H14:H23)</f>
        <v>109174</v>
      </c>
      <c r="I13" s="338">
        <f>SUM(I14,I15,I16,I17,I18,I19,I20,I21,I22,I23)</f>
        <v>117856.56999999999</v>
      </c>
      <c r="J13" s="162">
        <f>SUM(J14:J23)</f>
        <v>106280</v>
      </c>
      <c r="K13" s="162">
        <f>SUM(K14,K15,K16,K17,K18,K19,K20,K21,K22,K23)</f>
        <v>117770</v>
      </c>
      <c r="L13" s="162">
        <f>SUM(L14,L15,L16,L17,L18,L19,L20,L21,L22,L23)</f>
        <v>106880</v>
      </c>
      <c r="M13" s="276">
        <f>SUM(M14,M15,M16,M17,M18,M19,M20,M21,M22,M23)</f>
        <v>113880</v>
      </c>
      <c r="N13" s="574">
        <f>SUM(N14,N15,N16,N17,N18,N19,N20,N21,N22,N23)</f>
        <v>113880</v>
      </c>
    </row>
    <row r="14" spans="1:14" x14ac:dyDescent="0.2">
      <c r="A14" s="1383">
        <f t="shared" si="0"/>
        <v>8</v>
      </c>
      <c r="B14" s="1235"/>
      <c r="C14" s="214" t="s">
        <v>185</v>
      </c>
      <c r="D14" s="208" t="s">
        <v>210</v>
      </c>
      <c r="E14" s="295" t="s">
        <v>238</v>
      </c>
      <c r="F14" s="1406"/>
      <c r="G14" s="168">
        <f t="shared" ref="G14:G22" si="3">ROUND(M14/30.126,1)</f>
        <v>2489.5</v>
      </c>
      <c r="H14" s="575">
        <f>výdavky!D131</f>
        <v>70000</v>
      </c>
      <c r="I14" s="306">
        <f>výdavky!E131</f>
        <v>76136.850000000006</v>
      </c>
      <c r="J14" s="169">
        <f>výdavky!F131</f>
        <v>70000</v>
      </c>
      <c r="K14" s="169">
        <f>výdavky!G131</f>
        <v>77500</v>
      </c>
      <c r="L14" s="296">
        <f>výdavky!H131</f>
        <v>70000</v>
      </c>
      <c r="M14" s="567">
        <f>výdavky!I131</f>
        <v>75000</v>
      </c>
      <c r="N14" s="575">
        <f>výdavky!I131</f>
        <v>75000</v>
      </c>
    </row>
    <row r="15" spans="1:14" x14ac:dyDescent="0.2">
      <c r="A15" s="1383">
        <f t="shared" si="0"/>
        <v>9</v>
      </c>
      <c r="B15" s="1235"/>
      <c r="C15" s="214" t="s">
        <v>187</v>
      </c>
      <c r="D15" s="213" t="s">
        <v>212</v>
      </c>
      <c r="E15" s="297" t="s">
        <v>188</v>
      </c>
      <c r="F15" s="1407"/>
      <c r="G15" s="173">
        <f t="shared" si="3"/>
        <v>896.2</v>
      </c>
      <c r="H15" s="576">
        <f>výdavky!D132</f>
        <v>25000</v>
      </c>
      <c r="I15" s="307">
        <f>výdavky!E132</f>
        <v>27251.62</v>
      </c>
      <c r="J15" s="174">
        <f>výdavky!F132</f>
        <v>25000</v>
      </c>
      <c r="K15" s="174">
        <f>výdavky!G132</f>
        <v>28300</v>
      </c>
      <c r="L15" s="277">
        <f>výdavky!H132</f>
        <v>25000</v>
      </c>
      <c r="M15" s="417">
        <f>výdavky!I132</f>
        <v>27000</v>
      </c>
      <c r="N15" s="576">
        <f>výdavky!I132</f>
        <v>27000</v>
      </c>
    </row>
    <row r="16" spans="1:14" x14ac:dyDescent="0.2">
      <c r="A16" s="1383">
        <f t="shared" si="0"/>
        <v>10</v>
      </c>
      <c r="B16" s="1235"/>
      <c r="C16" s="214" t="s">
        <v>189</v>
      </c>
      <c r="D16" s="208" t="s">
        <v>223</v>
      </c>
      <c r="E16" s="295" t="s">
        <v>257</v>
      </c>
      <c r="F16" s="1406"/>
      <c r="G16" s="168">
        <f t="shared" si="3"/>
        <v>1.7</v>
      </c>
      <c r="H16" s="575">
        <f>výdavky!D133</f>
        <v>50</v>
      </c>
      <c r="I16" s="306">
        <f>výdavky!E133</f>
        <v>0</v>
      </c>
      <c r="J16" s="169">
        <f>výdavky!F133</f>
        <v>50</v>
      </c>
      <c r="K16" s="169">
        <f>výdavky!G133</f>
        <v>50</v>
      </c>
      <c r="L16" s="296">
        <f>výdavky!H133</f>
        <v>50</v>
      </c>
      <c r="M16" s="567">
        <f>výdavky!I133</f>
        <v>50</v>
      </c>
      <c r="N16" s="575">
        <f>výdavky!I133</f>
        <v>50</v>
      </c>
    </row>
    <row r="17" spans="1:14" x14ac:dyDescent="0.2">
      <c r="A17" s="1383">
        <f t="shared" si="0"/>
        <v>11</v>
      </c>
      <c r="B17" s="1235"/>
      <c r="C17" s="214" t="s">
        <v>191</v>
      </c>
      <c r="D17" s="213" t="s">
        <v>225</v>
      </c>
      <c r="E17" s="297" t="s">
        <v>192</v>
      </c>
      <c r="F17" s="1407"/>
      <c r="G17" s="173">
        <f t="shared" si="3"/>
        <v>29.2</v>
      </c>
      <c r="H17" s="576">
        <f>výdavky!D134</f>
        <v>880</v>
      </c>
      <c r="I17" s="307">
        <f>výdavky!E134</f>
        <v>727.26</v>
      </c>
      <c r="J17" s="174">
        <f>výdavky!F134</f>
        <v>880</v>
      </c>
      <c r="K17" s="174">
        <f>výdavky!G134</f>
        <v>1100</v>
      </c>
      <c r="L17" s="277">
        <f>výdavky!H134</f>
        <v>880</v>
      </c>
      <c r="M17" s="417">
        <f>výdavky!I134</f>
        <v>880</v>
      </c>
      <c r="N17" s="576">
        <f>výdavky!I134</f>
        <v>880</v>
      </c>
    </row>
    <row r="18" spans="1:14" x14ac:dyDescent="0.2">
      <c r="A18" s="1383">
        <v>12</v>
      </c>
      <c r="B18" s="1235"/>
      <c r="C18" s="214" t="s">
        <v>193</v>
      </c>
      <c r="D18" s="208" t="s">
        <v>227</v>
      </c>
      <c r="E18" s="295" t="s">
        <v>258</v>
      </c>
      <c r="F18" s="1406"/>
      <c r="G18" s="168">
        <f t="shared" si="3"/>
        <v>137.80000000000001</v>
      </c>
      <c r="H18" s="575">
        <f>výdavky!D135</f>
        <v>4170</v>
      </c>
      <c r="I18" s="306">
        <f>výdavky!E135</f>
        <v>2774.24</v>
      </c>
      <c r="J18" s="169">
        <f>výdavky!F135</f>
        <v>3450</v>
      </c>
      <c r="K18" s="169">
        <f>výdavky!G135</f>
        <v>4420</v>
      </c>
      <c r="L18" s="296">
        <f>výdavky!H135</f>
        <v>4150</v>
      </c>
      <c r="M18" s="567">
        <f>výdavky!I135</f>
        <v>4150</v>
      </c>
      <c r="N18" s="575">
        <f>výdavky!I135</f>
        <v>4150</v>
      </c>
    </row>
    <row r="19" spans="1:14" x14ac:dyDescent="0.2">
      <c r="A19" s="1383">
        <f>A18+1</f>
        <v>13</v>
      </c>
      <c r="B19" s="1235"/>
      <c r="C19" s="214" t="s">
        <v>195</v>
      </c>
      <c r="D19" s="213" t="s">
        <v>231</v>
      </c>
      <c r="E19" s="297" t="s">
        <v>259</v>
      </c>
      <c r="F19" s="1407"/>
      <c r="G19" s="173">
        <f t="shared" si="3"/>
        <v>209.1</v>
      </c>
      <c r="H19" s="576">
        <f>výdavky!D144</f>
        <v>7200</v>
      </c>
      <c r="I19" s="307">
        <f>výdavky!E144</f>
        <v>8421.9699999999993</v>
      </c>
      <c r="J19" s="174">
        <f>výdavky!F144</f>
        <v>6300</v>
      </c>
      <c r="K19" s="174">
        <f>výdavky!G144</f>
        <v>5700</v>
      </c>
      <c r="L19" s="277">
        <f>výdavky!H144</f>
        <v>6300</v>
      </c>
      <c r="M19" s="417">
        <f>výdavky!I144</f>
        <v>6300</v>
      </c>
      <c r="N19" s="576">
        <f>výdavky!I144</f>
        <v>6300</v>
      </c>
    </row>
    <row r="20" spans="1:14" x14ac:dyDescent="0.2">
      <c r="A20" s="1383">
        <f>A19+1</f>
        <v>14</v>
      </c>
      <c r="B20" s="1235"/>
      <c r="C20" s="214" t="s">
        <v>197</v>
      </c>
      <c r="D20" s="208" t="s">
        <v>233</v>
      </c>
      <c r="E20" s="295" t="s">
        <v>260</v>
      </c>
      <c r="F20" s="1406"/>
      <c r="G20" s="168">
        <f t="shared" si="3"/>
        <v>3.3</v>
      </c>
      <c r="H20" s="575">
        <f>výdavky!D148</f>
        <v>878</v>
      </c>
      <c r="I20" s="306">
        <f>výdavky!E148</f>
        <v>218.65</v>
      </c>
      <c r="J20" s="169">
        <f>výdavky!F148</f>
        <v>200</v>
      </c>
      <c r="K20" s="169">
        <f>výdavky!G148</f>
        <v>200</v>
      </c>
      <c r="L20" s="296">
        <f>výdavky!H148</f>
        <v>100</v>
      </c>
      <c r="M20" s="567">
        <f>výdavky!I148</f>
        <v>100</v>
      </c>
      <c r="N20" s="575">
        <f>výdavky!I148</f>
        <v>100</v>
      </c>
    </row>
    <row r="21" spans="1:14" x14ac:dyDescent="0.2">
      <c r="A21" s="1383">
        <f>A20+1</f>
        <v>15</v>
      </c>
      <c r="B21" s="1235"/>
      <c r="C21" s="214" t="s">
        <v>201</v>
      </c>
      <c r="D21" s="213" t="s">
        <v>261</v>
      </c>
      <c r="E21" s="297" t="s">
        <v>262</v>
      </c>
      <c r="F21" s="1407"/>
      <c r="G21" s="173">
        <f t="shared" si="3"/>
        <v>10</v>
      </c>
      <c r="H21" s="576">
        <f>výdavky!D149</f>
        <v>930</v>
      </c>
      <c r="I21" s="307">
        <f>výdavky!E149</f>
        <v>1771.64</v>
      </c>
      <c r="J21" s="174">
        <f>výdavky!F149</f>
        <v>300</v>
      </c>
      <c r="K21" s="174">
        <f>výdavky!G149</f>
        <v>400</v>
      </c>
      <c r="L21" s="277">
        <f>výdavky!H149</f>
        <v>300</v>
      </c>
      <c r="M21" s="417">
        <f>výdavky!I149</f>
        <v>300</v>
      </c>
      <c r="N21" s="576">
        <f>výdavky!I149</f>
        <v>300</v>
      </c>
    </row>
    <row r="22" spans="1:14" x14ac:dyDescent="0.2">
      <c r="A22" s="1383">
        <v>16</v>
      </c>
      <c r="B22" s="1235"/>
      <c r="C22" s="214" t="s">
        <v>209</v>
      </c>
      <c r="D22" s="213" t="s">
        <v>263</v>
      </c>
      <c r="E22" s="297" t="s">
        <v>264</v>
      </c>
      <c r="F22" s="1407"/>
      <c r="G22" s="173">
        <f t="shared" si="3"/>
        <v>3.3</v>
      </c>
      <c r="H22" s="576">
        <f>výdavky!D150</f>
        <v>66</v>
      </c>
      <c r="I22" s="307">
        <f>výdavky!E150</f>
        <v>66</v>
      </c>
      <c r="J22" s="174">
        <f>výdavky!F150</f>
        <v>100</v>
      </c>
      <c r="K22" s="174">
        <f>výdavky!G150</f>
        <v>100</v>
      </c>
      <c r="L22" s="277">
        <f>výdavky!H150</f>
        <v>100</v>
      </c>
      <c r="M22" s="417">
        <f>výdavky!I150</f>
        <v>100</v>
      </c>
      <c r="N22" s="576">
        <f>výdavky!I150</f>
        <v>100</v>
      </c>
    </row>
    <row r="23" spans="1:14" x14ac:dyDescent="0.2">
      <c r="A23" s="1383">
        <v>17</v>
      </c>
      <c r="B23" s="1235"/>
      <c r="C23" s="214" t="s">
        <v>201</v>
      </c>
      <c r="D23" s="213" t="s">
        <v>265</v>
      </c>
      <c r="E23" s="297" t="s">
        <v>266</v>
      </c>
      <c r="F23" s="1407"/>
      <c r="G23" s="173"/>
      <c r="H23" s="576">
        <f>výdavky!D151</f>
        <v>0</v>
      </c>
      <c r="I23" s="307">
        <f>SUM(výdavky!E151)</f>
        <v>488.34</v>
      </c>
      <c r="J23" s="174">
        <f>výdavky!F151</f>
        <v>0</v>
      </c>
      <c r="K23" s="174">
        <f>výdavky!G151</f>
        <v>0</v>
      </c>
      <c r="L23" s="277">
        <f>výdavky!H151</f>
        <v>0</v>
      </c>
      <c r="M23" s="417">
        <f>výdavky!I151</f>
        <v>0</v>
      </c>
      <c r="N23" s="576">
        <f>výdavky!I151</f>
        <v>0</v>
      </c>
    </row>
    <row r="24" spans="1:14" x14ac:dyDescent="0.2">
      <c r="A24" s="1383">
        <v>18</v>
      </c>
      <c r="B24" s="1235"/>
      <c r="C24" s="164"/>
      <c r="D24" s="805" t="s">
        <v>179</v>
      </c>
      <c r="E24" s="806"/>
      <c r="F24" s="1408"/>
      <c r="G24" s="807"/>
      <c r="H24" s="880">
        <f t="shared" ref="H24:J25" si="4">H25</f>
        <v>3000</v>
      </c>
      <c r="I24" s="876">
        <f t="shared" si="4"/>
        <v>3386.17</v>
      </c>
      <c r="J24" s="808">
        <f t="shared" si="4"/>
        <v>3300</v>
      </c>
      <c r="K24" s="808"/>
      <c r="L24" s="809">
        <f t="shared" ref="L24:N25" si="5">L25</f>
        <v>300</v>
      </c>
      <c r="M24" s="810">
        <f t="shared" si="5"/>
        <v>0</v>
      </c>
      <c r="N24" s="811">
        <f t="shared" si="5"/>
        <v>0</v>
      </c>
    </row>
    <row r="25" spans="1:14" x14ac:dyDescent="0.2">
      <c r="A25" s="1383">
        <v>19</v>
      </c>
      <c r="B25" s="1235"/>
      <c r="C25" s="294" t="s">
        <v>255</v>
      </c>
      <c r="D25" s="779" t="s">
        <v>256</v>
      </c>
      <c r="E25" s="780"/>
      <c r="F25" s="1409"/>
      <c r="G25" s="781"/>
      <c r="H25" s="881">
        <f t="shared" si="4"/>
        <v>3000</v>
      </c>
      <c r="I25" s="877">
        <f t="shared" si="4"/>
        <v>3386.17</v>
      </c>
      <c r="J25" s="782">
        <f t="shared" si="4"/>
        <v>3300</v>
      </c>
      <c r="K25" s="782">
        <f>K26</f>
        <v>3387</v>
      </c>
      <c r="L25" s="783">
        <f t="shared" si="5"/>
        <v>300</v>
      </c>
      <c r="M25" s="784">
        <f t="shared" si="5"/>
        <v>0</v>
      </c>
      <c r="N25" s="1428">
        <f t="shared" si="5"/>
        <v>0</v>
      </c>
    </row>
    <row r="26" spans="1:14" x14ac:dyDescent="0.2">
      <c r="A26" s="1383">
        <v>20</v>
      </c>
      <c r="B26" s="1235"/>
      <c r="C26" s="164"/>
      <c r="D26" s="715" t="s">
        <v>355</v>
      </c>
      <c r="E26" s="629" t="s">
        <v>662</v>
      </c>
      <c r="F26" s="1410"/>
      <c r="G26" s="1391"/>
      <c r="H26" s="580">
        <f>výdavky!D810</f>
        <v>3000</v>
      </c>
      <c r="I26" s="878">
        <f>výdavky!E810</f>
        <v>3386.17</v>
      </c>
      <c r="J26" s="565">
        <f>výdavky!F810</f>
        <v>3300</v>
      </c>
      <c r="K26" s="565">
        <f>výdavky!G810</f>
        <v>3387</v>
      </c>
      <c r="L26" s="566">
        <f>výdavky!H810</f>
        <v>300</v>
      </c>
      <c r="M26" s="570">
        <f>výdavky!I810</f>
        <v>0</v>
      </c>
      <c r="N26" s="580">
        <f>výdavky!I810</f>
        <v>0</v>
      </c>
    </row>
    <row r="27" spans="1:14" s="1361" customFormat="1" x14ac:dyDescent="0.2">
      <c r="A27" s="1383">
        <v>21</v>
      </c>
      <c r="B27" s="1235"/>
      <c r="C27" s="164"/>
      <c r="D27" s="2335" t="s">
        <v>178</v>
      </c>
      <c r="E27" s="2336"/>
      <c r="F27" s="2337"/>
      <c r="G27" s="1425"/>
      <c r="H27" s="1429">
        <f t="shared" ref="H27:N28" si="6">H28</f>
        <v>0</v>
      </c>
      <c r="I27" s="1365">
        <f t="shared" si="6"/>
        <v>0</v>
      </c>
      <c r="J27" s="1365">
        <f t="shared" si="6"/>
        <v>0</v>
      </c>
      <c r="K27" s="1365">
        <f t="shared" si="6"/>
        <v>0</v>
      </c>
      <c r="L27" s="1365">
        <f t="shared" si="6"/>
        <v>0</v>
      </c>
      <c r="M27" s="1365">
        <f t="shared" si="6"/>
        <v>0</v>
      </c>
      <c r="N27" s="1430">
        <f t="shared" si="6"/>
        <v>0</v>
      </c>
    </row>
    <row r="28" spans="1:14" s="1361" customFormat="1" x14ac:dyDescent="0.2">
      <c r="A28" s="1383">
        <v>22</v>
      </c>
      <c r="B28" s="1235"/>
      <c r="C28" s="294" t="s">
        <v>255</v>
      </c>
      <c r="D28" s="779" t="s">
        <v>256</v>
      </c>
      <c r="E28" s="780"/>
      <c r="F28" s="1409"/>
      <c r="G28" s="1391"/>
      <c r="H28" s="1431">
        <f t="shared" si="6"/>
        <v>0</v>
      </c>
      <c r="I28" s="1367">
        <f t="shared" si="6"/>
        <v>0</v>
      </c>
      <c r="J28" s="1367">
        <f t="shared" si="6"/>
        <v>0</v>
      </c>
      <c r="K28" s="1367">
        <f t="shared" si="6"/>
        <v>0</v>
      </c>
      <c r="L28" s="1367">
        <f t="shared" si="6"/>
        <v>0</v>
      </c>
      <c r="M28" s="1367">
        <f t="shared" si="6"/>
        <v>0</v>
      </c>
      <c r="N28" s="1432">
        <f t="shared" si="6"/>
        <v>0</v>
      </c>
    </row>
    <row r="29" spans="1:14" s="1361" customFormat="1" x14ac:dyDescent="0.2">
      <c r="A29" s="1383">
        <v>23</v>
      </c>
      <c r="B29" s="1235"/>
      <c r="C29" s="164"/>
      <c r="D29" s="715" t="s">
        <v>361</v>
      </c>
      <c r="E29" s="2338" t="s">
        <v>914</v>
      </c>
      <c r="F29" s="2339"/>
      <c r="G29" s="1391"/>
      <c r="H29" s="714">
        <f>výdavky!D706</f>
        <v>0</v>
      </c>
      <c r="I29" s="1366">
        <f>výdavky!E706</f>
        <v>0</v>
      </c>
      <c r="J29" s="1366">
        <f>výdavky!F706</f>
        <v>0</v>
      </c>
      <c r="K29" s="1366">
        <f>výdavky!G706</f>
        <v>0</v>
      </c>
      <c r="L29" s="1366"/>
      <c r="M29" s="1366"/>
      <c r="N29" s="1433"/>
    </row>
    <row r="30" spans="1:14" x14ac:dyDescent="0.2">
      <c r="A30" s="1383">
        <v>24</v>
      </c>
      <c r="B30" s="1411">
        <v>2</v>
      </c>
      <c r="C30" s="2334" t="s">
        <v>267</v>
      </c>
      <c r="D30" s="2334"/>
      <c r="E30" s="2334"/>
      <c r="F30" s="1412"/>
      <c r="G30" s="1392"/>
      <c r="H30" s="882">
        <f>H31</f>
        <v>0</v>
      </c>
      <c r="I30" s="879">
        <f>SUM(I31)</f>
        <v>0</v>
      </c>
      <c r="J30" s="298">
        <f>J31</f>
        <v>0</v>
      </c>
      <c r="K30" s="298">
        <f>SUM(K31)</f>
        <v>0</v>
      </c>
      <c r="L30" s="299">
        <f>SUM(L31)</f>
        <v>0</v>
      </c>
      <c r="M30" s="420">
        <f>SUM(M31)</f>
        <v>0</v>
      </c>
      <c r="N30" s="577">
        <f>SUM(N31)</f>
        <v>0</v>
      </c>
    </row>
    <row r="31" spans="1:14" x14ac:dyDescent="0.2">
      <c r="A31" s="1383">
        <v>25</v>
      </c>
      <c r="B31" s="1413"/>
      <c r="C31" s="300"/>
      <c r="D31" s="598" t="s">
        <v>178</v>
      </c>
      <c r="E31" s="660"/>
      <c r="F31" s="1414"/>
      <c r="G31" s="658" t="e">
        <f>'Program 3'!#REF!</f>
        <v>#REF!</v>
      </c>
      <c r="H31" s="614">
        <f>H32</f>
        <v>0</v>
      </c>
      <c r="I31" s="610">
        <f t="shared" ref="I31:N31" si="7">I32</f>
        <v>0</v>
      </c>
      <c r="J31" s="609">
        <f>J32</f>
        <v>0</v>
      </c>
      <c r="K31" s="609">
        <f t="shared" si="7"/>
        <v>0</v>
      </c>
      <c r="L31" s="609">
        <f t="shared" si="7"/>
        <v>0</v>
      </c>
      <c r="M31" s="618">
        <f t="shared" si="7"/>
        <v>0</v>
      </c>
      <c r="N31" s="614">
        <f t="shared" si="7"/>
        <v>0</v>
      </c>
    </row>
    <row r="32" spans="1:14" x14ac:dyDescent="0.2">
      <c r="A32" s="1383">
        <f>A31+1</f>
        <v>26</v>
      </c>
      <c r="B32" s="1235"/>
      <c r="C32" s="294" t="s">
        <v>255</v>
      </c>
      <c r="D32" s="191" t="s">
        <v>256</v>
      </c>
      <c r="E32" s="159"/>
      <c r="F32" s="1405"/>
      <c r="G32" s="633">
        <f>SUM(G33:G33)</f>
        <v>0</v>
      </c>
      <c r="H32" s="578">
        <f>H33</f>
        <v>0</v>
      </c>
      <c r="I32" s="730">
        <f>I33</f>
        <v>0</v>
      </c>
      <c r="J32" s="207">
        <f>J33</f>
        <v>0</v>
      </c>
      <c r="K32" s="207">
        <f>K33</f>
        <v>0</v>
      </c>
      <c r="L32" s="207">
        <f>L33</f>
        <v>0</v>
      </c>
      <c r="M32" s="568">
        <f>M33</f>
        <v>0</v>
      </c>
      <c r="N32" s="578">
        <f>N33</f>
        <v>0</v>
      </c>
    </row>
    <row r="33" spans="1:14" x14ac:dyDescent="0.2">
      <c r="A33" s="1383">
        <f>A32+1</f>
        <v>27</v>
      </c>
      <c r="B33" s="1235"/>
      <c r="C33" s="214" t="s">
        <v>268</v>
      </c>
      <c r="D33" s="213" t="s">
        <v>210</v>
      </c>
      <c r="E33" s="297" t="s">
        <v>916</v>
      </c>
      <c r="F33" s="1407"/>
      <c r="G33" s="173">
        <f>ROUND(M33/30.126,1)</f>
        <v>0</v>
      </c>
      <c r="H33" s="576">
        <f>výdavky!D704</f>
        <v>0</v>
      </c>
      <c r="I33" s="307">
        <f>výdavky!E704</f>
        <v>0</v>
      </c>
      <c r="J33" s="174">
        <f>výdavky!F703</f>
        <v>0</v>
      </c>
      <c r="K33" s="174">
        <f>výdavky!G703+výdavky!G704</f>
        <v>0</v>
      </c>
      <c r="L33" s="277">
        <f>výdavky!H702</f>
        <v>0</v>
      </c>
      <c r="M33" s="417">
        <f>výdavky!I702</f>
        <v>0</v>
      </c>
      <c r="N33" s="576">
        <f>výdavky!I702</f>
        <v>0</v>
      </c>
    </row>
    <row r="34" spans="1:14" x14ac:dyDescent="0.2">
      <c r="A34" s="1383">
        <v>28</v>
      </c>
      <c r="B34" s="1401">
        <v>3</v>
      </c>
      <c r="C34" s="231" t="s">
        <v>269</v>
      </c>
      <c r="D34" s="137"/>
      <c r="E34" s="137"/>
      <c r="F34" s="1402"/>
      <c r="G34" s="634">
        <f>SUM(G36)</f>
        <v>566</v>
      </c>
      <c r="H34" s="572">
        <f>H35+H43</f>
        <v>14522</v>
      </c>
      <c r="I34" s="308">
        <f>I35+I43</f>
        <v>15835.47</v>
      </c>
      <c r="J34" s="141">
        <f>J35</f>
        <v>14350</v>
      </c>
      <c r="K34" s="141">
        <f>K35+K43</f>
        <v>26148</v>
      </c>
      <c r="L34" s="141">
        <f t="shared" ref="I34:N35" si="8">L35</f>
        <v>17850</v>
      </c>
      <c r="M34" s="410">
        <f t="shared" si="8"/>
        <v>17850</v>
      </c>
      <c r="N34" s="572">
        <f t="shared" si="8"/>
        <v>17850</v>
      </c>
    </row>
    <row r="35" spans="1:14" s="189" customFormat="1" x14ac:dyDescent="0.2">
      <c r="A35" s="1383">
        <f t="shared" ref="A35:A40" si="9">A34+1</f>
        <v>29</v>
      </c>
      <c r="B35" s="1403"/>
      <c r="C35" s="222"/>
      <c r="D35" s="132" t="s">
        <v>176</v>
      </c>
      <c r="E35" s="152"/>
      <c r="F35" s="1404"/>
      <c r="G35" s="657">
        <f>G36</f>
        <v>566</v>
      </c>
      <c r="H35" s="573">
        <f>H36</f>
        <v>14522</v>
      </c>
      <c r="I35" s="305">
        <f t="shared" si="8"/>
        <v>15835.47</v>
      </c>
      <c r="J35" s="155">
        <f>J36</f>
        <v>14350</v>
      </c>
      <c r="K35" s="155">
        <f t="shared" si="8"/>
        <v>21350</v>
      </c>
      <c r="L35" s="155">
        <f t="shared" si="8"/>
        <v>17850</v>
      </c>
      <c r="M35" s="412">
        <f t="shared" si="8"/>
        <v>17850</v>
      </c>
      <c r="N35" s="573">
        <f t="shared" si="8"/>
        <v>17850</v>
      </c>
    </row>
    <row r="36" spans="1:14" x14ac:dyDescent="0.2">
      <c r="A36" s="1383">
        <f t="shared" si="9"/>
        <v>30</v>
      </c>
      <c r="B36" s="1235"/>
      <c r="C36" s="294" t="s">
        <v>270</v>
      </c>
      <c r="D36" s="191" t="s">
        <v>271</v>
      </c>
      <c r="E36" s="274"/>
      <c r="F36" s="1415"/>
      <c r="G36" s="1390">
        <f t="shared" ref="G36:N36" si="10">SUM(G37:G42)</f>
        <v>566</v>
      </c>
      <c r="H36" s="574">
        <f>SUM(H37:H42)</f>
        <v>14522</v>
      </c>
      <c r="I36" s="338">
        <f t="shared" si="10"/>
        <v>15835.47</v>
      </c>
      <c r="J36" s="162">
        <f>SUM(J37:J42)</f>
        <v>14350</v>
      </c>
      <c r="K36" s="162">
        <f t="shared" si="10"/>
        <v>21350</v>
      </c>
      <c r="L36" s="162">
        <f t="shared" si="10"/>
        <v>17850</v>
      </c>
      <c r="M36" s="276">
        <f t="shared" si="10"/>
        <v>17850</v>
      </c>
      <c r="N36" s="574">
        <f t="shared" si="10"/>
        <v>17850</v>
      </c>
    </row>
    <row r="37" spans="1:14" x14ac:dyDescent="0.2">
      <c r="A37" s="1383">
        <f t="shared" si="9"/>
        <v>31</v>
      </c>
      <c r="B37" s="1209"/>
      <c r="C37" s="214" t="s">
        <v>191</v>
      </c>
      <c r="D37" s="301">
        <v>1</v>
      </c>
      <c r="E37" s="175" t="s">
        <v>272</v>
      </c>
      <c r="F37" s="1407"/>
      <c r="G37" s="173">
        <f>ROUND(M37/30.126,1)</f>
        <v>265.60000000000002</v>
      </c>
      <c r="H37" s="576">
        <f>výdavky!D154</f>
        <v>5156</v>
      </c>
      <c r="I37" s="307">
        <f>výdavky!E154</f>
        <v>5576.61</v>
      </c>
      <c r="J37" s="174">
        <f>výdavky!F154</f>
        <v>5500</v>
      </c>
      <c r="K37" s="174">
        <f>výdavky!G154</f>
        <v>9000</v>
      </c>
      <c r="L37" s="277">
        <f>výdavky!H154</f>
        <v>8000</v>
      </c>
      <c r="M37" s="417">
        <f>výdavky!I154</f>
        <v>8000</v>
      </c>
      <c r="N37" s="576">
        <f>výdavky!I154</f>
        <v>8000</v>
      </c>
    </row>
    <row r="38" spans="1:14" x14ac:dyDescent="0.2">
      <c r="A38" s="1383">
        <f t="shared" si="9"/>
        <v>32</v>
      </c>
      <c r="B38" s="1209"/>
      <c r="C38" s="214" t="s">
        <v>193</v>
      </c>
      <c r="D38" s="302">
        <v>2</v>
      </c>
      <c r="E38" s="166" t="s">
        <v>194</v>
      </c>
      <c r="F38" s="1406"/>
      <c r="G38" s="168">
        <f>ROUND(M38/30.126,1)</f>
        <v>212.4</v>
      </c>
      <c r="H38" s="575">
        <f>výdavky!D155</f>
        <v>5000</v>
      </c>
      <c r="I38" s="306">
        <f>výdavky!E155</f>
        <v>4897.08</v>
      </c>
      <c r="J38" s="169">
        <f>výdavky!F155</f>
        <v>5400</v>
      </c>
      <c r="K38" s="169">
        <f>výdavky!G155</f>
        <v>8000</v>
      </c>
      <c r="L38" s="296">
        <f>výdavky!H155</f>
        <v>6400</v>
      </c>
      <c r="M38" s="567">
        <f>výdavky!H155</f>
        <v>6400</v>
      </c>
      <c r="N38" s="575">
        <f>výdavky!I155</f>
        <v>6400</v>
      </c>
    </row>
    <row r="39" spans="1:14" x14ac:dyDescent="0.2">
      <c r="A39" s="1383">
        <f t="shared" si="9"/>
        <v>33</v>
      </c>
      <c r="B39" s="1209"/>
      <c r="C39" s="214" t="s">
        <v>195</v>
      </c>
      <c r="D39" s="301">
        <v>3</v>
      </c>
      <c r="E39" s="175" t="s">
        <v>259</v>
      </c>
      <c r="F39" s="1407"/>
      <c r="G39" s="173">
        <f>ROUND(M39/30.126,1)</f>
        <v>71.400000000000006</v>
      </c>
      <c r="H39" s="576">
        <f>výdavky!D162</f>
        <v>2560</v>
      </c>
      <c r="I39" s="307">
        <f>výdavky!E162</f>
        <v>2748.1800000000003</v>
      </c>
      <c r="J39" s="174">
        <f>výdavky!F162</f>
        <v>2150</v>
      </c>
      <c r="K39" s="174">
        <f>výdavky!G162</f>
        <v>2150</v>
      </c>
      <c r="L39" s="277">
        <f>výdavky!H162</f>
        <v>2150</v>
      </c>
      <c r="M39" s="417">
        <f>výdavky!H162</f>
        <v>2150</v>
      </c>
      <c r="N39" s="576">
        <f>výdavky!I162</f>
        <v>2150</v>
      </c>
    </row>
    <row r="40" spans="1:14" x14ac:dyDescent="0.2">
      <c r="A40" s="1383">
        <f t="shared" si="9"/>
        <v>34</v>
      </c>
      <c r="B40" s="1209"/>
      <c r="C40" s="214" t="s">
        <v>197</v>
      </c>
      <c r="D40" s="559">
        <v>4</v>
      </c>
      <c r="E40" s="560" t="s">
        <v>273</v>
      </c>
      <c r="F40" s="1416"/>
      <c r="G40" s="179">
        <f>ROUND(M40/30.126,1)</f>
        <v>16.600000000000001</v>
      </c>
      <c r="H40" s="579">
        <f>výdavky!D167</f>
        <v>500</v>
      </c>
      <c r="I40" s="348">
        <f>výdavky!E167</f>
        <v>0</v>
      </c>
      <c r="J40" s="180">
        <f>výdavky!F167</f>
        <v>500</v>
      </c>
      <c r="K40" s="180">
        <f>výdavky!G167</f>
        <v>500</v>
      </c>
      <c r="L40" s="562">
        <f>výdavky!H167</f>
        <v>500</v>
      </c>
      <c r="M40" s="569">
        <f>výdavky!H167</f>
        <v>500</v>
      </c>
      <c r="N40" s="579">
        <f>výdavky!I167</f>
        <v>500</v>
      </c>
    </row>
    <row r="41" spans="1:14" x14ac:dyDescent="0.2">
      <c r="A41" s="1383">
        <v>35</v>
      </c>
      <c r="B41" s="1209"/>
      <c r="C41" s="164" t="s">
        <v>201</v>
      </c>
      <c r="D41" s="563">
        <v>5</v>
      </c>
      <c r="E41" s="564" t="s">
        <v>274</v>
      </c>
      <c r="F41" s="1417"/>
      <c r="G41" s="1391"/>
      <c r="H41" s="580">
        <f>výdavky!D169</f>
        <v>600</v>
      </c>
      <c r="I41" s="878">
        <f>SUM(výdavky!E169)</f>
        <v>2098.6</v>
      </c>
      <c r="J41" s="565">
        <f>výdavky!F169</f>
        <v>800</v>
      </c>
      <c r="K41" s="565">
        <f>SUM(výdavky!G169)</f>
        <v>1700</v>
      </c>
      <c r="L41" s="566">
        <f>výdavky!H169</f>
        <v>800</v>
      </c>
      <c r="M41" s="570">
        <f>výdavky!H169</f>
        <v>800</v>
      </c>
      <c r="N41" s="580">
        <f>výdavky!I169</f>
        <v>800</v>
      </c>
    </row>
    <row r="42" spans="1:14" x14ac:dyDescent="0.2">
      <c r="A42" s="1384">
        <v>36</v>
      </c>
      <c r="B42" s="1418"/>
      <c r="C42" s="1368" t="s">
        <v>209</v>
      </c>
      <c r="D42" s="1369">
        <v>6</v>
      </c>
      <c r="E42" s="1370" t="s">
        <v>616</v>
      </c>
      <c r="F42" s="1419"/>
      <c r="G42" s="1393">
        <f>ROUND(M42/30.126,1)</f>
        <v>0</v>
      </c>
      <c r="H42" s="1371">
        <f>výdavky!D170</f>
        <v>706</v>
      </c>
      <c r="I42" s="1372">
        <f>výdavky!E170</f>
        <v>515</v>
      </c>
      <c r="J42" s="1373">
        <f>výdavky!F170</f>
        <v>0</v>
      </c>
      <c r="K42" s="1373">
        <f>výdavky!G170</f>
        <v>0</v>
      </c>
      <c r="L42" s="1374">
        <f>výdavky!H170</f>
        <v>0</v>
      </c>
      <c r="M42" s="1375">
        <f>výdavky!H170</f>
        <v>0</v>
      </c>
      <c r="N42" s="1371">
        <f>výdavky!I170</f>
        <v>0</v>
      </c>
    </row>
    <row r="43" spans="1:14" x14ac:dyDescent="0.2">
      <c r="A43" s="1383"/>
      <c r="B43" s="1252"/>
      <c r="C43" s="1380"/>
      <c r="D43" s="598" t="s">
        <v>178</v>
      </c>
      <c r="E43" s="660"/>
      <c r="F43" s="1414"/>
      <c r="H43" s="1707">
        <f t="shared" ref="H43:N44" si="11">H44</f>
        <v>0</v>
      </c>
      <c r="I43" s="1438">
        <f t="shared" si="11"/>
        <v>0</v>
      </c>
      <c r="J43" s="1438">
        <f t="shared" si="11"/>
        <v>0</v>
      </c>
      <c r="K43" s="1438">
        <f t="shared" si="11"/>
        <v>4798</v>
      </c>
      <c r="L43" s="1435">
        <f t="shared" si="11"/>
        <v>0</v>
      </c>
      <c r="M43" s="1435">
        <f t="shared" si="11"/>
        <v>0</v>
      </c>
      <c r="N43" s="1436">
        <f t="shared" si="11"/>
        <v>0</v>
      </c>
    </row>
    <row r="44" spans="1:14" x14ac:dyDescent="0.2">
      <c r="A44" s="1383"/>
      <c r="B44" s="1252"/>
      <c r="C44" s="1381" t="s">
        <v>270</v>
      </c>
      <c r="D44" s="1377" t="s">
        <v>271</v>
      </c>
      <c r="E44" s="1378"/>
      <c r="F44" s="1420"/>
      <c r="G44" s="1362"/>
      <c r="H44" s="1708">
        <f t="shared" si="11"/>
        <v>0</v>
      </c>
      <c r="I44" s="1439">
        <f t="shared" si="11"/>
        <v>0</v>
      </c>
      <c r="J44" s="1439">
        <f t="shared" si="11"/>
        <v>0</v>
      </c>
      <c r="K44" s="1439">
        <f t="shared" si="11"/>
        <v>4798</v>
      </c>
      <c r="L44" s="1376">
        <f t="shared" si="11"/>
        <v>0</v>
      </c>
      <c r="M44" s="1376">
        <f t="shared" si="11"/>
        <v>0</v>
      </c>
      <c r="N44" s="1434">
        <f t="shared" si="11"/>
        <v>0</v>
      </c>
    </row>
    <row r="45" spans="1:14" ht="13.5" thickBot="1" x14ac:dyDescent="0.25">
      <c r="A45" s="1385"/>
      <c r="B45" s="1253"/>
      <c r="C45" s="1421">
        <v>713</v>
      </c>
      <c r="D45" s="1422">
        <v>7</v>
      </c>
      <c r="E45" s="1423" t="s">
        <v>915</v>
      </c>
      <c r="F45" s="1424"/>
      <c r="G45" s="1362"/>
      <c r="H45" s="1437">
        <f>výdavky!D709</f>
        <v>0</v>
      </c>
      <c r="I45" s="1261">
        <f>výdavky!E709</f>
        <v>0</v>
      </c>
      <c r="J45" s="1261">
        <f>výdavky!F709</f>
        <v>0</v>
      </c>
      <c r="K45" s="1261">
        <f>výdavky!G709</f>
        <v>4798</v>
      </c>
      <c r="L45" s="1261">
        <f>výdavky!H709</f>
        <v>0</v>
      </c>
      <c r="M45" s="1261">
        <f>výdavky!H709</f>
        <v>0</v>
      </c>
      <c r="N45" s="1262">
        <f>výdavky!I709</f>
        <v>0</v>
      </c>
    </row>
  </sheetData>
  <mergeCells count="5">
    <mergeCell ref="G3:N3"/>
    <mergeCell ref="D4:F6"/>
    <mergeCell ref="C30:E30"/>
    <mergeCell ref="D27:F27"/>
    <mergeCell ref="E29:F29"/>
  </mergeCells>
  <phoneticPr fontId="43" type="noConversion"/>
  <pageMargins left="0.25" right="0.25" top="0.75" bottom="0.75" header="0.3" footer="0.3"/>
  <pageSetup scale="86" firstPageNumber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7"/>
  <sheetViews>
    <sheetView workbookViewId="0">
      <selection activeCell="A3" sqref="A3:I3"/>
    </sheetView>
  </sheetViews>
  <sheetFormatPr defaultRowHeight="12.75" x14ac:dyDescent="0.2"/>
  <sheetData>
    <row r="1" spans="1:9" ht="23.25" x14ac:dyDescent="0.2">
      <c r="A1" s="2332" t="s">
        <v>1122</v>
      </c>
      <c r="B1" s="2332"/>
      <c r="C1" s="2332"/>
      <c r="D1" s="2332" t="s">
        <v>1123</v>
      </c>
      <c r="E1" s="2332"/>
      <c r="F1" s="2332"/>
      <c r="G1" s="2332"/>
      <c r="H1" s="2332"/>
      <c r="I1" s="2332"/>
    </row>
    <row r="2" spans="1:9" x14ac:dyDescent="0.2">
      <c r="A2" s="2057"/>
      <c r="B2" s="2057"/>
      <c r="C2" s="2057"/>
      <c r="D2" s="2057"/>
      <c r="E2" s="2057"/>
      <c r="F2" s="2057"/>
      <c r="G2" s="2057"/>
      <c r="H2" s="2057"/>
      <c r="I2" s="2057"/>
    </row>
    <row r="3" spans="1:9" ht="31.5" customHeight="1" x14ac:dyDescent="0.2">
      <c r="A3" s="2330" t="s">
        <v>1472</v>
      </c>
      <c r="B3" s="2331"/>
      <c r="C3" s="2331"/>
      <c r="D3" s="2331"/>
      <c r="E3" s="2331"/>
      <c r="F3" s="2331"/>
      <c r="G3" s="2331"/>
      <c r="H3" s="2331"/>
      <c r="I3" s="2331"/>
    </row>
    <row r="4" spans="1:9" x14ac:dyDescent="0.2">
      <c r="A4" s="2057"/>
      <c r="B4" s="2057"/>
      <c r="C4" s="2057"/>
      <c r="D4" s="2057"/>
      <c r="E4" s="2057"/>
      <c r="F4" s="2057"/>
      <c r="G4" s="2057"/>
      <c r="H4" s="2057"/>
      <c r="I4" s="2057"/>
    </row>
    <row r="5" spans="1:9" ht="18.75" x14ac:dyDescent="0.3">
      <c r="A5" s="2069" t="s">
        <v>1039</v>
      </c>
      <c r="B5" s="2057"/>
      <c r="C5" s="2057"/>
      <c r="D5" s="2057"/>
      <c r="E5" s="2057"/>
      <c r="F5" s="2057"/>
      <c r="G5" s="2057"/>
      <c r="H5" s="2057"/>
      <c r="I5" s="2057"/>
    </row>
    <row r="6" spans="1:9" ht="15.75" x14ac:dyDescent="0.25">
      <c r="A6" s="2071" t="s">
        <v>1040</v>
      </c>
      <c r="B6" s="2071">
        <v>2022</v>
      </c>
      <c r="C6" s="2071">
        <v>2023</v>
      </c>
      <c r="D6" s="2071">
        <v>2024</v>
      </c>
      <c r="E6" s="2071" t="s">
        <v>984</v>
      </c>
      <c r="F6" s="2071">
        <v>2025</v>
      </c>
      <c r="G6" s="2071">
        <v>2026</v>
      </c>
      <c r="H6" s="2071">
        <v>2027</v>
      </c>
      <c r="I6" s="2057"/>
    </row>
    <row r="7" spans="1:9" ht="15.75" x14ac:dyDescent="0.25">
      <c r="A7" s="2070" t="s">
        <v>170</v>
      </c>
      <c r="B7" s="1579">
        <f>'Program 3'!H7</f>
        <v>126696</v>
      </c>
      <c r="C7" s="1579">
        <f>'Program 3'!I7</f>
        <v>137078.21</v>
      </c>
      <c r="D7" s="1579">
        <f>'Program 3'!J7</f>
        <v>123930</v>
      </c>
      <c r="E7" s="1579">
        <f>'Program 3'!K7</f>
        <v>143918</v>
      </c>
      <c r="F7" s="2072">
        <f>'Program 3'!L7</f>
        <v>125030</v>
      </c>
      <c r="G7" s="1579">
        <f>'Program 3'!M7</f>
        <v>131730</v>
      </c>
      <c r="H7" s="1579">
        <f>'Program 3'!N7</f>
        <v>131730</v>
      </c>
      <c r="I7" s="2057"/>
    </row>
    <row r="8" spans="1:9" x14ac:dyDescent="0.2">
      <c r="A8" s="2057"/>
      <c r="B8" s="2057"/>
      <c r="C8" s="2057"/>
      <c r="D8" s="2057"/>
      <c r="E8" s="2057"/>
      <c r="F8" s="2057"/>
      <c r="G8" s="2057"/>
      <c r="H8" s="2057"/>
      <c r="I8" s="2057"/>
    </row>
    <row r="9" spans="1:9" ht="44.25" customHeight="1" x14ac:dyDescent="0.25">
      <c r="A9" s="2309" t="s">
        <v>1124</v>
      </c>
      <c r="B9" s="2309"/>
      <c r="C9" s="2309"/>
      <c r="D9" s="2309"/>
      <c r="E9" s="2309"/>
      <c r="F9" s="2309"/>
      <c r="G9" s="2309"/>
      <c r="H9" s="2309"/>
      <c r="I9" s="2309"/>
    </row>
    <row r="10" spans="1:9" x14ac:dyDescent="0.2">
      <c r="A10" s="2057"/>
      <c r="B10" s="2057"/>
      <c r="C10" s="2057"/>
      <c r="D10" s="2057"/>
      <c r="E10" s="2057"/>
      <c r="F10" s="2057"/>
      <c r="G10" s="2057"/>
      <c r="H10" s="2057"/>
      <c r="I10" s="2057"/>
    </row>
    <row r="11" spans="1:9" ht="15" x14ac:dyDescent="0.25">
      <c r="A11" s="2306" t="s">
        <v>1125</v>
      </c>
      <c r="B11" s="2306"/>
      <c r="C11" s="2306"/>
      <c r="D11" s="2306" t="s">
        <v>254</v>
      </c>
      <c r="E11" s="2306"/>
      <c r="F11" s="2306"/>
      <c r="G11" s="2306"/>
      <c r="H11" s="2306"/>
      <c r="I11" s="2306"/>
    </row>
    <row r="12" spans="1:9" x14ac:dyDescent="0.2">
      <c r="A12" s="2057"/>
      <c r="B12" s="2057"/>
      <c r="C12" s="2057"/>
      <c r="D12" s="2057"/>
      <c r="E12" s="2057"/>
      <c r="F12" s="2057"/>
      <c r="G12" s="2057"/>
      <c r="H12" s="2057"/>
      <c r="I12" s="2057"/>
    </row>
    <row r="13" spans="1:9" ht="27.75" customHeight="1" x14ac:dyDescent="0.25">
      <c r="A13" s="2307" t="s">
        <v>1126</v>
      </c>
      <c r="B13" s="2307"/>
      <c r="C13" s="2307"/>
      <c r="D13" s="2307"/>
      <c r="E13" s="2307"/>
      <c r="F13" s="2307"/>
      <c r="G13" s="2307"/>
      <c r="H13" s="2307"/>
      <c r="I13" s="2307"/>
    </row>
    <row r="14" spans="1:9" x14ac:dyDescent="0.2">
      <c r="A14" s="2057"/>
      <c r="B14" s="2057"/>
      <c r="C14" s="2057"/>
      <c r="D14" s="2057"/>
      <c r="E14" s="2057"/>
      <c r="F14" s="2057"/>
      <c r="G14" s="2057"/>
      <c r="H14" s="2057"/>
      <c r="I14" s="2057"/>
    </row>
    <row r="15" spans="1:9" ht="15" x14ac:dyDescent="0.25">
      <c r="A15" s="2076" t="s">
        <v>1039</v>
      </c>
      <c r="B15" s="2057"/>
      <c r="C15" s="2057"/>
      <c r="D15" s="2057"/>
      <c r="E15" s="2057"/>
      <c r="F15" s="2057"/>
      <c r="G15" s="2057"/>
      <c r="H15" s="2057"/>
      <c r="I15" s="2057"/>
    </row>
    <row r="16" spans="1:9" ht="15" x14ac:dyDescent="0.25">
      <c r="A16" s="2074" t="s">
        <v>1040</v>
      </c>
      <c r="B16" s="2074">
        <v>2022</v>
      </c>
      <c r="C16" s="2074">
        <v>2023</v>
      </c>
      <c r="D16" s="2074">
        <v>2024</v>
      </c>
      <c r="E16" s="2074" t="s">
        <v>984</v>
      </c>
      <c r="F16" s="2074">
        <v>2025</v>
      </c>
      <c r="G16" s="2074">
        <v>2026</v>
      </c>
      <c r="H16" s="2074">
        <v>2027</v>
      </c>
      <c r="I16" s="2057"/>
    </row>
    <row r="17" spans="1:9" ht="15" x14ac:dyDescent="0.25">
      <c r="A17" s="2075" t="s">
        <v>170</v>
      </c>
      <c r="B17" s="2077">
        <f>'Program 3'!H11</f>
        <v>112174</v>
      </c>
      <c r="C17" s="2077">
        <f>'Program 3'!I11</f>
        <v>117856.56999999999</v>
      </c>
      <c r="D17" s="2077">
        <f>'Program 3'!J11</f>
        <v>109580</v>
      </c>
      <c r="E17" s="2077">
        <f>'Program 3'!K11</f>
        <v>117770</v>
      </c>
      <c r="F17" s="2078">
        <f>'Program 3'!L11</f>
        <v>106880</v>
      </c>
      <c r="G17" s="2077">
        <f>'Program 3'!M11</f>
        <v>113880</v>
      </c>
      <c r="H17" s="2077">
        <f>'Program 3'!N11</f>
        <v>113880</v>
      </c>
      <c r="I17" s="2057"/>
    </row>
    <row r="18" spans="1:9" x14ac:dyDescent="0.2">
      <c r="A18" s="2057"/>
      <c r="B18" s="2057"/>
      <c r="C18" s="2057"/>
      <c r="D18" s="2057"/>
      <c r="E18" s="2057"/>
      <c r="F18" s="2057"/>
      <c r="G18" s="2057"/>
      <c r="H18" s="2057"/>
      <c r="I18" s="2057"/>
    </row>
    <row r="19" spans="1:9" x14ac:dyDescent="0.2">
      <c r="A19" s="2316" t="s">
        <v>1044</v>
      </c>
      <c r="B19" s="2316"/>
      <c r="C19" s="2316"/>
      <c r="D19" s="2316"/>
      <c r="E19" s="2316"/>
      <c r="F19" s="2316"/>
      <c r="G19" s="2316"/>
      <c r="H19" s="2316"/>
      <c r="I19" s="2316"/>
    </row>
    <row r="20" spans="1:9" ht="40.5" customHeight="1" x14ac:dyDescent="0.2">
      <c r="A20" s="2308" t="s">
        <v>1127</v>
      </c>
      <c r="B20" s="2308"/>
      <c r="C20" s="2308"/>
      <c r="D20" s="2308"/>
      <c r="E20" s="2308"/>
      <c r="F20" s="2308"/>
      <c r="G20" s="2308"/>
      <c r="H20" s="2308"/>
      <c r="I20" s="2308"/>
    </row>
    <row r="22" spans="1:9" ht="15" x14ac:dyDescent="0.25">
      <c r="A22" s="2076" t="s">
        <v>1051</v>
      </c>
      <c r="B22" s="2057"/>
      <c r="C22" s="2057"/>
      <c r="D22" s="2057"/>
      <c r="E22" s="2057"/>
      <c r="F22" s="2057"/>
      <c r="G22" s="2057"/>
      <c r="H22" s="2080"/>
      <c r="I22" s="2080"/>
    </row>
    <row r="23" spans="1:9" ht="38.25" x14ac:dyDescent="0.2">
      <c r="A23" s="2310" t="s">
        <v>1052</v>
      </c>
      <c r="B23" s="2310"/>
      <c r="C23" s="2310"/>
      <c r="D23" s="2310" t="s">
        <v>1056</v>
      </c>
      <c r="E23" s="2310"/>
      <c r="F23" s="2310"/>
      <c r="G23" s="2087" t="s">
        <v>1054</v>
      </c>
      <c r="H23" s="2087" t="s">
        <v>1055</v>
      </c>
      <c r="I23" s="2087" t="s">
        <v>1053</v>
      </c>
    </row>
    <row r="24" spans="1:9" ht="25.5" customHeight="1" x14ac:dyDescent="0.2">
      <c r="A24" s="2305" t="s">
        <v>1130</v>
      </c>
      <c r="B24" s="2305"/>
      <c r="C24" s="2305"/>
      <c r="D24" s="2305" t="s">
        <v>1128</v>
      </c>
      <c r="E24" s="2305"/>
      <c r="F24" s="2305"/>
      <c r="G24" s="2083">
        <v>7000</v>
      </c>
      <c r="H24" s="2083">
        <v>7000</v>
      </c>
      <c r="I24" s="2083">
        <v>7000</v>
      </c>
    </row>
    <row r="25" spans="1:9" x14ac:dyDescent="0.2">
      <c r="A25" s="2305"/>
      <c r="B25" s="2305"/>
      <c r="C25" s="2305"/>
      <c r="D25" s="2343" t="s">
        <v>1129</v>
      </c>
      <c r="E25" s="2343"/>
      <c r="F25" s="2343"/>
      <c r="G25" s="2083">
        <v>4</v>
      </c>
      <c r="H25" s="2083">
        <v>4</v>
      </c>
      <c r="I25" s="2083">
        <v>4</v>
      </c>
    </row>
    <row r="26" spans="1:9" ht="42.75" customHeight="1" x14ac:dyDescent="0.2">
      <c r="A26" s="2345" t="s">
        <v>1132</v>
      </c>
      <c r="B26" s="2345"/>
      <c r="C26" s="2345"/>
      <c r="D26" s="2344" t="s">
        <v>1131</v>
      </c>
      <c r="E26" s="2344"/>
      <c r="F26" s="2344"/>
      <c r="G26" s="2093">
        <v>1</v>
      </c>
      <c r="H26" s="2093">
        <v>1</v>
      </c>
      <c r="I26" s="2093">
        <v>1</v>
      </c>
    </row>
    <row r="27" spans="1:9" ht="52.5" customHeight="1" x14ac:dyDescent="0.2">
      <c r="A27" s="2311" t="s">
        <v>1140</v>
      </c>
      <c r="B27" s="2311"/>
      <c r="C27" s="2311"/>
      <c r="D27" s="2311" t="s">
        <v>1133</v>
      </c>
      <c r="E27" s="2311"/>
      <c r="F27" s="2311"/>
      <c r="G27" s="2083" t="s">
        <v>1134</v>
      </c>
      <c r="H27" s="2083" t="s">
        <v>1134</v>
      </c>
      <c r="I27" s="2083" t="s">
        <v>1134</v>
      </c>
    </row>
    <row r="28" spans="1:9" ht="27" customHeight="1" x14ac:dyDescent="0.2">
      <c r="A28" s="2305" t="s">
        <v>1139</v>
      </c>
      <c r="B28" s="2305"/>
      <c r="C28" s="2305"/>
      <c r="D28" s="2311" t="s">
        <v>1135</v>
      </c>
      <c r="E28" s="2311"/>
      <c r="F28" s="2311"/>
      <c r="G28" s="2091" t="s">
        <v>1136</v>
      </c>
      <c r="H28" s="2091" t="s">
        <v>1136</v>
      </c>
      <c r="I28" s="2091" t="s">
        <v>1136</v>
      </c>
    </row>
    <row r="29" spans="1:9" ht="24.75" customHeight="1" x14ac:dyDescent="0.2">
      <c r="A29" s="2305" t="s">
        <v>1138</v>
      </c>
      <c r="B29" s="2305"/>
      <c r="C29" s="2305"/>
      <c r="D29" s="2305" t="s">
        <v>1137</v>
      </c>
      <c r="E29" s="2305"/>
      <c r="F29" s="2305"/>
      <c r="G29" s="2083">
        <v>560</v>
      </c>
      <c r="H29" s="2083">
        <v>560</v>
      </c>
      <c r="I29" s="2083">
        <v>560</v>
      </c>
    </row>
    <row r="30" spans="1:9" x14ac:dyDescent="0.2">
      <c r="A30" s="2068"/>
      <c r="B30" s="2068"/>
      <c r="C30" s="2068"/>
      <c r="D30" s="2068"/>
      <c r="E30" s="2068"/>
      <c r="F30" s="2068"/>
      <c r="G30" s="2068"/>
      <c r="H30" s="2068"/>
      <c r="I30" s="2068"/>
    </row>
    <row r="31" spans="1:9" ht="15" x14ac:dyDescent="0.25">
      <c r="A31" s="2306" t="s">
        <v>1141</v>
      </c>
      <c r="B31" s="2306"/>
      <c r="C31" s="2306"/>
      <c r="D31" s="2306" t="s">
        <v>1142</v>
      </c>
      <c r="E31" s="2306"/>
      <c r="F31" s="2306"/>
      <c r="G31" s="2306"/>
      <c r="H31" s="2306"/>
      <c r="I31" s="2306"/>
    </row>
    <row r="32" spans="1:9" x14ac:dyDescent="0.2">
      <c r="A32" s="2057"/>
      <c r="B32" s="2057"/>
      <c r="C32" s="2057"/>
      <c r="D32" s="2057"/>
      <c r="E32" s="2057"/>
      <c r="F32" s="2057"/>
      <c r="G32" s="2057"/>
      <c r="H32" s="2057"/>
      <c r="I32" s="2057"/>
    </row>
    <row r="33" spans="1:9" ht="28.5" customHeight="1" x14ac:dyDescent="0.25">
      <c r="A33" s="2307" t="s">
        <v>1143</v>
      </c>
      <c r="B33" s="2307"/>
      <c r="C33" s="2307"/>
      <c r="D33" s="2307"/>
      <c r="E33" s="2307"/>
      <c r="F33" s="2307"/>
      <c r="G33" s="2307"/>
      <c r="H33" s="2307"/>
      <c r="I33" s="2307"/>
    </row>
    <row r="34" spans="1:9" x14ac:dyDescent="0.2">
      <c r="A34" s="2057"/>
      <c r="B34" s="2057"/>
      <c r="C34" s="2057"/>
      <c r="D34" s="2057"/>
      <c r="E34" s="2057"/>
      <c r="F34" s="2057"/>
      <c r="G34" s="2057"/>
      <c r="H34" s="2057"/>
      <c r="I34" s="2057"/>
    </row>
    <row r="35" spans="1:9" s="2057" customFormat="1" x14ac:dyDescent="0.2"/>
    <row r="36" spans="1:9" s="2057" customFormat="1" x14ac:dyDescent="0.2"/>
    <row r="37" spans="1:9" s="2057" customFormat="1" x14ac:dyDescent="0.2"/>
    <row r="38" spans="1:9" ht="15" x14ac:dyDescent="0.25">
      <c r="A38" s="2076" t="s">
        <v>1039</v>
      </c>
      <c r="B38" s="2057"/>
      <c r="C38" s="2057"/>
      <c r="D38" s="2057"/>
      <c r="E38" s="2057"/>
      <c r="F38" s="2057"/>
      <c r="G38" s="2057"/>
      <c r="H38" s="2057"/>
      <c r="I38" s="2057"/>
    </row>
    <row r="39" spans="1:9" ht="15" x14ac:dyDescent="0.25">
      <c r="A39" s="2074" t="s">
        <v>1040</v>
      </c>
      <c r="B39" s="2074">
        <v>2022</v>
      </c>
      <c r="C39" s="2074">
        <v>2023</v>
      </c>
      <c r="D39" s="2074">
        <v>2024</v>
      </c>
      <c r="E39" s="2074" t="s">
        <v>984</v>
      </c>
      <c r="F39" s="2074">
        <v>2025</v>
      </c>
      <c r="G39" s="2074">
        <v>2026</v>
      </c>
      <c r="H39" s="2074">
        <v>2027</v>
      </c>
      <c r="I39" s="2057"/>
    </row>
    <row r="40" spans="1:9" ht="15" x14ac:dyDescent="0.25">
      <c r="A40" s="2075" t="s">
        <v>170</v>
      </c>
      <c r="B40" s="2077">
        <f>'Program 3'!H30</f>
        <v>0</v>
      </c>
      <c r="C40" s="2077">
        <f>'Program 3'!I30</f>
        <v>0</v>
      </c>
      <c r="D40" s="2077">
        <f>'Program 3'!J30</f>
        <v>0</v>
      </c>
      <c r="E40" s="2077">
        <f>'Program 3'!K30</f>
        <v>0</v>
      </c>
      <c r="F40" s="2078">
        <f>'Program 3'!L30</f>
        <v>0</v>
      </c>
      <c r="G40" s="2077">
        <f>'Program 3'!M30</f>
        <v>0</v>
      </c>
      <c r="H40" s="2077">
        <f>'Program 3'!N30</f>
        <v>0</v>
      </c>
      <c r="I40" s="2057"/>
    </row>
    <row r="41" spans="1:9" x14ac:dyDescent="0.2">
      <c r="A41" s="2057"/>
      <c r="B41" s="2057"/>
      <c r="C41" s="2057"/>
      <c r="D41" s="2057"/>
      <c r="E41" s="2057"/>
      <c r="F41" s="2057"/>
      <c r="G41" s="2057"/>
      <c r="H41" s="2057"/>
      <c r="I41" s="2057"/>
    </row>
    <row r="42" spans="1:9" x14ac:dyDescent="0.2">
      <c r="A42" s="2316" t="s">
        <v>1044</v>
      </c>
      <c r="B42" s="2316"/>
      <c r="C42" s="2316"/>
      <c r="D42" s="2316"/>
      <c r="E42" s="2316"/>
      <c r="F42" s="2316"/>
      <c r="G42" s="2316"/>
      <c r="H42" s="2316"/>
      <c r="I42" s="2316"/>
    </row>
    <row r="43" spans="1:9" ht="28.5" customHeight="1" x14ac:dyDescent="0.2">
      <c r="A43" s="2308" t="s">
        <v>1144</v>
      </c>
      <c r="B43" s="2308"/>
      <c r="C43" s="2308"/>
      <c r="D43" s="2308"/>
      <c r="E43" s="2308"/>
      <c r="F43" s="2308"/>
      <c r="G43" s="2308"/>
      <c r="H43" s="2308"/>
      <c r="I43" s="2308"/>
    </row>
    <row r="44" spans="1:9" x14ac:dyDescent="0.2">
      <c r="A44" s="2057"/>
      <c r="B44" s="2057"/>
      <c r="C44" s="2057"/>
      <c r="D44" s="2057"/>
      <c r="E44" s="2057"/>
      <c r="F44" s="2057"/>
      <c r="G44" s="2057"/>
      <c r="H44" s="2057"/>
      <c r="I44" s="2057"/>
    </row>
    <row r="45" spans="1:9" ht="15" x14ac:dyDescent="0.25">
      <c r="A45" s="2076" t="s">
        <v>1051</v>
      </c>
      <c r="B45" s="2057"/>
      <c r="C45" s="2057"/>
      <c r="D45" s="2057"/>
      <c r="E45" s="2057"/>
      <c r="F45" s="2057"/>
      <c r="G45" s="2057"/>
      <c r="H45" s="2080"/>
      <c r="I45" s="2080"/>
    </row>
    <row r="46" spans="1:9" ht="38.25" x14ac:dyDescent="0.2">
      <c r="A46" s="2310" t="s">
        <v>1052</v>
      </c>
      <c r="B46" s="2310"/>
      <c r="C46" s="2310"/>
      <c r="D46" s="2310" t="s">
        <v>1056</v>
      </c>
      <c r="E46" s="2310"/>
      <c r="F46" s="2310"/>
      <c r="G46" s="2087" t="s">
        <v>1054</v>
      </c>
      <c r="H46" s="2087" t="s">
        <v>1055</v>
      </c>
      <c r="I46" s="2087" t="s">
        <v>1053</v>
      </c>
    </row>
    <row r="47" spans="1:9" ht="12.75" customHeight="1" x14ac:dyDescent="0.2">
      <c r="A47" s="2341" t="s">
        <v>1149</v>
      </c>
      <c r="B47" s="2341"/>
      <c r="C47" s="2341"/>
      <c r="D47" s="2342" t="s">
        <v>1145</v>
      </c>
      <c r="E47" s="2342"/>
      <c r="F47" s="2342"/>
      <c r="G47" s="2083">
        <v>7000</v>
      </c>
      <c r="H47" s="2083">
        <v>7000</v>
      </c>
      <c r="I47" s="2083">
        <v>7000</v>
      </c>
    </row>
    <row r="48" spans="1:9" x14ac:dyDescent="0.2">
      <c r="A48" s="2341"/>
      <c r="B48" s="2341"/>
      <c r="C48" s="2341"/>
      <c r="D48" s="2342" t="s">
        <v>1146</v>
      </c>
      <c r="E48" s="2342"/>
      <c r="F48" s="2342"/>
      <c r="G48" s="2083">
        <v>4</v>
      </c>
      <c r="H48" s="2083">
        <v>4</v>
      </c>
      <c r="I48" s="2083">
        <v>4</v>
      </c>
    </row>
    <row r="49" spans="1:9" ht="24.75" customHeight="1" x14ac:dyDescent="0.2">
      <c r="A49" s="2341"/>
      <c r="B49" s="2341"/>
      <c r="C49" s="2341"/>
      <c r="D49" s="2311" t="s">
        <v>1147</v>
      </c>
      <c r="E49" s="2311"/>
      <c r="F49" s="2311"/>
      <c r="G49" s="2093">
        <v>1</v>
      </c>
      <c r="H49" s="2093">
        <v>1</v>
      </c>
      <c r="I49" s="2093">
        <v>1</v>
      </c>
    </row>
    <row r="50" spans="1:9" ht="60.75" customHeight="1" x14ac:dyDescent="0.2">
      <c r="A50" s="2341"/>
      <c r="B50" s="2341"/>
      <c r="C50" s="2341"/>
      <c r="D50" s="2305" t="s">
        <v>1148</v>
      </c>
      <c r="E50" s="2305"/>
      <c r="F50" s="2305"/>
      <c r="G50" s="2083" t="s">
        <v>1134</v>
      </c>
      <c r="H50" s="2083" t="s">
        <v>1134</v>
      </c>
      <c r="I50" s="2083" t="s">
        <v>1134</v>
      </c>
    </row>
    <row r="51" spans="1:9" x14ac:dyDescent="0.2">
      <c r="A51" s="2098"/>
      <c r="B51" s="2098"/>
      <c r="C51" s="2098"/>
      <c r="D51" s="2099"/>
      <c r="E51" s="2099"/>
      <c r="F51" s="2099"/>
      <c r="G51" s="2096"/>
      <c r="H51" s="2096"/>
      <c r="I51" s="2096"/>
    </row>
    <row r="52" spans="1:9" ht="15" x14ac:dyDescent="0.25">
      <c r="A52" s="2306" t="s">
        <v>1150</v>
      </c>
      <c r="B52" s="2306"/>
      <c r="C52" s="2306"/>
      <c r="D52" s="2306" t="s">
        <v>269</v>
      </c>
      <c r="E52" s="2306"/>
      <c r="F52" s="2306"/>
      <c r="G52" s="2306"/>
      <c r="H52" s="2306"/>
      <c r="I52" s="2306"/>
    </row>
    <row r="53" spans="1:9" x14ac:dyDescent="0.2">
      <c r="A53" s="2057"/>
      <c r="B53" s="2057"/>
      <c r="C53" s="2057"/>
      <c r="D53" s="2057"/>
      <c r="E53" s="2057"/>
      <c r="F53" s="2057"/>
      <c r="G53" s="2057"/>
      <c r="H53" s="2057"/>
      <c r="I53" s="2057"/>
    </row>
    <row r="54" spans="1:9" ht="27" customHeight="1" x14ac:dyDescent="0.25">
      <c r="A54" s="2307" t="s">
        <v>1151</v>
      </c>
      <c r="B54" s="2307"/>
      <c r="C54" s="2307"/>
      <c r="D54" s="2307"/>
      <c r="E54" s="2307"/>
      <c r="F54" s="2307"/>
      <c r="G54" s="2307"/>
      <c r="H54" s="2307"/>
      <c r="I54" s="2307"/>
    </row>
    <row r="55" spans="1:9" x14ac:dyDescent="0.2">
      <c r="A55" s="2057"/>
      <c r="B55" s="2057"/>
      <c r="C55" s="2057"/>
      <c r="D55" s="2057"/>
      <c r="E55" s="2057"/>
      <c r="F55" s="2057"/>
      <c r="G55" s="2057"/>
      <c r="H55" s="2057"/>
      <c r="I55" s="2057"/>
    </row>
    <row r="56" spans="1:9" ht="15" x14ac:dyDescent="0.25">
      <c r="A56" s="2076" t="s">
        <v>1039</v>
      </c>
      <c r="B56" s="2057"/>
      <c r="C56" s="2057"/>
      <c r="D56" s="2057"/>
      <c r="E56" s="2057"/>
      <c r="F56" s="2057"/>
      <c r="G56" s="2057"/>
      <c r="H56" s="2057"/>
      <c r="I56" s="2057"/>
    </row>
    <row r="57" spans="1:9" ht="15" x14ac:dyDescent="0.25">
      <c r="A57" s="2074" t="s">
        <v>1040</v>
      </c>
      <c r="B57" s="2074">
        <v>2022</v>
      </c>
      <c r="C57" s="2074">
        <v>2023</v>
      </c>
      <c r="D57" s="2074">
        <v>2024</v>
      </c>
      <c r="E57" s="2074" t="s">
        <v>984</v>
      </c>
      <c r="F57" s="2074">
        <v>2025</v>
      </c>
      <c r="G57" s="2074">
        <v>2026</v>
      </c>
      <c r="H57" s="2074">
        <v>2027</v>
      </c>
      <c r="I57" s="2057"/>
    </row>
    <row r="58" spans="1:9" ht="15" x14ac:dyDescent="0.25">
      <c r="A58" s="2075" t="s">
        <v>170</v>
      </c>
      <c r="B58" s="2077">
        <f>'Program 3'!H34</f>
        <v>14522</v>
      </c>
      <c r="C58" s="2077">
        <f>'Program 3'!I34</f>
        <v>15835.47</v>
      </c>
      <c r="D58" s="2077">
        <f>'Program 3'!J34</f>
        <v>14350</v>
      </c>
      <c r="E58" s="2077">
        <f>'Program 3'!K34</f>
        <v>26148</v>
      </c>
      <c r="F58" s="2078">
        <f>'Program 3'!L34</f>
        <v>17850</v>
      </c>
      <c r="G58" s="2077">
        <f>'Program 3'!M34</f>
        <v>17850</v>
      </c>
      <c r="H58" s="2077">
        <f>'Program 3'!N34</f>
        <v>17850</v>
      </c>
      <c r="I58" s="2057"/>
    </row>
    <row r="59" spans="1:9" x14ac:dyDescent="0.2">
      <c r="A59" s="2057"/>
      <c r="B59" s="2057"/>
      <c r="C59" s="2057"/>
      <c r="D59" s="2057"/>
      <c r="E59" s="2057"/>
      <c r="F59" s="2057"/>
      <c r="G59" s="2057"/>
      <c r="H59" s="2057"/>
      <c r="I59" s="2057"/>
    </row>
    <row r="60" spans="1:9" ht="103.5" customHeight="1" x14ac:dyDescent="0.25">
      <c r="A60" s="2309" t="s">
        <v>1152</v>
      </c>
      <c r="B60" s="2309"/>
      <c r="C60" s="2309"/>
      <c r="D60" s="2309"/>
      <c r="E60" s="2309"/>
      <c r="F60" s="2309"/>
      <c r="G60" s="2309"/>
      <c r="H60" s="2309"/>
      <c r="I60" s="2309"/>
    </row>
    <row r="61" spans="1:9" x14ac:dyDescent="0.2">
      <c r="A61" s="2057"/>
      <c r="B61" s="2057"/>
      <c r="C61" s="2057"/>
      <c r="D61" s="2057"/>
      <c r="E61" s="2057"/>
      <c r="F61" s="2057"/>
      <c r="G61" s="2057"/>
      <c r="H61" s="2057"/>
      <c r="I61" s="2057"/>
    </row>
    <row r="62" spans="1:9" ht="15" x14ac:dyDescent="0.25">
      <c r="A62" s="2076" t="s">
        <v>1051</v>
      </c>
      <c r="B62" s="2057"/>
      <c r="C62" s="2057"/>
      <c r="D62" s="2057"/>
      <c r="E62" s="2057"/>
      <c r="F62" s="2057"/>
      <c r="G62" s="2057"/>
      <c r="H62" s="2080"/>
      <c r="I62" s="2080"/>
    </row>
    <row r="63" spans="1:9" ht="38.25" x14ac:dyDescent="0.2">
      <c r="A63" s="2310" t="s">
        <v>1052</v>
      </c>
      <c r="B63" s="2310"/>
      <c r="C63" s="2310"/>
      <c r="D63" s="2310" t="s">
        <v>1056</v>
      </c>
      <c r="E63" s="2310"/>
      <c r="F63" s="2310"/>
      <c r="G63" s="2087" t="s">
        <v>1054</v>
      </c>
      <c r="H63" s="2087" t="s">
        <v>1055</v>
      </c>
      <c r="I63" s="2087" t="s">
        <v>1053</v>
      </c>
    </row>
    <row r="64" spans="1:9" ht="26.25" customHeight="1" x14ac:dyDescent="0.2">
      <c r="A64" s="2085" t="s">
        <v>1149</v>
      </c>
      <c r="B64" s="2085"/>
      <c r="C64" s="2085"/>
      <c r="D64" s="2313" t="s">
        <v>1153</v>
      </c>
      <c r="E64" s="2314"/>
      <c r="F64" s="2315"/>
      <c r="G64" s="2083">
        <v>1</v>
      </c>
      <c r="H64" s="2083">
        <v>1</v>
      </c>
      <c r="I64" s="2083">
        <v>1</v>
      </c>
    </row>
    <row r="65" spans="1:9" ht="37.5" customHeight="1" x14ac:dyDescent="0.2">
      <c r="A65" s="2340" t="s">
        <v>1155</v>
      </c>
      <c r="B65" s="2340"/>
      <c r="C65" s="2340"/>
      <c r="D65" s="2305" t="s">
        <v>1154</v>
      </c>
      <c r="E65" s="2305"/>
      <c r="F65" s="2305"/>
      <c r="G65" s="2083">
        <v>4</v>
      </c>
      <c r="H65" s="2083">
        <v>4</v>
      </c>
      <c r="I65" s="2083">
        <v>4</v>
      </c>
    </row>
    <row r="66" spans="1:9" x14ac:dyDescent="0.2">
      <c r="A66" s="2101"/>
      <c r="B66" s="2101"/>
      <c r="C66" s="2101"/>
      <c r="D66" s="2099"/>
      <c r="E66" s="2099"/>
      <c r="F66" s="2099"/>
      <c r="G66" s="2102"/>
      <c r="H66" s="2102"/>
      <c r="I66" s="2102"/>
    </row>
    <row r="67" spans="1:9" x14ac:dyDescent="0.2">
      <c r="A67" s="2101"/>
      <c r="B67" s="2101"/>
      <c r="C67" s="2101"/>
      <c r="D67" s="2098"/>
      <c r="E67" s="2098"/>
      <c r="F67" s="2098"/>
      <c r="G67" s="2097"/>
      <c r="H67" s="2097"/>
      <c r="I67" s="2097"/>
    </row>
  </sheetData>
  <mergeCells count="43">
    <mergeCell ref="A1:C1"/>
    <mergeCell ref="D1:I1"/>
    <mergeCell ref="A3:I3"/>
    <mergeCell ref="A9:I9"/>
    <mergeCell ref="A11:C11"/>
    <mergeCell ref="D11:I11"/>
    <mergeCell ref="A13:I13"/>
    <mergeCell ref="A19:I19"/>
    <mergeCell ref="A20:I20"/>
    <mergeCell ref="A23:C23"/>
    <mergeCell ref="D23:F23"/>
    <mergeCell ref="D25:F25"/>
    <mergeCell ref="A24:C25"/>
    <mergeCell ref="D26:F26"/>
    <mergeCell ref="A26:C26"/>
    <mergeCell ref="D27:F27"/>
    <mergeCell ref="A27:C27"/>
    <mergeCell ref="D24:F24"/>
    <mergeCell ref="D28:F28"/>
    <mergeCell ref="D29:F29"/>
    <mergeCell ref="A28:C28"/>
    <mergeCell ref="A29:C29"/>
    <mergeCell ref="A31:C31"/>
    <mergeCell ref="D31:I31"/>
    <mergeCell ref="A33:I33"/>
    <mergeCell ref="A42:I42"/>
    <mergeCell ref="A43:I43"/>
    <mergeCell ref="A46:C46"/>
    <mergeCell ref="D46:F46"/>
    <mergeCell ref="A52:C52"/>
    <mergeCell ref="A47:C50"/>
    <mergeCell ref="D52:I52"/>
    <mergeCell ref="A54:I54"/>
    <mergeCell ref="A60:I60"/>
    <mergeCell ref="D49:F49"/>
    <mergeCell ref="D50:F50"/>
    <mergeCell ref="D47:F47"/>
    <mergeCell ref="D48:F48"/>
    <mergeCell ref="A63:C63"/>
    <mergeCell ref="D63:F63"/>
    <mergeCell ref="D64:F64"/>
    <mergeCell ref="D65:F65"/>
    <mergeCell ref="A65:C6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8"/>
  <sheetViews>
    <sheetView topLeftCell="A4" workbookViewId="0">
      <selection activeCell="L41" sqref="L41"/>
    </sheetView>
  </sheetViews>
  <sheetFormatPr defaultRowHeight="12.75" x14ac:dyDescent="0.2"/>
  <cols>
    <col min="1" max="1" width="2.85546875" style="95" customWidth="1"/>
    <col min="2" max="2" width="4.140625" style="1" customWidth="1"/>
    <col min="3" max="3" width="8" customWidth="1"/>
    <col min="4" max="4" width="3.42578125" customWidth="1"/>
    <col min="5" max="5" width="31.5703125" customWidth="1"/>
    <col min="6" max="6" width="8.85546875" customWidth="1"/>
    <col min="7" max="7" width="0" hidden="1" customWidth="1"/>
    <col min="12" max="14" width="8.42578125" customWidth="1"/>
  </cols>
  <sheetData>
    <row r="1" spans="1:14" ht="15.75" x14ac:dyDescent="0.25">
      <c r="A1" s="99" t="s">
        <v>275</v>
      </c>
      <c r="D1" s="99" t="s">
        <v>276</v>
      </c>
      <c r="E1" s="97"/>
      <c r="F1" s="97"/>
      <c r="G1" s="250" t="e">
        <f>G2-G7</f>
        <v>#REF!</v>
      </c>
      <c r="H1" s="250"/>
      <c r="I1" s="250"/>
      <c r="J1" s="250"/>
      <c r="K1" s="250"/>
      <c r="L1" s="251">
        <f>L2-L7</f>
        <v>0</v>
      </c>
      <c r="M1" s="251">
        <f>M2-M7</f>
        <v>0</v>
      </c>
      <c r="N1" s="251">
        <f>N2-N7</f>
        <v>0</v>
      </c>
    </row>
    <row r="2" spans="1:14" ht="15.75" x14ac:dyDescent="0.25">
      <c r="B2" s="99"/>
      <c r="G2" s="252" t="e">
        <f>SUM(G8:G10)</f>
        <v>#REF!</v>
      </c>
      <c r="H2" s="252"/>
      <c r="I2" s="252"/>
      <c r="J2" s="252"/>
      <c r="K2" s="252"/>
      <c r="L2" s="107">
        <f>SUM(L8:L10)</f>
        <v>171958</v>
      </c>
      <c r="M2" s="107">
        <f>SUM(M8:M10)</f>
        <v>173400</v>
      </c>
      <c r="N2" s="107">
        <f>SUM(N8:N10)</f>
        <v>172500</v>
      </c>
    </row>
    <row r="3" spans="1:14" ht="15.75" x14ac:dyDescent="0.25">
      <c r="A3" s="108"/>
      <c r="B3" s="109"/>
      <c r="C3" s="110"/>
      <c r="D3" s="110"/>
      <c r="E3" s="111"/>
      <c r="F3" s="112"/>
      <c r="G3" s="2302" t="s">
        <v>163</v>
      </c>
      <c r="H3" s="2302"/>
      <c r="I3" s="2302"/>
      <c r="J3" s="2302"/>
      <c r="K3" s="2302"/>
      <c r="L3" s="2302"/>
      <c r="M3" s="2302"/>
      <c r="N3" s="2302"/>
    </row>
    <row r="4" spans="1:14" ht="15.75" customHeight="1" x14ac:dyDescent="0.2">
      <c r="A4" s="113"/>
      <c r="B4" s="114" t="s">
        <v>164</v>
      </c>
      <c r="C4" s="115" t="s">
        <v>165</v>
      </c>
      <c r="D4" s="2333" t="s">
        <v>166</v>
      </c>
      <c r="E4" s="2333"/>
      <c r="F4" s="2333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2" customHeight="1" x14ac:dyDescent="0.2">
      <c r="A5" s="113"/>
      <c r="B5" s="114" t="s">
        <v>167</v>
      </c>
      <c r="C5" s="115" t="s">
        <v>168</v>
      </c>
      <c r="D5" s="2333"/>
      <c r="E5" s="2333"/>
      <c r="F5" s="2333"/>
      <c r="G5" s="118" t="s">
        <v>169</v>
      </c>
      <c r="H5" s="253" t="s">
        <v>170</v>
      </c>
      <c r="I5" s="119" t="s">
        <v>171</v>
      </c>
      <c r="J5" s="119" t="s">
        <v>170</v>
      </c>
      <c r="K5" s="119" t="s">
        <v>171</v>
      </c>
      <c r="L5" s="120" t="s">
        <v>170</v>
      </c>
      <c r="M5" s="119" t="s">
        <v>171</v>
      </c>
      <c r="N5" s="119" t="s">
        <v>171</v>
      </c>
    </row>
    <row r="6" spans="1:14" x14ac:dyDescent="0.2">
      <c r="A6" s="254"/>
      <c r="B6" s="255" t="s">
        <v>172</v>
      </c>
      <c r="C6" s="256" t="s">
        <v>173</v>
      </c>
      <c r="D6" s="2333"/>
      <c r="E6" s="2333"/>
      <c r="F6" s="2333"/>
      <c r="G6" s="257">
        <v>1</v>
      </c>
      <c r="H6" s="121">
        <v>-3</v>
      </c>
      <c r="I6" s="258">
        <v>-2</v>
      </c>
      <c r="J6" s="258">
        <v>-1</v>
      </c>
      <c r="K6" s="258">
        <v>-1</v>
      </c>
      <c r="L6" s="303">
        <v>0</v>
      </c>
      <c r="M6" s="258">
        <v>1</v>
      </c>
      <c r="N6" s="258">
        <v>2</v>
      </c>
    </row>
    <row r="7" spans="1:14" ht="15" x14ac:dyDescent="0.25">
      <c r="A7" s="123">
        <v>1</v>
      </c>
      <c r="B7" s="124" t="s">
        <v>277</v>
      </c>
      <c r="C7" s="125"/>
      <c r="D7" s="291"/>
      <c r="E7" s="126" t="s">
        <v>276</v>
      </c>
      <c r="F7" s="292"/>
      <c r="G7" s="304" t="e">
        <f>G11+G20</f>
        <v>#REF!</v>
      </c>
      <c r="H7" s="1185">
        <f>H8+H9+H10</f>
        <v>160759</v>
      </c>
      <c r="I7" s="1186">
        <f>SUM(I8:I10)</f>
        <v>164630.05000000002</v>
      </c>
      <c r="J7" s="1170">
        <f>J8+J9+J10</f>
        <v>160550</v>
      </c>
      <c r="K7" s="1170">
        <f>SUM(K8:K10)</f>
        <v>174292</v>
      </c>
      <c r="L7" s="1170">
        <f>SUM(L8:L10)</f>
        <v>171958</v>
      </c>
      <c r="M7" s="1170">
        <f>SUM(M8:M10)</f>
        <v>173400</v>
      </c>
      <c r="N7" s="1170">
        <f>SUM(N8:N10)</f>
        <v>172500</v>
      </c>
    </row>
    <row r="8" spans="1:14" x14ac:dyDescent="0.2">
      <c r="A8" s="130">
        <f t="shared" ref="A8:A13" si="0">A7+1</f>
        <v>2</v>
      </c>
      <c r="B8" s="131" t="s">
        <v>175</v>
      </c>
      <c r="C8" s="674" t="s">
        <v>176</v>
      </c>
      <c r="D8" s="675"/>
      <c r="E8" s="676"/>
      <c r="F8" s="677"/>
      <c r="G8" s="678" t="e">
        <f>G12+#REF!</f>
        <v>#REF!</v>
      </c>
      <c r="H8" s="778">
        <f>H12+H25+H30+H35</f>
        <v>160759</v>
      </c>
      <c r="I8" s="746">
        <f>SUM(I12,I25,I35,I30)</f>
        <v>164630.05000000002</v>
      </c>
      <c r="J8" s="679">
        <f>J12+J25+J30+J35</f>
        <v>160550</v>
      </c>
      <c r="K8" s="679">
        <f>SUM(K12,K25,K35,K30)</f>
        <v>170292</v>
      </c>
      <c r="L8" s="679">
        <f>SUM(L12,L25,L30,L35)</f>
        <v>169958</v>
      </c>
      <c r="M8" s="679">
        <f>SUM(M12,M25,M35,M30)</f>
        <v>171400</v>
      </c>
      <c r="N8" s="679">
        <f>SUM(N12,N25,N35,N30)</f>
        <v>170500</v>
      </c>
    </row>
    <row r="9" spans="1:14" x14ac:dyDescent="0.2">
      <c r="A9" s="130">
        <f t="shared" si="0"/>
        <v>3</v>
      </c>
      <c r="B9" s="131" t="s">
        <v>177</v>
      </c>
      <c r="C9" s="768" t="s">
        <v>178</v>
      </c>
      <c r="D9" s="769"/>
      <c r="E9" s="770"/>
      <c r="F9" s="771"/>
      <c r="G9" s="772" t="e">
        <f>G21</f>
        <v>#REF!</v>
      </c>
      <c r="H9" s="785">
        <f>H21+H46</f>
        <v>0</v>
      </c>
      <c r="I9" s="773">
        <f>SUM(I21,I46)</f>
        <v>0</v>
      </c>
      <c r="J9" s="774">
        <f>J21+J46</f>
        <v>0</v>
      </c>
      <c r="K9" s="774">
        <f>SUM(K21,K46)</f>
        <v>4000</v>
      </c>
      <c r="L9" s="774">
        <f>SUM(L21,L46)</f>
        <v>2000</v>
      </c>
      <c r="M9" s="774">
        <f>SUM(M21,M46)</f>
        <v>2000</v>
      </c>
      <c r="N9" s="774">
        <f>SUM(N21,N46)</f>
        <v>2000</v>
      </c>
    </row>
    <row r="10" spans="1:14" x14ac:dyDescent="0.2">
      <c r="A10" s="130">
        <f t="shared" si="0"/>
        <v>4</v>
      </c>
      <c r="B10" s="134"/>
      <c r="C10" s="702" t="s">
        <v>179</v>
      </c>
      <c r="D10" s="703"/>
      <c r="E10" s="704"/>
      <c r="F10" s="705"/>
      <c r="G10" s="796">
        <v>0</v>
      </c>
      <c r="H10" s="798">
        <v>0</v>
      </c>
      <c r="I10" s="799">
        <v>0</v>
      </c>
      <c r="J10" s="800">
        <v>0</v>
      </c>
      <c r="K10" s="800">
        <v>0</v>
      </c>
      <c r="L10" s="799">
        <v>0</v>
      </c>
      <c r="M10" s="800">
        <v>0</v>
      </c>
      <c r="N10" s="800">
        <v>0</v>
      </c>
    </row>
    <row r="11" spans="1:14" x14ac:dyDescent="0.2">
      <c r="A11" s="130">
        <f t="shared" si="0"/>
        <v>5</v>
      </c>
      <c r="B11" s="230">
        <v>1</v>
      </c>
      <c r="C11" s="231" t="s">
        <v>278</v>
      </c>
      <c r="D11" s="137"/>
      <c r="E11" s="137"/>
      <c r="F11" s="138"/>
      <c r="G11" s="139">
        <f>G13</f>
        <v>5</v>
      </c>
      <c r="H11" s="572">
        <f>H12</f>
        <v>19199</v>
      </c>
      <c r="I11" s="308">
        <f t="shared" ref="I11:N12" si="1">I12</f>
        <v>18516.2</v>
      </c>
      <c r="J11" s="141">
        <f>J12</f>
        <v>19250</v>
      </c>
      <c r="K11" s="141">
        <f t="shared" si="1"/>
        <v>19800</v>
      </c>
      <c r="L11" s="141">
        <f t="shared" si="1"/>
        <v>19950</v>
      </c>
      <c r="M11" s="141">
        <f t="shared" si="1"/>
        <v>19950</v>
      </c>
      <c r="N11" s="141">
        <f t="shared" si="1"/>
        <v>19950</v>
      </c>
    </row>
    <row r="12" spans="1:14" s="189" customFormat="1" x14ac:dyDescent="0.2">
      <c r="A12" s="130">
        <f t="shared" si="0"/>
        <v>6</v>
      </c>
      <c r="B12" s="232"/>
      <c r="C12" s="222"/>
      <c r="D12" s="133" t="s">
        <v>176</v>
      </c>
      <c r="E12" s="152"/>
      <c r="F12" s="153"/>
      <c r="G12" s="154">
        <f>G13</f>
        <v>5</v>
      </c>
      <c r="H12" s="573">
        <f>H13</f>
        <v>19199</v>
      </c>
      <c r="I12" s="305">
        <f t="shared" si="1"/>
        <v>18516.2</v>
      </c>
      <c r="J12" s="155">
        <f>J13</f>
        <v>19250</v>
      </c>
      <c r="K12" s="155">
        <f t="shared" si="1"/>
        <v>19800</v>
      </c>
      <c r="L12" s="305">
        <f t="shared" si="1"/>
        <v>19950</v>
      </c>
      <c r="M12" s="155">
        <f t="shared" si="1"/>
        <v>19950</v>
      </c>
      <c r="N12" s="155">
        <f t="shared" si="1"/>
        <v>19950</v>
      </c>
    </row>
    <row r="13" spans="1:14" x14ac:dyDescent="0.2">
      <c r="A13" s="130">
        <f t="shared" si="0"/>
        <v>7</v>
      </c>
      <c r="B13" s="156"/>
      <c r="C13" s="233" t="s">
        <v>279</v>
      </c>
      <c r="D13" s="191" t="s">
        <v>280</v>
      </c>
      <c r="E13" s="159"/>
      <c r="F13" s="160"/>
      <c r="G13" s="193">
        <f>SUM(G17:G17)</f>
        <v>5</v>
      </c>
      <c r="H13" s="574">
        <f>SUM(H14:H19)</f>
        <v>19199</v>
      </c>
      <c r="I13" s="338">
        <f>SUM(I14,I15,I17,I18,I19)+I16</f>
        <v>18516.2</v>
      </c>
      <c r="J13" s="162">
        <f>SUM(J14:J19)</f>
        <v>19250</v>
      </c>
      <c r="K13" s="162">
        <f>SUM(K14,K15,K17,K18,K19)+K16</f>
        <v>19800</v>
      </c>
      <c r="L13" s="162">
        <f>SUM(L14,L15,L17,L18,L19)+L16</f>
        <v>19950</v>
      </c>
      <c r="M13" s="162">
        <f>SUM(M14,M15,M17,M18,M19)+M16</f>
        <v>19950</v>
      </c>
      <c r="N13" s="162">
        <f>SUM(N14,N15,N17,N18,N19)+N16</f>
        <v>19950</v>
      </c>
    </row>
    <row r="14" spans="1:14" x14ac:dyDescent="0.2">
      <c r="A14" s="130">
        <v>8</v>
      </c>
      <c r="B14" s="156"/>
      <c r="C14" s="164" t="s">
        <v>185</v>
      </c>
      <c r="D14" s="195">
        <v>1</v>
      </c>
      <c r="E14" s="196" t="s">
        <v>281</v>
      </c>
      <c r="F14" s="197"/>
      <c r="G14" s="215"/>
      <c r="H14" s="575">
        <f>výdavky!D212</f>
        <v>12150</v>
      </c>
      <c r="I14" s="306">
        <f>výdavky!E212</f>
        <v>13702.44</v>
      </c>
      <c r="J14" s="169">
        <f>výdavky!F212</f>
        <v>14000</v>
      </c>
      <c r="K14" s="169">
        <f>výdavky!G212</f>
        <v>14350</v>
      </c>
      <c r="L14" s="306">
        <f>výdavky!H212</f>
        <v>14500</v>
      </c>
      <c r="M14" s="169">
        <f>výdavky!I212</f>
        <v>14500</v>
      </c>
      <c r="N14" s="169">
        <f>výdavky!J212</f>
        <v>14500</v>
      </c>
    </row>
    <row r="15" spans="1:14" x14ac:dyDescent="0.2">
      <c r="A15" s="130">
        <v>9</v>
      </c>
      <c r="B15" s="156"/>
      <c r="C15" s="164" t="s">
        <v>187</v>
      </c>
      <c r="D15" s="199">
        <v>2</v>
      </c>
      <c r="E15" s="200" t="s">
        <v>188</v>
      </c>
      <c r="F15" s="201"/>
      <c r="G15" s="182"/>
      <c r="H15" s="576">
        <f>výdavky!D214+výdavky!D215</f>
        <v>5000</v>
      </c>
      <c r="I15" s="307">
        <f>výdavky!E214</f>
        <v>4813.76</v>
      </c>
      <c r="J15" s="174">
        <f>výdavky!F214</f>
        <v>5000</v>
      </c>
      <c r="K15" s="174">
        <f>výdavky!G214</f>
        <v>5200</v>
      </c>
      <c r="L15" s="307">
        <f>výdavky!H214</f>
        <v>5200</v>
      </c>
      <c r="M15" s="174">
        <f>výdavky!I214</f>
        <v>5200</v>
      </c>
      <c r="N15" s="174">
        <f>výdavky!J214</f>
        <v>5200</v>
      </c>
    </row>
    <row r="16" spans="1:14" x14ac:dyDescent="0.2">
      <c r="A16" s="130">
        <v>10</v>
      </c>
      <c r="B16" s="156"/>
      <c r="C16" s="164" t="s">
        <v>191</v>
      </c>
      <c r="D16" s="691">
        <v>3</v>
      </c>
      <c r="E16" s="692" t="s">
        <v>192</v>
      </c>
      <c r="F16" s="693"/>
      <c r="G16" s="694"/>
      <c r="H16" s="872">
        <f>výdavky!D216</f>
        <v>100</v>
      </c>
      <c r="I16" s="696">
        <f>výdavky!E216</f>
        <v>0</v>
      </c>
      <c r="J16" s="695">
        <f>výdavky!F216</f>
        <v>100</v>
      </c>
      <c r="K16" s="695">
        <f>výdavky!G216</f>
        <v>100</v>
      </c>
      <c r="L16" s="696">
        <f>výdavky!H216</f>
        <v>100</v>
      </c>
      <c r="M16" s="695">
        <f>výdavky!I216</f>
        <v>100</v>
      </c>
      <c r="N16" s="695">
        <f>výdavky!J216</f>
        <v>100</v>
      </c>
    </row>
    <row r="17" spans="1:14" x14ac:dyDescent="0.2">
      <c r="A17" s="130">
        <v>11</v>
      </c>
      <c r="B17" s="156"/>
      <c r="C17" s="164" t="s">
        <v>193</v>
      </c>
      <c r="D17" s="208" t="s">
        <v>225</v>
      </c>
      <c r="E17" s="166" t="s">
        <v>194</v>
      </c>
      <c r="F17" s="209"/>
      <c r="G17" s="215">
        <f>ROUND(M17/30.126,1)</f>
        <v>5</v>
      </c>
      <c r="H17" s="575">
        <f>výdavky!D217+výdavky!D218</f>
        <v>150</v>
      </c>
      <c r="I17" s="306">
        <f>výdavky!E218+výdavky!E217</f>
        <v>0</v>
      </c>
      <c r="J17" s="169">
        <f>výdavky!F218+výdavky!F217</f>
        <v>150</v>
      </c>
      <c r="K17" s="169">
        <f>výdavky!G218+výdavky!G217</f>
        <v>150</v>
      </c>
      <c r="L17" s="306">
        <f>výdavky!H218+výdavky!H217</f>
        <v>150</v>
      </c>
      <c r="M17" s="169">
        <f>výdavky!I218+výdavky!I217</f>
        <v>150</v>
      </c>
      <c r="N17" s="169">
        <f>výdavky!J218+výdavky!J217</f>
        <v>150</v>
      </c>
    </row>
    <row r="18" spans="1:14" x14ac:dyDescent="0.2">
      <c r="A18" s="130">
        <f>A17+1</f>
        <v>12</v>
      </c>
      <c r="B18" s="156"/>
      <c r="C18" s="164" t="s">
        <v>195</v>
      </c>
      <c r="D18" s="213" t="s">
        <v>227</v>
      </c>
      <c r="E18" s="175" t="s">
        <v>282</v>
      </c>
      <c r="F18" s="181"/>
      <c r="G18" s="182"/>
      <c r="H18" s="576">
        <f>výdavky!D219</f>
        <v>0</v>
      </c>
      <c r="I18" s="307">
        <f>výdavky!E219</f>
        <v>0</v>
      </c>
      <c r="J18" s="174">
        <f>výdavky!F219</f>
        <v>0</v>
      </c>
      <c r="K18" s="174">
        <f>výdavky!G219</f>
        <v>0</v>
      </c>
      <c r="L18" s="307">
        <f>výdavky!H219</f>
        <v>0</v>
      </c>
      <c r="M18" s="174">
        <f>výdavky!I219</f>
        <v>0</v>
      </c>
      <c r="N18" s="174">
        <f>výdavky!J219</f>
        <v>0</v>
      </c>
    </row>
    <row r="19" spans="1:14" x14ac:dyDescent="0.2">
      <c r="A19" s="130">
        <f>A18+1</f>
        <v>13</v>
      </c>
      <c r="B19" s="156"/>
      <c r="C19" s="164" t="s">
        <v>201</v>
      </c>
      <c r="D19" s="213" t="s">
        <v>231</v>
      </c>
      <c r="E19" s="175" t="s">
        <v>202</v>
      </c>
      <c r="F19" s="181"/>
      <c r="G19" s="182"/>
      <c r="H19" s="576">
        <f>výdavky!D220</f>
        <v>1799</v>
      </c>
      <c r="I19" s="307">
        <f>výdavky!E220</f>
        <v>0</v>
      </c>
      <c r="J19" s="174">
        <f>výdavky!F220</f>
        <v>0</v>
      </c>
      <c r="K19" s="174">
        <f>výdavky!G220</f>
        <v>0</v>
      </c>
      <c r="L19" s="307">
        <f>výdavky!H220</f>
        <v>0</v>
      </c>
      <c r="M19" s="174">
        <f>výdavky!I220</f>
        <v>0</v>
      </c>
      <c r="N19" s="174">
        <f>výdavky!J220</f>
        <v>0</v>
      </c>
    </row>
    <row r="20" spans="1:14" x14ac:dyDescent="0.2">
      <c r="A20" s="130">
        <v>14</v>
      </c>
      <c r="B20" s="230">
        <v>2</v>
      </c>
      <c r="C20" s="231" t="s">
        <v>283</v>
      </c>
      <c r="D20" s="137"/>
      <c r="E20" s="137"/>
      <c r="F20" s="138"/>
      <c r="G20" s="139" t="e">
        <f>#REF!+G22</f>
        <v>#REF!</v>
      </c>
      <c r="H20" s="572">
        <f>H21+H25</f>
        <v>3000</v>
      </c>
      <c r="I20" s="308">
        <f>I21+SUM(I21,I25)</f>
        <v>1925.14</v>
      </c>
      <c r="J20" s="141">
        <f>J21+J25</f>
        <v>3000</v>
      </c>
      <c r="K20" s="141">
        <f>K21+SUM(K21,K25)</f>
        <v>12242</v>
      </c>
      <c r="L20" s="308">
        <f>L21+SUM(L21,L25)</f>
        <v>10458</v>
      </c>
      <c r="M20" s="141">
        <f>M21+SUM(M21,M25)</f>
        <v>11000</v>
      </c>
      <c r="N20" s="141">
        <f>N21+SUM(N21,N25)</f>
        <v>11000</v>
      </c>
    </row>
    <row r="21" spans="1:14" x14ac:dyDescent="0.2">
      <c r="A21" s="130">
        <f t="shared" ref="A21:A32" si="2">A20+1</f>
        <v>15</v>
      </c>
      <c r="B21" s="156"/>
      <c r="C21" s="164"/>
      <c r="D21" s="598" t="s">
        <v>178</v>
      </c>
      <c r="E21" s="602"/>
      <c r="F21" s="607"/>
      <c r="G21" s="608" t="e">
        <f t="shared" ref="G21:N21" si="3">G22</f>
        <v>#REF!</v>
      </c>
      <c r="H21" s="614">
        <f>H22</f>
        <v>0</v>
      </c>
      <c r="I21" s="610">
        <f t="shared" si="3"/>
        <v>0</v>
      </c>
      <c r="J21" s="609">
        <f>J22</f>
        <v>0</v>
      </c>
      <c r="K21" s="609">
        <f t="shared" si="3"/>
        <v>4000</v>
      </c>
      <c r="L21" s="610">
        <f t="shared" si="3"/>
        <v>2000</v>
      </c>
      <c r="M21" s="609">
        <f t="shared" si="3"/>
        <v>2000</v>
      </c>
      <c r="N21" s="609">
        <f t="shared" si="3"/>
        <v>2000</v>
      </c>
    </row>
    <row r="22" spans="1:14" x14ac:dyDescent="0.2">
      <c r="A22" s="130">
        <f t="shared" si="2"/>
        <v>16</v>
      </c>
      <c r="B22" s="156"/>
      <c r="C22" s="233" t="s">
        <v>284</v>
      </c>
      <c r="D22" s="191" t="s">
        <v>285</v>
      </c>
      <c r="E22" s="159"/>
      <c r="F22" s="309"/>
      <c r="G22" s="206" t="e">
        <f>SUM(G25:G32)</f>
        <v>#REF!</v>
      </c>
      <c r="H22" s="578">
        <f>H23+H24</f>
        <v>0</v>
      </c>
      <c r="I22" s="730">
        <f>SUM(I23,I24)</f>
        <v>0</v>
      </c>
      <c r="J22" s="207">
        <f>J23+J24</f>
        <v>0</v>
      </c>
      <c r="K22" s="207">
        <f>SUM(K23,K24)</f>
        <v>4000</v>
      </c>
      <c r="L22" s="207">
        <f>SUM(L23,L24)</f>
        <v>2000</v>
      </c>
      <c r="M22" s="207">
        <f>SUM(M23,M24)</f>
        <v>2000</v>
      </c>
      <c r="N22" s="207">
        <f>SUM(N23,N24)</f>
        <v>2000</v>
      </c>
    </row>
    <row r="23" spans="1:14" x14ac:dyDescent="0.2">
      <c r="A23" s="130">
        <f t="shared" si="2"/>
        <v>17</v>
      </c>
      <c r="B23" s="156"/>
      <c r="C23" s="214" t="s">
        <v>286</v>
      </c>
      <c r="D23" s="208" t="s">
        <v>210</v>
      </c>
      <c r="E23" s="196" t="s">
        <v>665</v>
      </c>
      <c r="F23" s="197"/>
      <c r="G23" s="215"/>
      <c r="H23" s="575">
        <f>výdavky!D717</f>
        <v>0</v>
      </c>
      <c r="I23" s="306">
        <f>výdavky!E716</f>
        <v>0</v>
      </c>
      <c r="J23" s="169">
        <f>výdavky!F717</f>
        <v>0</v>
      </c>
      <c r="K23" s="169">
        <f>výdavky!G717</f>
        <v>0</v>
      </c>
      <c r="L23" s="310">
        <f>výdavky!H717</f>
        <v>0</v>
      </c>
      <c r="M23" s="169">
        <v>0</v>
      </c>
      <c r="N23" s="169">
        <v>0</v>
      </c>
    </row>
    <row r="24" spans="1:14" x14ac:dyDescent="0.2">
      <c r="A24" s="130">
        <f t="shared" si="2"/>
        <v>18</v>
      </c>
      <c r="B24" s="156"/>
      <c r="C24" s="214" t="s">
        <v>286</v>
      </c>
      <c r="D24" s="213" t="s">
        <v>212</v>
      </c>
      <c r="E24" s="200" t="s">
        <v>287</v>
      </c>
      <c r="F24" s="201"/>
      <c r="G24" s="182"/>
      <c r="H24" s="576">
        <f>výdavky!D716</f>
        <v>0</v>
      </c>
      <c r="I24" s="307">
        <f>výdavky!E719</f>
        <v>0</v>
      </c>
      <c r="J24" s="174">
        <f>výdavky!F719</f>
        <v>0</v>
      </c>
      <c r="K24" s="174">
        <f>výdavky!G719</f>
        <v>4000</v>
      </c>
      <c r="L24" s="311">
        <f>výdavky!H719</f>
        <v>2000</v>
      </c>
      <c r="M24" s="174">
        <f>výdavky!I719</f>
        <v>2000</v>
      </c>
      <c r="N24" s="174">
        <f>výdavky!J719</f>
        <v>2000</v>
      </c>
    </row>
    <row r="25" spans="1:14" x14ac:dyDescent="0.2">
      <c r="A25" s="130">
        <f t="shared" si="2"/>
        <v>19</v>
      </c>
      <c r="B25" s="163"/>
      <c r="C25" s="164"/>
      <c r="D25" s="2346" t="s">
        <v>176</v>
      </c>
      <c r="E25" s="2346"/>
      <c r="F25" s="312"/>
      <c r="G25" s="313"/>
      <c r="H25" s="873">
        <f>H26</f>
        <v>3000</v>
      </c>
      <c r="I25" s="741">
        <f>SUM(I26)</f>
        <v>1925.14</v>
      </c>
      <c r="J25" s="314">
        <f>J26</f>
        <v>3000</v>
      </c>
      <c r="K25" s="314">
        <f>SUM(K26)</f>
        <v>4242</v>
      </c>
      <c r="L25" s="305">
        <f>SUM(L26)</f>
        <v>6458</v>
      </c>
      <c r="M25" s="314">
        <f>SUM(M26)</f>
        <v>7000</v>
      </c>
      <c r="N25" s="314">
        <f>SUM(N26)</f>
        <v>7000</v>
      </c>
    </row>
    <row r="26" spans="1:14" x14ac:dyDescent="0.2">
      <c r="A26" s="130">
        <f t="shared" si="2"/>
        <v>20</v>
      </c>
      <c r="B26" s="163"/>
      <c r="C26" s="233" t="s">
        <v>284</v>
      </c>
      <c r="D26" s="191" t="s">
        <v>285</v>
      </c>
      <c r="E26" s="159"/>
      <c r="F26" s="309"/>
      <c r="G26" s="206" t="e">
        <f>SUM(G29:G32)</f>
        <v>#REF!</v>
      </c>
      <c r="H26" s="578">
        <f>H27+H28</f>
        <v>3000</v>
      </c>
      <c r="I26" s="730">
        <f>SUM(I27,I28)</f>
        <v>1925.14</v>
      </c>
      <c r="J26" s="207">
        <f>J27+J28</f>
        <v>3000</v>
      </c>
      <c r="K26" s="207">
        <f>SUM(K27,K28)</f>
        <v>4242</v>
      </c>
      <c r="L26" s="207">
        <f>SUM(L27,L28)</f>
        <v>6458</v>
      </c>
      <c r="M26" s="207">
        <f>SUM(M27,M28)</f>
        <v>7000</v>
      </c>
      <c r="N26" s="207">
        <f>SUM(N27,N28)</f>
        <v>7000</v>
      </c>
    </row>
    <row r="27" spans="1:14" x14ac:dyDescent="0.2">
      <c r="A27" s="130">
        <f t="shared" si="2"/>
        <v>21</v>
      </c>
      <c r="B27" s="163"/>
      <c r="C27" s="315">
        <v>633</v>
      </c>
      <c r="D27" s="208" t="s">
        <v>223</v>
      </c>
      <c r="E27" s="196" t="s">
        <v>194</v>
      </c>
      <c r="F27" s="196"/>
      <c r="G27" s="196"/>
      <c r="H27" s="874">
        <f>výdavky!D228</f>
        <v>3000</v>
      </c>
      <c r="I27" s="306">
        <f>výdavky!E228</f>
        <v>1925.14</v>
      </c>
      <c r="J27" s="169">
        <f>výdavky!F227+výdavky!F228</f>
        <v>3000</v>
      </c>
      <c r="K27" s="169">
        <f>výdavky!G228</f>
        <v>4242</v>
      </c>
      <c r="L27" s="310">
        <f>výdavky!H228</f>
        <v>5000</v>
      </c>
      <c r="M27" s="169">
        <f>výdavky!I228</f>
        <v>5000</v>
      </c>
      <c r="N27" s="169">
        <f>výdavky!J228</f>
        <v>5000</v>
      </c>
    </row>
    <row r="28" spans="1:14" x14ac:dyDescent="0.2">
      <c r="A28" s="130">
        <f t="shared" si="2"/>
        <v>22</v>
      </c>
      <c r="B28" s="163"/>
      <c r="C28" s="315">
        <v>635</v>
      </c>
      <c r="D28" s="213" t="s">
        <v>225</v>
      </c>
      <c r="E28" s="200" t="s">
        <v>288</v>
      </c>
      <c r="F28" s="316"/>
      <c r="G28" s="182"/>
      <c r="H28" s="576">
        <f>výdavky!D719</f>
        <v>0</v>
      </c>
      <c r="I28" s="307">
        <f>výdavky!E719</f>
        <v>0</v>
      </c>
      <c r="J28" s="174">
        <f>výdavky!F719</f>
        <v>0</v>
      </c>
      <c r="K28" s="174">
        <f>výdavky!G227</f>
        <v>0</v>
      </c>
      <c r="L28" s="311">
        <f>výdavky!H229</f>
        <v>1458</v>
      </c>
      <c r="M28" s="174">
        <f>výdavky!I719</f>
        <v>2000</v>
      </c>
      <c r="N28" s="174">
        <f>výdavky!J719</f>
        <v>2000</v>
      </c>
    </row>
    <row r="29" spans="1:14" x14ac:dyDescent="0.2">
      <c r="A29" s="130">
        <f t="shared" si="2"/>
        <v>23</v>
      </c>
      <c r="B29" s="230">
        <v>3</v>
      </c>
      <c r="C29" s="231" t="s">
        <v>289</v>
      </c>
      <c r="D29" s="137"/>
      <c r="E29" s="137"/>
      <c r="F29" s="138"/>
      <c r="G29" s="139" t="e">
        <f>#REF!+G32</f>
        <v>#REF!</v>
      </c>
      <c r="H29" s="572">
        <f>H30</f>
        <v>3000</v>
      </c>
      <c r="I29" s="308">
        <f>SUM(I30)</f>
        <v>2292</v>
      </c>
      <c r="J29" s="141">
        <f>J30</f>
        <v>2000</v>
      </c>
      <c r="K29" s="141">
        <f>SUM(K30)</f>
        <v>3500</v>
      </c>
      <c r="L29" s="141">
        <f>SUM(L30)</f>
        <v>5000</v>
      </c>
      <c r="M29" s="141">
        <f>SUM(M30)</f>
        <v>5000</v>
      </c>
      <c r="N29" s="141">
        <f>SUM(N30)</f>
        <v>5000</v>
      </c>
    </row>
    <row r="30" spans="1:14" x14ac:dyDescent="0.2">
      <c r="A30" s="130">
        <f t="shared" si="2"/>
        <v>24</v>
      </c>
      <c r="B30" s="232"/>
      <c r="C30" s="222"/>
      <c r="D30" s="133" t="s">
        <v>176</v>
      </c>
      <c r="E30" s="152"/>
      <c r="F30" s="153"/>
      <c r="G30" s="154">
        <f t="shared" ref="G30:N30" si="4">G31</f>
        <v>0</v>
      </c>
      <c r="H30" s="573">
        <f>H31</f>
        <v>3000</v>
      </c>
      <c r="I30" s="305">
        <f t="shared" si="4"/>
        <v>2292</v>
      </c>
      <c r="J30" s="155">
        <f>J31</f>
        <v>2000</v>
      </c>
      <c r="K30" s="155">
        <f t="shared" si="4"/>
        <v>3500</v>
      </c>
      <c r="L30" s="305">
        <f t="shared" si="4"/>
        <v>5000</v>
      </c>
      <c r="M30" s="155">
        <f t="shared" si="4"/>
        <v>5000</v>
      </c>
      <c r="N30" s="155">
        <f t="shared" si="4"/>
        <v>5000</v>
      </c>
    </row>
    <row r="31" spans="1:14" s="319" customFormat="1" x14ac:dyDescent="0.2">
      <c r="A31" s="130">
        <f t="shared" si="2"/>
        <v>25</v>
      </c>
      <c r="B31" s="317"/>
      <c r="C31" s="233" t="s">
        <v>290</v>
      </c>
      <c r="D31" s="191" t="s">
        <v>289</v>
      </c>
      <c r="E31" s="159"/>
      <c r="F31" s="318"/>
      <c r="G31" s="193"/>
      <c r="H31" s="574">
        <f>H32+H33</f>
        <v>3000</v>
      </c>
      <c r="I31" s="338">
        <f>SUM(I32:I33)</f>
        <v>2292</v>
      </c>
      <c r="J31" s="162">
        <f>J32+J33</f>
        <v>2000</v>
      </c>
      <c r="K31" s="162">
        <f>SUM(K32:K33)</f>
        <v>3500</v>
      </c>
      <c r="L31" s="162">
        <f>SUM(L32:L33)</f>
        <v>5000</v>
      </c>
      <c r="M31" s="162">
        <f>SUM(M32:M33)</f>
        <v>5000</v>
      </c>
      <c r="N31" s="162">
        <f>SUM(N32:N33)</f>
        <v>5000</v>
      </c>
    </row>
    <row r="32" spans="1:14" x14ac:dyDescent="0.2">
      <c r="A32" s="130">
        <f t="shared" si="2"/>
        <v>26</v>
      </c>
      <c r="B32" s="320"/>
      <c r="C32" s="214" t="s">
        <v>201</v>
      </c>
      <c r="D32" s="208" t="s">
        <v>210</v>
      </c>
      <c r="E32" s="295" t="s">
        <v>291</v>
      </c>
      <c r="F32" s="321"/>
      <c r="G32" s="215">
        <f>ROUND(M32/30.126,1)</f>
        <v>0</v>
      </c>
      <c r="H32" s="575">
        <f>výdavky!D223</f>
        <v>0</v>
      </c>
      <c r="I32" s="306">
        <f>výdavky!E223</f>
        <v>0</v>
      </c>
      <c r="J32" s="169">
        <f>výdavky!F223</f>
        <v>0</v>
      </c>
      <c r="K32" s="169">
        <f>výdavky!G223</f>
        <v>0</v>
      </c>
      <c r="L32" s="310">
        <f>výdavky!H223</f>
        <v>0</v>
      </c>
      <c r="M32" s="169">
        <f>výdavky!I223</f>
        <v>0</v>
      </c>
      <c r="N32" s="169">
        <f>výdavky!J223</f>
        <v>0</v>
      </c>
    </row>
    <row r="33" spans="1:14" x14ac:dyDescent="0.2">
      <c r="A33" s="130">
        <v>27</v>
      </c>
      <c r="B33" s="322"/>
      <c r="C33" s="323">
        <v>637</v>
      </c>
      <c r="D33" s="170">
        <v>2</v>
      </c>
      <c r="E33" s="324" t="s">
        <v>321</v>
      </c>
      <c r="F33" s="325"/>
      <c r="G33" s="182"/>
      <c r="H33" s="576">
        <f>výdavky!D224</f>
        <v>3000</v>
      </c>
      <c r="I33" s="307">
        <f>výdavky!E224</f>
        <v>2292</v>
      </c>
      <c r="J33" s="174">
        <f>výdavky!F224</f>
        <v>2000</v>
      </c>
      <c r="K33" s="174">
        <f>výdavky!G224</f>
        <v>3500</v>
      </c>
      <c r="L33" s="311">
        <f>výdavky!H224</f>
        <v>5000</v>
      </c>
      <c r="M33" s="174">
        <f>výdavky!I224</f>
        <v>5000</v>
      </c>
      <c r="N33" s="174">
        <f>výdavky!J224</f>
        <v>5000</v>
      </c>
    </row>
    <row r="34" spans="1:14" x14ac:dyDescent="0.2">
      <c r="A34" s="130">
        <v>28</v>
      </c>
      <c r="B34" s="326">
        <v>4</v>
      </c>
      <c r="C34" s="231" t="s">
        <v>292</v>
      </c>
      <c r="D34" s="327"/>
      <c r="E34" s="327"/>
      <c r="F34" s="328"/>
      <c r="G34" s="329" t="e">
        <f>#REF!+#REF!</f>
        <v>#REF!</v>
      </c>
      <c r="H34" s="875">
        <f>H35+H46</f>
        <v>135560</v>
      </c>
      <c r="I34" s="308">
        <f>SUM(I35+I46)</f>
        <v>141896.71000000002</v>
      </c>
      <c r="J34" s="141">
        <f>J35+J46</f>
        <v>136300</v>
      </c>
      <c r="K34" s="141">
        <f>SUM(K35+K46)</f>
        <v>142750</v>
      </c>
      <c r="L34" s="308">
        <f>SUM(L35+L46)</f>
        <v>138550</v>
      </c>
      <c r="M34" s="141">
        <f>SUM(M35+M46)</f>
        <v>139450</v>
      </c>
      <c r="N34" s="141">
        <f>SUM(N35+N46)</f>
        <v>138550</v>
      </c>
    </row>
    <row r="35" spans="1:14" x14ac:dyDescent="0.2">
      <c r="A35" s="130">
        <f t="shared" ref="A35:A44" si="5">A34+1</f>
        <v>29</v>
      </c>
      <c r="B35" s="232"/>
      <c r="C35" s="222"/>
      <c r="D35" s="133" t="s">
        <v>176</v>
      </c>
      <c r="E35" s="152"/>
      <c r="F35" s="153"/>
      <c r="G35" s="154" t="e">
        <f>G36+G47</f>
        <v>#REF!</v>
      </c>
      <c r="H35" s="573">
        <f t="shared" ref="H35:N35" si="6">H36</f>
        <v>135560</v>
      </c>
      <c r="I35" s="305">
        <f t="shared" si="6"/>
        <v>141896.71000000002</v>
      </c>
      <c r="J35" s="155">
        <f t="shared" si="6"/>
        <v>136300</v>
      </c>
      <c r="K35" s="155">
        <f t="shared" si="6"/>
        <v>142750</v>
      </c>
      <c r="L35" s="305">
        <f t="shared" si="6"/>
        <v>138550</v>
      </c>
      <c r="M35" s="155">
        <f t="shared" si="6"/>
        <v>139450</v>
      </c>
      <c r="N35" s="155">
        <f t="shared" si="6"/>
        <v>138550</v>
      </c>
    </row>
    <row r="36" spans="1:14" x14ac:dyDescent="0.2">
      <c r="A36" s="130">
        <f t="shared" si="5"/>
        <v>30</v>
      </c>
      <c r="B36" s="156"/>
      <c r="C36" s="233" t="s">
        <v>293</v>
      </c>
      <c r="D36" s="158" t="s">
        <v>294</v>
      </c>
      <c r="E36" s="159"/>
      <c r="F36" s="160"/>
      <c r="G36" s="193">
        <f>SUM(G37:G44)</f>
        <v>2912.8</v>
      </c>
      <c r="H36" s="574">
        <f>SUM(H37:H45)</f>
        <v>135560</v>
      </c>
      <c r="I36" s="338">
        <f>SUM(I37:I44)+I45</f>
        <v>141896.71000000002</v>
      </c>
      <c r="J36" s="162">
        <f>SUM(J37:J45)</f>
        <v>136300</v>
      </c>
      <c r="K36" s="162">
        <f>SUM(K37:K44)+K45</f>
        <v>142750</v>
      </c>
      <c r="L36" s="162">
        <f>SUM(L37:L44)+L45</f>
        <v>138550</v>
      </c>
      <c r="M36" s="162">
        <f>SUM(M37:M44)+M45</f>
        <v>139450</v>
      </c>
      <c r="N36" s="162">
        <f>SUM(N37:N44)+N45</f>
        <v>138550</v>
      </c>
    </row>
    <row r="37" spans="1:14" x14ac:dyDescent="0.2">
      <c r="A37" s="130">
        <f t="shared" si="5"/>
        <v>31</v>
      </c>
      <c r="B37" s="163"/>
      <c r="C37" s="214" t="s">
        <v>185</v>
      </c>
      <c r="D37" s="208" t="s">
        <v>210</v>
      </c>
      <c r="E37" s="166" t="s">
        <v>281</v>
      </c>
      <c r="F37" s="209"/>
      <c r="G37" s="215">
        <f>ROUND(M37/30.126,1)</f>
        <v>2887.9</v>
      </c>
      <c r="H37" s="575">
        <f>výdavky!D191</f>
        <v>84000</v>
      </c>
      <c r="I37" s="306">
        <f>výdavky!E191+výdavky!E192</f>
        <v>85822.89</v>
      </c>
      <c r="J37" s="169">
        <f>výdavky!F191+výdavky!F192</f>
        <v>85000</v>
      </c>
      <c r="K37" s="169">
        <f>výdavky!G191+výdavky!G192</f>
        <v>85000</v>
      </c>
      <c r="L37" s="306">
        <f>výdavky!H191+výdavky!H192</f>
        <v>87000</v>
      </c>
      <c r="M37" s="169">
        <f>výdavky!I191</f>
        <v>87000</v>
      </c>
      <c r="N37" s="169">
        <f>výdavky!J191</f>
        <v>87000</v>
      </c>
    </row>
    <row r="38" spans="1:14" x14ac:dyDescent="0.2">
      <c r="A38" s="130">
        <f t="shared" si="5"/>
        <v>32</v>
      </c>
      <c r="B38" s="163"/>
      <c r="C38" s="214" t="s">
        <v>187</v>
      </c>
      <c r="D38" s="213" t="s">
        <v>212</v>
      </c>
      <c r="E38" s="175" t="s">
        <v>188</v>
      </c>
      <c r="F38" s="181"/>
      <c r="G38" s="182"/>
      <c r="H38" s="576">
        <f>výdavky!D193</f>
        <v>29000</v>
      </c>
      <c r="I38" s="307">
        <f>výdavky!E193</f>
        <v>30682.080000000002</v>
      </c>
      <c r="J38" s="174">
        <f>výdavky!F193</f>
        <v>30000</v>
      </c>
      <c r="K38" s="174">
        <f>výdavky!G193</f>
        <v>31400</v>
      </c>
      <c r="L38" s="307">
        <f>výdavky!H193</f>
        <v>30000</v>
      </c>
      <c r="M38" s="174">
        <f>výdavky!I193</f>
        <v>30000</v>
      </c>
      <c r="N38" s="174">
        <f>výdavky!J193</f>
        <v>30000</v>
      </c>
    </row>
    <row r="39" spans="1:14" x14ac:dyDescent="0.2">
      <c r="A39" s="130">
        <f t="shared" si="5"/>
        <v>33</v>
      </c>
      <c r="B39" s="163"/>
      <c r="C39" s="214" t="s">
        <v>191</v>
      </c>
      <c r="D39" s="208" t="s">
        <v>223</v>
      </c>
      <c r="E39" s="166" t="s">
        <v>192</v>
      </c>
      <c r="F39" s="209"/>
      <c r="G39" s="215">
        <f>ROUND(M39/30.126,1)</f>
        <v>24.9</v>
      </c>
      <c r="H39" s="575">
        <f>výdavky!D195</f>
        <v>750</v>
      </c>
      <c r="I39" s="306">
        <f>výdavky!E195</f>
        <v>541.6</v>
      </c>
      <c r="J39" s="169">
        <f>výdavky!F195</f>
        <v>750</v>
      </c>
      <c r="K39" s="169">
        <f>výdavky!G195</f>
        <v>750</v>
      </c>
      <c r="L39" s="306">
        <f>výdavky!H195</f>
        <v>750</v>
      </c>
      <c r="M39" s="169">
        <f>výdavky!I195</f>
        <v>750</v>
      </c>
      <c r="N39" s="169">
        <f>výdavky!J195</f>
        <v>750</v>
      </c>
    </row>
    <row r="40" spans="1:14" x14ac:dyDescent="0.2">
      <c r="A40" s="130">
        <f t="shared" si="5"/>
        <v>34</v>
      </c>
      <c r="B40" s="163"/>
      <c r="C40" s="214" t="s">
        <v>193</v>
      </c>
      <c r="D40" s="213" t="s">
        <v>225</v>
      </c>
      <c r="E40" s="175" t="s">
        <v>194</v>
      </c>
      <c r="F40" s="181"/>
      <c r="G40" s="182"/>
      <c r="H40" s="576">
        <f>výdavky!D196</f>
        <v>15700</v>
      </c>
      <c r="I40" s="307">
        <f>výdavky!E196</f>
        <v>12582.859999999999</v>
      </c>
      <c r="J40" s="174">
        <f>výdavky!F196</f>
        <v>14800</v>
      </c>
      <c r="K40" s="174">
        <f>výdavky!G196</f>
        <v>19750</v>
      </c>
      <c r="L40" s="307">
        <f>výdavky!H196</f>
        <v>14700</v>
      </c>
      <c r="M40" s="174">
        <f>výdavky!I196</f>
        <v>14700</v>
      </c>
      <c r="N40" s="174">
        <f>výdavky!J196</f>
        <v>14700</v>
      </c>
    </row>
    <row r="41" spans="1:14" x14ac:dyDescent="0.2">
      <c r="A41" s="130">
        <f t="shared" si="5"/>
        <v>35</v>
      </c>
      <c r="B41" s="163"/>
      <c r="C41" s="214" t="s">
        <v>195</v>
      </c>
      <c r="D41" s="208" t="s">
        <v>227</v>
      </c>
      <c r="E41" s="166" t="s">
        <v>196</v>
      </c>
      <c r="F41" s="209"/>
      <c r="G41" s="215"/>
      <c r="H41" s="575">
        <f>výdavky!D202</f>
        <v>1650</v>
      </c>
      <c r="I41" s="306">
        <f>výdavky!E202</f>
        <v>8941.5300000000007</v>
      </c>
      <c r="J41" s="169">
        <f>výdavky!F202</f>
        <v>1250</v>
      </c>
      <c r="K41" s="169">
        <f>výdavky!G202</f>
        <v>350</v>
      </c>
      <c r="L41" s="306">
        <f>výdavky!H202</f>
        <v>1600</v>
      </c>
      <c r="M41" s="169">
        <f>výdavky!I201</f>
        <v>2500</v>
      </c>
      <c r="N41" s="169">
        <f>výdavky!J202</f>
        <v>1600</v>
      </c>
    </row>
    <row r="42" spans="1:14" x14ac:dyDescent="0.2">
      <c r="A42" s="130">
        <f t="shared" si="5"/>
        <v>36</v>
      </c>
      <c r="B42" s="163"/>
      <c r="C42" s="214" t="s">
        <v>197</v>
      </c>
      <c r="D42" s="213" t="s">
        <v>231</v>
      </c>
      <c r="E42" s="175" t="s">
        <v>295</v>
      </c>
      <c r="F42" s="181"/>
      <c r="G42" s="182"/>
      <c r="H42" s="576">
        <f>výdavky!D207</f>
        <v>3500</v>
      </c>
      <c r="I42" s="307">
        <f>výdavky!E207</f>
        <v>3292.37</v>
      </c>
      <c r="J42" s="174">
        <f>výdavky!F207</f>
        <v>3500</v>
      </c>
      <c r="K42" s="174">
        <f>výdavky!G207</f>
        <v>4500</v>
      </c>
      <c r="L42" s="307">
        <f>výdavky!H206</f>
        <v>0</v>
      </c>
      <c r="M42" s="174">
        <f>výdavky!I206</f>
        <v>0</v>
      </c>
      <c r="N42" s="174">
        <f>výdavky!J206</f>
        <v>0</v>
      </c>
    </row>
    <row r="43" spans="1:14" x14ac:dyDescent="0.2">
      <c r="A43" s="130">
        <f t="shared" si="5"/>
        <v>37</v>
      </c>
      <c r="B43" s="163"/>
      <c r="C43" s="214" t="s">
        <v>201</v>
      </c>
      <c r="D43" s="208" t="s">
        <v>233</v>
      </c>
      <c r="E43" s="166" t="s">
        <v>262</v>
      </c>
      <c r="F43" s="209"/>
      <c r="G43" s="215"/>
      <c r="H43" s="575">
        <f>výdavky!D208</f>
        <v>960</v>
      </c>
      <c r="I43" s="306">
        <f>výdavky!E208</f>
        <v>33.380000000000003</v>
      </c>
      <c r="J43" s="169">
        <f>výdavky!F208</f>
        <v>1000</v>
      </c>
      <c r="K43" s="169">
        <f>výdavky!G208</f>
        <v>1000</v>
      </c>
      <c r="L43" s="306">
        <f>výdavky!H207</f>
        <v>3500</v>
      </c>
      <c r="M43" s="169">
        <f>výdavky!I207</f>
        <v>3500</v>
      </c>
      <c r="N43" s="169">
        <f>výdavky!J207</f>
        <v>3500</v>
      </c>
    </row>
    <row r="44" spans="1:14" x14ac:dyDescent="0.2">
      <c r="A44" s="130">
        <f t="shared" si="5"/>
        <v>38</v>
      </c>
      <c r="B44" s="163"/>
      <c r="C44" s="214" t="s">
        <v>209</v>
      </c>
      <c r="D44" s="213" t="s">
        <v>261</v>
      </c>
      <c r="E44" s="175" t="s">
        <v>296</v>
      </c>
      <c r="F44" s="181"/>
      <c r="G44" s="182"/>
      <c r="H44" s="576">
        <f>výdavky!D209</f>
        <v>0</v>
      </c>
      <c r="I44" s="307">
        <f>výdavky!E209</f>
        <v>0</v>
      </c>
      <c r="J44" s="174">
        <f>výdavky!F209</f>
        <v>0</v>
      </c>
      <c r="K44" s="174">
        <f>výdavky!G209</f>
        <v>0</v>
      </c>
      <c r="L44" s="307">
        <f>výdavky!H208</f>
        <v>1000</v>
      </c>
      <c r="M44" s="174">
        <f>výdavky!I208</f>
        <v>1000</v>
      </c>
      <c r="N44" s="174">
        <f>výdavky!J208</f>
        <v>1000</v>
      </c>
    </row>
    <row r="45" spans="1:14" x14ac:dyDescent="0.2">
      <c r="A45" s="130">
        <v>39</v>
      </c>
      <c r="B45" s="163"/>
      <c r="C45" s="214" t="s">
        <v>209</v>
      </c>
      <c r="D45" s="213" t="s">
        <v>263</v>
      </c>
      <c r="E45" s="175" t="s">
        <v>297</v>
      </c>
      <c r="F45" s="181"/>
      <c r="G45" s="182"/>
      <c r="H45" s="576">
        <f>výdavky!D210</f>
        <v>0</v>
      </c>
      <c r="I45" s="307">
        <f>SUM(výdavky!E210)</f>
        <v>0</v>
      </c>
      <c r="J45" s="174">
        <f>výdavky!F210</f>
        <v>0</v>
      </c>
      <c r="K45" s="174">
        <f>výdavky!G210</f>
        <v>0</v>
      </c>
      <c r="L45" s="307">
        <f>výdavky!H209</f>
        <v>0</v>
      </c>
      <c r="M45" s="174">
        <f>výdavky!H209</f>
        <v>0</v>
      </c>
      <c r="N45" s="174">
        <f>výdavky!J209</f>
        <v>0</v>
      </c>
    </row>
    <row r="46" spans="1:14" x14ac:dyDescent="0.2">
      <c r="A46" s="130">
        <v>40</v>
      </c>
      <c r="B46" s="163"/>
      <c r="C46" s="164"/>
      <c r="D46" s="598" t="s">
        <v>178</v>
      </c>
      <c r="E46" s="602"/>
      <c r="F46" s="607"/>
      <c r="G46" s="608" t="e">
        <f t="shared" ref="G46:N46" si="7">G47</f>
        <v>#REF!</v>
      </c>
      <c r="H46" s="614">
        <f>H47</f>
        <v>0</v>
      </c>
      <c r="I46" s="610">
        <f t="shared" si="7"/>
        <v>0</v>
      </c>
      <c r="J46" s="609">
        <f>J47</f>
        <v>0</v>
      </c>
      <c r="K46" s="609">
        <f t="shared" si="7"/>
        <v>0</v>
      </c>
      <c r="L46" s="610">
        <f t="shared" si="7"/>
        <v>0</v>
      </c>
      <c r="M46" s="609">
        <f t="shared" si="7"/>
        <v>0</v>
      </c>
      <c r="N46" s="609">
        <f t="shared" si="7"/>
        <v>0</v>
      </c>
    </row>
    <row r="47" spans="1:14" x14ac:dyDescent="0.2">
      <c r="A47" s="130">
        <f>A46+1</f>
        <v>41</v>
      </c>
      <c r="B47" s="163"/>
      <c r="C47" s="233" t="s">
        <v>298</v>
      </c>
      <c r="D47" s="158" t="s">
        <v>294</v>
      </c>
      <c r="E47" s="159"/>
      <c r="F47" s="160"/>
      <c r="G47" s="193" t="e">
        <f>SUM(#REF!)</f>
        <v>#REF!</v>
      </c>
      <c r="H47" s="574">
        <f>H48</f>
        <v>0</v>
      </c>
      <c r="I47" s="338">
        <f>SUM(I48:I48)</f>
        <v>0</v>
      </c>
      <c r="J47" s="162">
        <f>J48</f>
        <v>0</v>
      </c>
      <c r="K47" s="162">
        <f>SUM(K48:K48)</f>
        <v>0</v>
      </c>
      <c r="L47" s="162">
        <f>SUM(L48:L48)</f>
        <v>0</v>
      </c>
      <c r="M47" s="162">
        <f>SUM(M48:M48)</f>
        <v>0</v>
      </c>
      <c r="N47" s="162">
        <f>SUM(N48:N48)</f>
        <v>0</v>
      </c>
    </row>
    <row r="48" spans="1:14" s="189" customFormat="1" x14ac:dyDescent="0.2">
      <c r="A48" s="242">
        <v>42</v>
      </c>
      <c r="B48" s="330"/>
      <c r="C48" s="331" t="s">
        <v>286</v>
      </c>
      <c r="D48" s="280" t="s">
        <v>265</v>
      </c>
      <c r="E48" s="332" t="s">
        <v>685</v>
      </c>
      <c r="F48" s="333"/>
      <c r="G48" s="334"/>
      <c r="H48" s="740">
        <v>0</v>
      </c>
      <c r="I48" s="335">
        <v>0</v>
      </c>
      <c r="J48" s="285">
        <f>výdavky!F715</f>
        <v>0</v>
      </c>
      <c r="K48" s="285">
        <v>0</v>
      </c>
      <c r="L48" s="335">
        <f>výdavky!H715</f>
        <v>0</v>
      </c>
      <c r="M48" s="285">
        <v>0</v>
      </c>
      <c r="N48" s="285">
        <v>0</v>
      </c>
    </row>
  </sheetData>
  <mergeCells count="3">
    <mergeCell ref="G3:N3"/>
    <mergeCell ref="D4:F6"/>
    <mergeCell ref="D25:E25"/>
  </mergeCells>
  <phoneticPr fontId="43" type="noConversion"/>
  <pageMargins left="0.25" right="0.25" top="0.75" bottom="0.75" header="0.3" footer="0.3"/>
  <pageSetup paperSize="9" scale="83" firstPageNumber="0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95"/>
  <sheetViews>
    <sheetView workbookViewId="0">
      <selection activeCell="B7" sqref="B7"/>
    </sheetView>
  </sheetViews>
  <sheetFormatPr defaultRowHeight="12.75" x14ac:dyDescent="0.2"/>
  <sheetData>
    <row r="1" spans="1:9" ht="23.25" x14ac:dyDescent="0.2">
      <c r="A1" s="2332" t="s">
        <v>1156</v>
      </c>
      <c r="B1" s="2332"/>
      <c r="C1" s="2332"/>
      <c r="D1" s="2332" t="s">
        <v>1157</v>
      </c>
      <c r="E1" s="2332"/>
      <c r="F1" s="2332"/>
      <c r="G1" s="2332"/>
      <c r="H1" s="2332"/>
      <c r="I1" s="2332"/>
    </row>
    <row r="2" spans="1:9" x14ac:dyDescent="0.2">
      <c r="A2" s="2058"/>
      <c r="B2" s="2058"/>
      <c r="C2" s="2058"/>
      <c r="D2" s="2058"/>
      <c r="E2" s="2058"/>
      <c r="F2" s="2058"/>
      <c r="G2" s="2058"/>
      <c r="H2" s="2058"/>
      <c r="I2" s="2058"/>
    </row>
    <row r="3" spans="1:9" ht="35.25" customHeight="1" x14ac:dyDescent="0.2">
      <c r="A3" s="2330" t="s">
        <v>1158</v>
      </c>
      <c r="B3" s="2331"/>
      <c r="C3" s="2331"/>
      <c r="D3" s="2331"/>
      <c r="E3" s="2331"/>
      <c r="F3" s="2331"/>
      <c r="G3" s="2331"/>
      <c r="H3" s="2331"/>
      <c r="I3" s="2331"/>
    </row>
    <row r="4" spans="1:9" x14ac:dyDescent="0.2">
      <c r="A4" s="2058"/>
      <c r="B4" s="2058"/>
      <c r="C4" s="2058"/>
      <c r="D4" s="2058"/>
      <c r="E4" s="2058"/>
      <c r="F4" s="2058"/>
      <c r="G4" s="2058"/>
      <c r="H4" s="2058"/>
      <c r="I4" s="2058"/>
    </row>
    <row r="5" spans="1:9" ht="15.75" x14ac:dyDescent="0.25">
      <c r="A5" s="2112" t="s">
        <v>1039</v>
      </c>
      <c r="B5" s="2058"/>
      <c r="C5" s="2058"/>
      <c r="D5" s="2058"/>
      <c r="E5" s="2058"/>
      <c r="F5" s="2058"/>
      <c r="G5" s="2058"/>
      <c r="H5" s="2058"/>
      <c r="I5" s="2058"/>
    </row>
    <row r="6" spans="1:9" ht="15.75" x14ac:dyDescent="0.25">
      <c r="A6" s="2071" t="s">
        <v>1040</v>
      </c>
      <c r="B6" s="2071">
        <v>2022</v>
      </c>
      <c r="C6" s="2071">
        <v>2023</v>
      </c>
      <c r="D6" s="2071">
        <v>2024</v>
      </c>
      <c r="E6" s="2071" t="s">
        <v>984</v>
      </c>
      <c r="F6" s="2071">
        <v>2025</v>
      </c>
      <c r="G6" s="2071">
        <v>2026</v>
      </c>
      <c r="H6" s="2071">
        <v>2027</v>
      </c>
      <c r="I6" s="2058"/>
    </row>
    <row r="7" spans="1:9" ht="15.75" x14ac:dyDescent="0.25">
      <c r="A7" s="2070" t="s">
        <v>170</v>
      </c>
      <c r="B7" s="1579">
        <f>'Program 4'!H7</f>
        <v>160759</v>
      </c>
      <c r="C7" s="1579">
        <f>'Program 4'!I7</f>
        <v>164630.05000000002</v>
      </c>
      <c r="D7" s="1579">
        <f>'Program 4'!J7</f>
        <v>160550</v>
      </c>
      <c r="E7" s="1579">
        <f>'Program 4'!K7</f>
        <v>174292</v>
      </c>
      <c r="F7" s="2072">
        <f>'Program 4'!L7</f>
        <v>171958</v>
      </c>
      <c r="G7" s="1579">
        <f>'Program 4'!M7</f>
        <v>173400</v>
      </c>
      <c r="H7" s="1579">
        <f>'Program 4'!N7</f>
        <v>172500</v>
      </c>
      <c r="I7" s="2058"/>
    </row>
    <row r="8" spans="1:9" x14ac:dyDescent="0.2">
      <c r="A8" s="2058"/>
      <c r="B8" s="2058"/>
      <c r="C8" s="2058"/>
      <c r="D8" s="2058"/>
      <c r="E8" s="2058"/>
      <c r="F8" s="2058"/>
      <c r="G8" s="2058"/>
      <c r="H8" s="2058"/>
      <c r="I8" s="2058"/>
    </row>
    <row r="9" spans="1:9" ht="15" x14ac:dyDescent="0.25">
      <c r="A9" s="2309" t="s">
        <v>1124</v>
      </c>
      <c r="B9" s="2309"/>
      <c r="C9" s="2309"/>
      <c r="D9" s="2309"/>
      <c r="E9" s="2309"/>
      <c r="F9" s="2309"/>
      <c r="G9" s="2309"/>
      <c r="H9" s="2309"/>
      <c r="I9" s="2309"/>
    </row>
    <row r="10" spans="1:9" ht="66" customHeight="1" x14ac:dyDescent="0.2">
      <c r="A10" s="2308" t="s">
        <v>1159</v>
      </c>
      <c r="B10" s="2308"/>
      <c r="C10" s="2308"/>
      <c r="D10" s="2308"/>
      <c r="E10" s="2308"/>
      <c r="F10" s="2308"/>
      <c r="G10" s="2308"/>
      <c r="H10" s="2308"/>
      <c r="I10" s="2308"/>
    </row>
    <row r="12" spans="1:9" ht="15" x14ac:dyDescent="0.25">
      <c r="A12" s="2306" t="s">
        <v>1160</v>
      </c>
      <c r="B12" s="2306"/>
      <c r="C12" s="2306"/>
      <c r="D12" s="2306" t="s">
        <v>278</v>
      </c>
      <c r="E12" s="2306"/>
      <c r="F12" s="2306"/>
      <c r="G12" s="2306"/>
      <c r="H12" s="2306"/>
      <c r="I12" s="2306"/>
    </row>
    <row r="13" spans="1:9" x14ac:dyDescent="0.2">
      <c r="A13" s="2058"/>
      <c r="B13" s="2058"/>
      <c r="C13" s="2058"/>
      <c r="D13" s="2058"/>
      <c r="E13" s="2058"/>
      <c r="F13" s="2058"/>
      <c r="G13" s="2058"/>
      <c r="H13" s="2058"/>
      <c r="I13" s="2058"/>
    </row>
    <row r="14" spans="1:9" ht="15" x14ac:dyDescent="0.25">
      <c r="A14" s="2307" t="s">
        <v>1162</v>
      </c>
      <c r="B14" s="2307"/>
      <c r="C14" s="2307"/>
      <c r="D14" s="2307"/>
      <c r="E14" s="2307"/>
      <c r="F14" s="2307"/>
      <c r="G14" s="2307"/>
      <c r="H14" s="2307"/>
      <c r="I14" s="2307"/>
    </row>
    <row r="15" spans="1:9" x14ac:dyDescent="0.2">
      <c r="A15" s="2106" t="s">
        <v>1161</v>
      </c>
      <c r="B15" s="2106"/>
      <c r="C15" s="2106"/>
      <c r="D15" s="2106"/>
      <c r="E15" s="2106"/>
      <c r="F15" s="2106"/>
      <c r="G15" s="2106"/>
      <c r="H15" s="2106"/>
      <c r="I15" s="2106"/>
    </row>
    <row r="16" spans="1:9" s="2058" customFormat="1" x14ac:dyDescent="0.2">
      <c r="A16" s="2106"/>
      <c r="B16" s="2106"/>
      <c r="C16" s="2106"/>
      <c r="D16" s="2106"/>
      <c r="E16" s="2106"/>
      <c r="F16" s="2106"/>
      <c r="G16" s="2106"/>
      <c r="H16" s="2106"/>
      <c r="I16" s="2106"/>
    </row>
    <row r="17" spans="1:9" ht="15" x14ac:dyDescent="0.25">
      <c r="A17" s="2076" t="s">
        <v>1039</v>
      </c>
      <c r="B17" s="2058"/>
      <c r="C17" s="2058"/>
      <c r="D17" s="2058"/>
      <c r="E17" s="2058"/>
      <c r="F17" s="2058"/>
      <c r="G17" s="2058"/>
      <c r="H17" s="2058"/>
      <c r="I17" s="2058"/>
    </row>
    <row r="18" spans="1:9" ht="15" x14ac:dyDescent="0.25">
      <c r="A18" s="2074" t="s">
        <v>1040</v>
      </c>
      <c r="B18" s="2074">
        <v>2022</v>
      </c>
      <c r="C18" s="2074">
        <v>2023</v>
      </c>
      <c r="D18" s="2074">
        <v>2024</v>
      </c>
      <c r="E18" s="2074" t="s">
        <v>984</v>
      </c>
      <c r="F18" s="2074">
        <v>2025</v>
      </c>
      <c r="G18" s="2074">
        <v>2026</v>
      </c>
      <c r="H18" s="2074">
        <v>2027</v>
      </c>
      <c r="I18" s="2058"/>
    </row>
    <row r="19" spans="1:9" ht="15" x14ac:dyDescent="0.25">
      <c r="A19" s="2075" t="s">
        <v>170</v>
      </c>
      <c r="B19" s="2077">
        <f>'Program 4'!H11</f>
        <v>19199</v>
      </c>
      <c r="C19" s="2077">
        <f>'Program 4'!I11</f>
        <v>18516.2</v>
      </c>
      <c r="D19" s="2077">
        <f>'Program 4'!J11</f>
        <v>19250</v>
      </c>
      <c r="E19" s="2077">
        <f>'Program 4'!K11</f>
        <v>19800</v>
      </c>
      <c r="F19" s="2078">
        <f>'Program 4'!L11</f>
        <v>19950</v>
      </c>
      <c r="G19" s="2077">
        <f>'Program 4'!M11</f>
        <v>19950</v>
      </c>
      <c r="H19" s="2077">
        <f>'Program 4'!N11</f>
        <v>19950</v>
      </c>
      <c r="I19" s="2058"/>
    </row>
    <row r="20" spans="1:9" x14ac:dyDescent="0.2">
      <c r="A20" s="2058"/>
      <c r="B20" s="2058"/>
      <c r="C20" s="2058"/>
      <c r="D20" s="2058"/>
      <c r="E20" s="2058"/>
      <c r="F20" s="2058"/>
      <c r="G20" s="2058"/>
      <c r="H20" s="2058"/>
      <c r="I20" s="2058"/>
    </row>
    <row r="21" spans="1:9" x14ac:dyDescent="0.2">
      <c r="A21" s="2316" t="s">
        <v>1044</v>
      </c>
      <c r="B21" s="2316"/>
      <c r="C21" s="2316"/>
      <c r="D21" s="2316"/>
      <c r="E21" s="2316"/>
      <c r="F21" s="2316"/>
      <c r="G21" s="2316"/>
      <c r="H21" s="2316"/>
      <c r="I21" s="2316"/>
    </row>
    <row r="22" spans="1:9" ht="48" customHeight="1" x14ac:dyDescent="0.2">
      <c r="A22" s="2308" t="s">
        <v>1163</v>
      </c>
      <c r="B22" s="2308"/>
      <c r="C22" s="2308"/>
      <c r="D22" s="2308"/>
      <c r="E22" s="2308"/>
      <c r="F22" s="2308"/>
      <c r="G22" s="2308"/>
      <c r="H22" s="2308"/>
      <c r="I22" s="2308"/>
    </row>
    <row r="23" spans="1:9" x14ac:dyDescent="0.2">
      <c r="A23" s="2058"/>
      <c r="B23" s="2058"/>
      <c r="C23" s="2058"/>
      <c r="D23" s="2058"/>
      <c r="E23" s="2058"/>
      <c r="F23" s="2058"/>
      <c r="G23" s="2058"/>
      <c r="H23" s="2058"/>
      <c r="I23" s="2058"/>
    </row>
    <row r="24" spans="1:9" ht="15" x14ac:dyDescent="0.25">
      <c r="A24" s="2076" t="s">
        <v>1051</v>
      </c>
      <c r="B24" s="2058"/>
      <c r="C24" s="2058"/>
      <c r="D24" s="2058"/>
      <c r="E24" s="2058"/>
      <c r="F24" s="2058"/>
      <c r="G24" s="2058"/>
      <c r="H24" s="2080"/>
      <c r="I24" s="2080"/>
    </row>
    <row r="25" spans="1:9" ht="38.25" x14ac:dyDescent="0.2">
      <c r="A25" s="2310" t="s">
        <v>1052</v>
      </c>
      <c r="B25" s="2310"/>
      <c r="C25" s="2310"/>
      <c r="D25" s="2310" t="s">
        <v>1056</v>
      </c>
      <c r="E25" s="2310"/>
      <c r="F25" s="2310"/>
      <c r="G25" s="2087" t="s">
        <v>1054</v>
      </c>
      <c r="H25" s="2087" t="s">
        <v>1055</v>
      </c>
      <c r="I25" s="2087" t="s">
        <v>1053</v>
      </c>
    </row>
    <row r="26" spans="1:9" ht="24.75" customHeight="1" x14ac:dyDescent="0.2">
      <c r="A26" s="2305" t="s">
        <v>1164</v>
      </c>
      <c r="B26" s="2305"/>
      <c r="C26" s="2305"/>
      <c r="D26" s="2305" t="s">
        <v>1165</v>
      </c>
      <c r="E26" s="2305"/>
      <c r="F26" s="2305"/>
      <c r="G26" s="2093">
        <v>0.7</v>
      </c>
      <c r="H26" s="2093">
        <v>0.7</v>
      </c>
      <c r="I26" s="2093">
        <v>0.7</v>
      </c>
    </row>
    <row r="27" spans="1:9" x14ac:dyDescent="0.2">
      <c r="A27" s="2098"/>
      <c r="B27" s="2098"/>
      <c r="C27" s="2098"/>
      <c r="D27" s="2347"/>
      <c r="E27" s="2347"/>
      <c r="F27" s="2347"/>
      <c r="G27" s="2097"/>
      <c r="H27" s="2097"/>
      <c r="I27" s="2097"/>
    </row>
    <row r="28" spans="1:9" ht="15" x14ac:dyDescent="0.25">
      <c r="A28" s="2306" t="s">
        <v>1166</v>
      </c>
      <c r="B28" s="2306"/>
      <c r="C28" s="2306"/>
      <c r="D28" s="2306" t="s">
        <v>283</v>
      </c>
      <c r="E28" s="2306"/>
      <c r="F28" s="2306"/>
      <c r="G28" s="2306"/>
      <c r="H28" s="2306"/>
      <c r="I28" s="2306"/>
    </row>
    <row r="29" spans="1:9" x14ac:dyDescent="0.2">
      <c r="A29" s="2058"/>
      <c r="B29" s="2058"/>
      <c r="C29" s="2058"/>
      <c r="D29" s="2058"/>
      <c r="E29" s="2058"/>
      <c r="F29" s="2058"/>
      <c r="G29" s="2058"/>
      <c r="H29" s="2058"/>
      <c r="I29" s="2058"/>
    </row>
    <row r="30" spans="1:9" ht="15" x14ac:dyDescent="0.25">
      <c r="A30" s="2307" t="s">
        <v>1162</v>
      </c>
      <c r="B30" s="2307"/>
      <c r="C30" s="2307"/>
      <c r="D30" s="2307"/>
      <c r="E30" s="2307"/>
      <c r="F30" s="2307"/>
      <c r="G30" s="2307"/>
      <c r="H30" s="2307"/>
      <c r="I30" s="2307"/>
    </row>
    <row r="31" spans="1:9" ht="15" x14ac:dyDescent="0.2">
      <c r="A31" s="2105" t="s">
        <v>1167</v>
      </c>
      <c r="B31" s="2106"/>
      <c r="C31" s="2106"/>
      <c r="D31" s="2106"/>
      <c r="E31" s="2106"/>
      <c r="F31" s="2106"/>
      <c r="G31" s="2106"/>
      <c r="H31" s="2106"/>
      <c r="I31" s="2106"/>
    </row>
    <row r="32" spans="1:9" x14ac:dyDescent="0.2">
      <c r="A32" s="2106"/>
      <c r="B32" s="2106"/>
      <c r="C32" s="2106"/>
      <c r="D32" s="2106"/>
      <c r="E32" s="2106"/>
      <c r="F32" s="2106"/>
      <c r="G32" s="2106"/>
      <c r="H32" s="2106"/>
      <c r="I32" s="2106"/>
    </row>
    <row r="33" spans="1:9" ht="15" x14ac:dyDescent="0.25">
      <c r="A33" s="2076" t="s">
        <v>1039</v>
      </c>
      <c r="B33" s="2058"/>
      <c r="C33" s="2058"/>
      <c r="D33" s="2058"/>
      <c r="E33" s="2058"/>
      <c r="F33" s="2058"/>
      <c r="G33" s="2058"/>
      <c r="H33" s="2058"/>
      <c r="I33" s="2058"/>
    </row>
    <row r="34" spans="1:9" ht="15" x14ac:dyDescent="0.25">
      <c r="A34" s="2074" t="s">
        <v>1040</v>
      </c>
      <c r="B34" s="2074">
        <v>2022</v>
      </c>
      <c r="C34" s="2074">
        <v>2023</v>
      </c>
      <c r="D34" s="2074">
        <v>2024</v>
      </c>
      <c r="E34" s="2074" t="s">
        <v>984</v>
      </c>
      <c r="F34" s="2074">
        <v>2025</v>
      </c>
      <c r="G34" s="2074">
        <v>2026</v>
      </c>
      <c r="H34" s="2074">
        <v>2027</v>
      </c>
      <c r="I34" s="2058"/>
    </row>
    <row r="35" spans="1:9" ht="15" x14ac:dyDescent="0.25">
      <c r="A35" s="2075" t="s">
        <v>170</v>
      </c>
      <c r="B35" s="2077">
        <f>'Program 4'!H20</f>
        <v>3000</v>
      </c>
      <c r="C35" s="2077">
        <f>'Program 4'!I20</f>
        <v>1925.14</v>
      </c>
      <c r="D35" s="2077">
        <f>'Program 4'!J20</f>
        <v>3000</v>
      </c>
      <c r="E35" s="2077">
        <f>'Program 4'!K20</f>
        <v>12242</v>
      </c>
      <c r="F35" s="2078">
        <f>'Program 4'!L20</f>
        <v>10458</v>
      </c>
      <c r="G35" s="2077">
        <f>'Program 4'!M20</f>
        <v>11000</v>
      </c>
      <c r="H35" s="2077">
        <f>'Program 4'!N20</f>
        <v>11000</v>
      </c>
      <c r="I35" s="2058"/>
    </row>
    <row r="36" spans="1:9" x14ac:dyDescent="0.2">
      <c r="A36" s="2058"/>
      <c r="B36" s="2058"/>
      <c r="C36" s="2058"/>
      <c r="D36" s="2058"/>
      <c r="E36" s="2058"/>
      <c r="F36" s="2058"/>
      <c r="G36" s="2058"/>
      <c r="H36" s="2058"/>
      <c r="I36" s="2058"/>
    </row>
    <row r="37" spans="1:9" ht="15" x14ac:dyDescent="0.25">
      <c r="A37" s="2309" t="s">
        <v>1181</v>
      </c>
      <c r="B37" s="2309"/>
      <c r="C37" s="2309"/>
      <c r="D37" s="2309"/>
      <c r="E37" s="2309"/>
      <c r="F37" s="2309"/>
      <c r="G37" s="2309"/>
      <c r="H37" s="2309"/>
      <c r="I37" s="2309"/>
    </row>
    <row r="38" spans="1:9" ht="60" customHeight="1" x14ac:dyDescent="0.2">
      <c r="A38" s="2308" t="s">
        <v>1168</v>
      </c>
      <c r="B38" s="2308"/>
      <c r="C38" s="2308"/>
      <c r="D38" s="2308"/>
      <c r="E38" s="2308"/>
      <c r="F38" s="2308"/>
      <c r="G38" s="2308"/>
      <c r="H38" s="2308"/>
      <c r="I38" s="2308"/>
    </row>
    <row r="39" spans="1:9" x14ac:dyDescent="0.2">
      <c r="A39" s="2058"/>
      <c r="B39" s="2058"/>
      <c r="C39" s="2058"/>
      <c r="D39" s="2058"/>
      <c r="E39" s="2058"/>
      <c r="F39" s="2058"/>
      <c r="G39" s="2058"/>
      <c r="H39" s="2058"/>
      <c r="I39" s="2058"/>
    </row>
    <row r="40" spans="1:9" ht="15" x14ac:dyDescent="0.25">
      <c r="A40" s="2076" t="s">
        <v>1051</v>
      </c>
      <c r="B40" s="2058"/>
      <c r="C40" s="2058"/>
      <c r="D40" s="2058"/>
      <c r="E40" s="2058"/>
      <c r="F40" s="2058"/>
      <c r="G40" s="2058"/>
      <c r="H40" s="2080"/>
      <c r="I40" s="2080"/>
    </row>
    <row r="41" spans="1:9" ht="38.25" x14ac:dyDescent="0.2">
      <c r="A41" s="2310" t="s">
        <v>1052</v>
      </c>
      <c r="B41" s="2310"/>
      <c r="C41" s="2310"/>
      <c r="D41" s="2310" t="s">
        <v>1056</v>
      </c>
      <c r="E41" s="2310"/>
      <c r="F41" s="2310"/>
      <c r="G41" s="2087" t="s">
        <v>1054</v>
      </c>
      <c r="H41" s="2087" t="s">
        <v>1055</v>
      </c>
      <c r="I41" s="2087" t="s">
        <v>1053</v>
      </c>
    </row>
    <row r="42" spans="1:9" ht="24.75" customHeight="1" x14ac:dyDescent="0.2">
      <c r="A42" s="2340" t="s">
        <v>1175</v>
      </c>
      <c r="B42" s="2340"/>
      <c r="C42" s="2340"/>
      <c r="D42" s="2348" t="s">
        <v>1169</v>
      </c>
      <c r="E42" s="2348"/>
      <c r="F42" s="2348"/>
      <c r="G42" s="2100" t="s">
        <v>1170</v>
      </c>
      <c r="H42" s="2100" t="s">
        <v>1170</v>
      </c>
      <c r="I42" s="2100" t="s">
        <v>1170</v>
      </c>
    </row>
    <row r="43" spans="1:9" ht="24.75" customHeight="1" x14ac:dyDescent="0.2">
      <c r="A43" s="2340"/>
      <c r="B43" s="2340"/>
      <c r="C43" s="2340"/>
      <c r="D43" s="2348" t="s">
        <v>1171</v>
      </c>
      <c r="E43" s="2348"/>
      <c r="F43" s="2348"/>
      <c r="G43" s="2100">
        <v>21</v>
      </c>
      <c r="H43" s="2100">
        <v>21</v>
      </c>
      <c r="I43" s="2100">
        <v>21</v>
      </c>
    </row>
    <row r="44" spans="1:9" ht="24.75" customHeight="1" x14ac:dyDescent="0.2">
      <c r="A44" s="2311" t="s">
        <v>1177</v>
      </c>
      <c r="B44" s="2311"/>
      <c r="C44" s="2311"/>
      <c r="D44" s="2305" t="s">
        <v>1172</v>
      </c>
      <c r="E44" s="2305"/>
      <c r="F44" s="2305"/>
      <c r="G44" s="2100">
        <v>10</v>
      </c>
      <c r="H44" s="2100">
        <v>10</v>
      </c>
      <c r="I44" s="2100">
        <v>10</v>
      </c>
    </row>
    <row r="45" spans="1:9" ht="25.5" customHeight="1" x14ac:dyDescent="0.2">
      <c r="A45" s="2311"/>
      <c r="B45" s="2311"/>
      <c r="C45" s="2311"/>
      <c r="D45" s="2305" t="s">
        <v>1173</v>
      </c>
      <c r="E45" s="2305"/>
      <c r="F45" s="2305"/>
      <c r="G45" s="2100">
        <v>16</v>
      </c>
      <c r="H45" s="2100">
        <v>16</v>
      </c>
      <c r="I45" s="2100">
        <v>16</v>
      </c>
    </row>
    <row r="46" spans="1:9" ht="24.75" customHeight="1" x14ac:dyDescent="0.2">
      <c r="A46" s="2305" t="s">
        <v>1176</v>
      </c>
      <c r="B46" s="2305"/>
      <c r="C46" s="2305"/>
      <c r="D46" s="2305" t="s">
        <v>1174</v>
      </c>
      <c r="E46" s="2305"/>
      <c r="F46" s="2305"/>
      <c r="G46" s="2081" t="s">
        <v>1063</v>
      </c>
      <c r="H46" s="2081" t="s">
        <v>1063</v>
      </c>
      <c r="I46" s="2081" t="s">
        <v>1063</v>
      </c>
    </row>
    <row r="47" spans="1:9" ht="25.5" customHeight="1" x14ac:dyDescent="0.2">
      <c r="A47" s="2305" t="s">
        <v>1179</v>
      </c>
      <c r="B47" s="2305"/>
      <c r="C47" s="2305"/>
      <c r="D47" s="2305" t="s">
        <v>1178</v>
      </c>
      <c r="E47" s="2305"/>
      <c r="F47" s="2305"/>
      <c r="G47" s="2100">
        <v>4</v>
      </c>
      <c r="H47" s="2100">
        <v>5</v>
      </c>
      <c r="I47" s="2100">
        <v>6</v>
      </c>
    </row>
    <row r="48" spans="1:9" x14ac:dyDescent="0.2">
      <c r="A48" s="2068"/>
      <c r="B48" s="2068"/>
      <c r="C48" s="2068"/>
      <c r="D48" s="2068"/>
      <c r="E48" s="2068"/>
      <c r="F48" s="2068"/>
      <c r="G48" s="2068"/>
      <c r="H48" s="2068"/>
      <c r="I48" s="2068"/>
    </row>
    <row r="49" spans="1:9" ht="15" x14ac:dyDescent="0.25">
      <c r="A49" s="2306" t="s">
        <v>1180</v>
      </c>
      <c r="B49" s="2306"/>
      <c r="C49" s="2306"/>
      <c r="D49" s="2306" t="s">
        <v>289</v>
      </c>
      <c r="E49" s="2306"/>
      <c r="F49" s="2306"/>
      <c r="G49" s="2306"/>
      <c r="H49" s="2306"/>
      <c r="I49" s="2306"/>
    </row>
    <row r="50" spans="1:9" x14ac:dyDescent="0.2">
      <c r="A50" s="2058"/>
      <c r="B50" s="2058"/>
      <c r="C50" s="2058"/>
      <c r="D50" s="2058"/>
      <c r="E50" s="2058"/>
      <c r="F50" s="2058"/>
      <c r="G50" s="2058"/>
      <c r="H50" s="2058"/>
      <c r="I50" s="2058"/>
    </row>
    <row r="51" spans="1:9" ht="15" x14ac:dyDescent="0.25">
      <c r="A51" s="2307" t="s">
        <v>1162</v>
      </c>
      <c r="B51" s="2307"/>
      <c r="C51" s="2307"/>
      <c r="D51" s="2307"/>
      <c r="E51" s="2307"/>
      <c r="F51" s="2307"/>
      <c r="G51" s="2307"/>
      <c r="H51" s="2307"/>
      <c r="I51" s="2307"/>
    </row>
    <row r="52" spans="1:9" ht="15" x14ac:dyDescent="0.2">
      <c r="A52" s="2105" t="s">
        <v>1182</v>
      </c>
      <c r="B52" s="2106"/>
      <c r="C52" s="2106"/>
      <c r="D52" s="2106"/>
      <c r="E52" s="2106"/>
      <c r="F52" s="2106"/>
      <c r="G52" s="2106"/>
      <c r="H52" s="2106"/>
      <c r="I52" s="2106"/>
    </row>
    <row r="53" spans="1:9" x14ac:dyDescent="0.2">
      <c r="A53" s="2106"/>
      <c r="B53" s="2106"/>
      <c r="C53" s="2106"/>
      <c r="D53" s="2106"/>
      <c r="E53" s="2106"/>
      <c r="F53" s="2106"/>
      <c r="G53" s="2106"/>
      <c r="H53" s="2106"/>
      <c r="I53" s="2106"/>
    </row>
    <row r="54" spans="1:9" ht="15" x14ac:dyDescent="0.25">
      <c r="A54" s="2076" t="s">
        <v>1039</v>
      </c>
      <c r="B54" s="2058"/>
      <c r="C54" s="2058"/>
      <c r="D54" s="2058"/>
      <c r="E54" s="2058"/>
      <c r="F54" s="2058"/>
      <c r="G54" s="2058"/>
      <c r="H54" s="2058"/>
      <c r="I54" s="2058"/>
    </row>
    <row r="55" spans="1:9" ht="15" x14ac:dyDescent="0.25">
      <c r="A55" s="2074" t="s">
        <v>1040</v>
      </c>
      <c r="B55" s="2074">
        <v>2022</v>
      </c>
      <c r="C55" s="2074">
        <v>2023</v>
      </c>
      <c r="D55" s="2074">
        <v>2024</v>
      </c>
      <c r="E55" s="2074" t="s">
        <v>984</v>
      </c>
      <c r="F55" s="2074">
        <v>2025</v>
      </c>
      <c r="G55" s="2074">
        <v>2026</v>
      </c>
      <c r="H55" s="2074">
        <v>2027</v>
      </c>
      <c r="I55" s="2058"/>
    </row>
    <row r="56" spans="1:9" ht="15" x14ac:dyDescent="0.25">
      <c r="A56" s="2075" t="s">
        <v>170</v>
      </c>
      <c r="B56" s="2077">
        <f>'Program 4'!H29</f>
        <v>3000</v>
      </c>
      <c r="C56" s="2077">
        <f>'Program 4'!I29</f>
        <v>2292</v>
      </c>
      <c r="D56" s="2077">
        <f>'Program 4'!J29</f>
        <v>2000</v>
      </c>
      <c r="E56" s="2077">
        <f>'Program 4'!K29</f>
        <v>3500</v>
      </c>
      <c r="F56" s="2078">
        <f>'Program 4'!L29</f>
        <v>5000</v>
      </c>
      <c r="G56" s="2077">
        <f>'Program 4'!M31</f>
        <v>5000</v>
      </c>
      <c r="H56" s="2077">
        <f>'Program 4'!N29</f>
        <v>5000</v>
      </c>
      <c r="I56" s="2058"/>
    </row>
    <row r="57" spans="1:9" x14ac:dyDescent="0.2">
      <c r="A57" s="2058"/>
      <c r="B57" s="2058"/>
      <c r="C57" s="2058"/>
      <c r="D57" s="2058"/>
      <c r="E57" s="2058"/>
      <c r="F57" s="2058"/>
      <c r="G57" s="2058"/>
      <c r="H57" s="2058"/>
      <c r="I57" s="2058"/>
    </row>
    <row r="58" spans="1:9" ht="15" x14ac:dyDescent="0.25">
      <c r="A58" s="2309" t="s">
        <v>1181</v>
      </c>
      <c r="B58" s="2309"/>
      <c r="C58" s="2309"/>
      <c r="D58" s="2309"/>
      <c r="E58" s="2309"/>
      <c r="F58" s="2309"/>
      <c r="G58" s="2309"/>
      <c r="H58" s="2309"/>
      <c r="I58" s="2309"/>
    </row>
    <row r="59" spans="1:9" ht="36" customHeight="1" x14ac:dyDescent="0.2">
      <c r="A59" s="2308" t="s">
        <v>1183</v>
      </c>
      <c r="B59" s="2308"/>
      <c r="C59" s="2308"/>
      <c r="D59" s="2308"/>
      <c r="E59" s="2308"/>
      <c r="F59" s="2308"/>
      <c r="G59" s="2308"/>
      <c r="H59" s="2308"/>
      <c r="I59" s="2308"/>
    </row>
    <row r="60" spans="1:9" x14ac:dyDescent="0.2">
      <c r="A60" s="2058"/>
      <c r="B60" s="2058"/>
      <c r="C60" s="2058"/>
      <c r="D60" s="2058"/>
      <c r="E60" s="2058"/>
      <c r="F60" s="2058"/>
      <c r="G60" s="2058"/>
      <c r="H60" s="2058"/>
      <c r="I60" s="2058"/>
    </row>
    <row r="61" spans="1:9" ht="15" x14ac:dyDescent="0.25">
      <c r="A61" s="2076" t="s">
        <v>1051</v>
      </c>
      <c r="B61" s="2058"/>
      <c r="C61" s="2058"/>
      <c r="D61" s="2058"/>
      <c r="E61" s="2058"/>
      <c r="F61" s="2058"/>
      <c r="G61" s="2058"/>
      <c r="H61" s="2080"/>
      <c r="I61" s="2080"/>
    </row>
    <row r="62" spans="1:9" ht="38.25" x14ac:dyDescent="0.2">
      <c r="A62" s="2310" t="s">
        <v>1052</v>
      </c>
      <c r="B62" s="2310"/>
      <c r="C62" s="2310"/>
      <c r="D62" s="2310" t="s">
        <v>1056</v>
      </c>
      <c r="E62" s="2310"/>
      <c r="F62" s="2310"/>
      <c r="G62" s="2087" t="s">
        <v>1054</v>
      </c>
      <c r="H62" s="2087" t="s">
        <v>1055</v>
      </c>
      <c r="I62" s="2087" t="s">
        <v>1053</v>
      </c>
    </row>
    <row r="63" spans="1:9" ht="56.25" customHeight="1" x14ac:dyDescent="0.2">
      <c r="A63" s="2348" t="s">
        <v>1185</v>
      </c>
      <c r="B63" s="2348"/>
      <c r="C63" s="2348"/>
      <c r="D63" s="2349" t="s">
        <v>1184</v>
      </c>
      <c r="E63" s="2349"/>
      <c r="F63" s="2349"/>
      <c r="G63" s="2100">
        <v>2</v>
      </c>
      <c r="H63" s="2100">
        <v>2</v>
      </c>
      <c r="I63" s="2100">
        <v>2</v>
      </c>
    </row>
    <row r="64" spans="1:9" ht="25.5" customHeight="1" x14ac:dyDescent="0.2">
      <c r="A64" s="2311" t="s">
        <v>1188</v>
      </c>
      <c r="B64" s="2311"/>
      <c r="C64" s="2311"/>
      <c r="D64" s="2305" t="s">
        <v>1186</v>
      </c>
      <c r="E64" s="2305"/>
      <c r="F64" s="2305"/>
      <c r="G64" s="2100">
        <v>3</v>
      </c>
      <c r="H64" s="2100">
        <v>3</v>
      </c>
      <c r="I64" s="2100">
        <v>3</v>
      </c>
    </row>
    <row r="65" spans="1:9" ht="12.75" customHeight="1" x14ac:dyDescent="0.2">
      <c r="A65" s="2311"/>
      <c r="B65" s="2311"/>
      <c r="C65" s="2311"/>
      <c r="D65" s="2312" t="s">
        <v>1187</v>
      </c>
      <c r="E65" s="2312"/>
      <c r="F65" s="2312"/>
      <c r="G65" s="2100">
        <v>3</v>
      </c>
      <c r="H65" s="2100">
        <v>3</v>
      </c>
      <c r="I65" s="2100">
        <v>3</v>
      </c>
    </row>
    <row r="66" spans="1:9" x14ac:dyDescent="0.2">
      <c r="A66" s="2068"/>
      <c r="B66" s="2068"/>
      <c r="C66" s="2068"/>
      <c r="D66" s="2068"/>
      <c r="E66" s="2068"/>
      <c r="F66" s="2068"/>
      <c r="G66" s="2068"/>
      <c r="H66" s="2068"/>
      <c r="I66" s="2068"/>
    </row>
    <row r="67" spans="1:9" ht="15" x14ac:dyDescent="0.25">
      <c r="A67" s="2306" t="s">
        <v>1189</v>
      </c>
      <c r="B67" s="2306"/>
      <c r="C67" s="2306"/>
      <c r="D67" s="2306" t="s">
        <v>292</v>
      </c>
      <c r="E67" s="2306"/>
      <c r="F67" s="2306"/>
      <c r="G67" s="2306"/>
      <c r="H67" s="2306"/>
      <c r="I67" s="2306"/>
    </row>
    <row r="68" spans="1:9" x14ac:dyDescent="0.2">
      <c r="A68" s="2058"/>
      <c r="B68" s="2058"/>
      <c r="C68" s="2058"/>
      <c r="D68" s="2058"/>
      <c r="E68" s="2058"/>
      <c r="F68" s="2058"/>
      <c r="G68" s="2058"/>
      <c r="H68" s="2058"/>
      <c r="I68" s="2058"/>
    </row>
    <row r="69" spans="1:9" ht="15" x14ac:dyDescent="0.25">
      <c r="A69" s="2307" t="s">
        <v>1162</v>
      </c>
      <c r="B69" s="2307"/>
      <c r="C69" s="2307"/>
      <c r="D69" s="2307"/>
      <c r="E69" s="2307"/>
      <c r="F69" s="2307"/>
      <c r="G69" s="2307"/>
      <c r="H69" s="2307"/>
      <c r="I69" s="2307"/>
    </row>
    <row r="70" spans="1:9" ht="15" x14ac:dyDescent="0.2">
      <c r="A70" s="2105" t="s">
        <v>1190</v>
      </c>
      <c r="B70" s="2106"/>
      <c r="C70" s="2106"/>
      <c r="D70" s="2106"/>
      <c r="E70" s="2106"/>
      <c r="F70" s="2106"/>
      <c r="G70" s="2106"/>
      <c r="H70" s="2106"/>
      <c r="I70" s="2106"/>
    </row>
    <row r="71" spans="1:9" x14ac:dyDescent="0.2">
      <c r="A71" s="2106"/>
      <c r="B71" s="2106"/>
      <c r="C71" s="2106"/>
      <c r="D71" s="2106"/>
      <c r="E71" s="2106"/>
      <c r="F71" s="2106"/>
      <c r="G71" s="2106"/>
      <c r="H71" s="2106"/>
      <c r="I71" s="2106"/>
    </row>
    <row r="72" spans="1:9" ht="15" x14ac:dyDescent="0.25">
      <c r="A72" s="2076" t="s">
        <v>1039</v>
      </c>
      <c r="B72" s="2058"/>
      <c r="C72" s="2058"/>
      <c r="D72" s="2058"/>
      <c r="E72" s="2058"/>
      <c r="F72" s="2058"/>
      <c r="G72" s="2058"/>
      <c r="H72" s="2058"/>
      <c r="I72" s="2058"/>
    </row>
    <row r="73" spans="1:9" ht="15" x14ac:dyDescent="0.25">
      <c r="A73" s="2074" t="s">
        <v>1040</v>
      </c>
      <c r="B73" s="2074">
        <v>2022</v>
      </c>
      <c r="C73" s="2074">
        <v>2023</v>
      </c>
      <c r="D73" s="2074">
        <v>2024</v>
      </c>
      <c r="E73" s="2074" t="s">
        <v>984</v>
      </c>
      <c r="F73" s="2074">
        <v>2025</v>
      </c>
      <c r="G73" s="2074">
        <v>2026</v>
      </c>
      <c r="H73" s="2074">
        <v>2027</v>
      </c>
      <c r="I73" s="2058"/>
    </row>
    <row r="74" spans="1:9" ht="15" x14ac:dyDescent="0.25">
      <c r="A74" s="2075" t="s">
        <v>170</v>
      </c>
      <c r="B74" s="2077">
        <f>'Program 4'!H34</f>
        <v>135560</v>
      </c>
      <c r="C74" s="2077">
        <f>'Program 4'!I34</f>
        <v>141896.71000000002</v>
      </c>
      <c r="D74" s="2077">
        <f>'Program 4'!J34</f>
        <v>136300</v>
      </c>
      <c r="E74" s="2077">
        <f>'Program 4'!K34</f>
        <v>142750</v>
      </c>
      <c r="F74" s="2078">
        <f>'Program 4'!L34</f>
        <v>138550</v>
      </c>
      <c r="G74" s="2077">
        <f>'Program 4'!M34</f>
        <v>139450</v>
      </c>
      <c r="H74" s="2077">
        <f>'Program 4'!N34</f>
        <v>138550</v>
      </c>
      <c r="I74" s="2058"/>
    </row>
    <row r="75" spans="1:9" x14ac:dyDescent="0.2">
      <c r="A75" s="2068"/>
      <c r="B75" s="2068"/>
      <c r="C75" s="2068"/>
      <c r="D75" s="2068"/>
      <c r="E75" s="2068"/>
      <c r="F75" s="2068"/>
      <c r="G75" s="2068"/>
      <c r="H75" s="2068"/>
      <c r="I75" s="2068"/>
    </row>
    <row r="76" spans="1:9" x14ac:dyDescent="0.2">
      <c r="A76" s="2068"/>
      <c r="B76" s="2068"/>
      <c r="C76" s="2068"/>
      <c r="D76" s="2068"/>
      <c r="E76" s="2068"/>
      <c r="F76" s="2068"/>
      <c r="G76" s="2068"/>
      <c r="H76" s="2068"/>
      <c r="I76" s="2068"/>
    </row>
    <row r="77" spans="1:9" x14ac:dyDescent="0.2">
      <c r="A77" s="2068"/>
      <c r="B77" s="2068"/>
      <c r="C77" s="2068"/>
      <c r="D77" s="2068"/>
      <c r="E77" s="2068"/>
      <c r="F77" s="2068"/>
      <c r="G77" s="2068"/>
      <c r="H77" s="2068"/>
      <c r="I77" s="2068"/>
    </row>
    <row r="78" spans="1:9" x14ac:dyDescent="0.2">
      <c r="A78" s="2068"/>
      <c r="B78" s="2068"/>
      <c r="C78" s="2068"/>
      <c r="D78" s="2068"/>
      <c r="E78" s="2068"/>
      <c r="F78" s="2068"/>
      <c r="G78" s="2068"/>
      <c r="H78" s="2068"/>
      <c r="I78" s="2068"/>
    </row>
    <row r="79" spans="1:9" x14ac:dyDescent="0.2">
      <c r="A79" s="2068"/>
      <c r="B79" s="2068"/>
      <c r="C79" s="2068"/>
      <c r="D79" s="2068"/>
      <c r="E79" s="2068"/>
      <c r="F79" s="2068"/>
      <c r="G79" s="2068"/>
      <c r="H79" s="2068"/>
      <c r="I79" s="2068"/>
    </row>
    <row r="80" spans="1:9" x14ac:dyDescent="0.2">
      <c r="A80" s="2068"/>
      <c r="B80" s="2068"/>
      <c r="C80" s="2068"/>
      <c r="D80" s="2068"/>
      <c r="E80" s="2068"/>
      <c r="F80" s="2068"/>
      <c r="G80" s="2068"/>
      <c r="H80" s="2068"/>
      <c r="I80" s="2068"/>
    </row>
    <row r="81" spans="1:9" ht="15" x14ac:dyDescent="0.25">
      <c r="A81" s="2309" t="s">
        <v>1181</v>
      </c>
      <c r="B81" s="2309"/>
      <c r="C81" s="2309"/>
      <c r="D81" s="2309"/>
      <c r="E81" s="2309"/>
      <c r="F81" s="2309"/>
      <c r="G81" s="2309"/>
      <c r="H81" s="2309"/>
      <c r="I81" s="2309"/>
    </row>
    <row r="82" spans="1:9" ht="66" customHeight="1" x14ac:dyDescent="0.2">
      <c r="A82" s="2308" t="s">
        <v>1191</v>
      </c>
      <c r="B82" s="2308"/>
      <c r="C82" s="2308"/>
      <c r="D82" s="2308"/>
      <c r="E82" s="2308"/>
      <c r="F82" s="2308"/>
      <c r="G82" s="2308"/>
      <c r="H82" s="2308"/>
      <c r="I82" s="2308"/>
    </row>
    <row r="83" spans="1:9" x14ac:dyDescent="0.2">
      <c r="A83" s="2068"/>
      <c r="B83" s="2068"/>
      <c r="C83" s="2068"/>
      <c r="D83" s="2068"/>
      <c r="E83" s="2068"/>
      <c r="F83" s="2068"/>
      <c r="G83" s="2068"/>
      <c r="H83" s="2068"/>
      <c r="I83" s="2068"/>
    </row>
    <row r="84" spans="1:9" ht="15" x14ac:dyDescent="0.25">
      <c r="A84" s="2076" t="s">
        <v>1051</v>
      </c>
      <c r="B84" s="2058"/>
      <c r="C84" s="2058"/>
      <c r="D84" s="2058"/>
      <c r="E84" s="2058"/>
      <c r="F84" s="2058"/>
      <c r="G84" s="2058"/>
      <c r="H84" s="2080"/>
      <c r="I84" s="2080"/>
    </row>
    <row r="85" spans="1:9" ht="38.25" x14ac:dyDescent="0.2">
      <c r="A85" s="2310" t="s">
        <v>1052</v>
      </c>
      <c r="B85" s="2310"/>
      <c r="C85" s="2310"/>
      <c r="D85" s="2310" t="s">
        <v>1056</v>
      </c>
      <c r="E85" s="2310"/>
      <c r="F85" s="2310"/>
      <c r="G85" s="2087" t="s">
        <v>1054</v>
      </c>
      <c r="H85" s="2087" t="s">
        <v>1055</v>
      </c>
      <c r="I85" s="2087" t="s">
        <v>1053</v>
      </c>
    </row>
    <row r="86" spans="1:9" ht="12.75" customHeight="1" x14ac:dyDescent="0.2">
      <c r="A86" s="2305" t="s">
        <v>1194</v>
      </c>
      <c r="B86" s="2305"/>
      <c r="C86" s="2305"/>
      <c r="D86" s="2082" t="s">
        <v>1192</v>
      </c>
      <c r="E86" s="2109"/>
      <c r="F86" s="2109"/>
      <c r="G86" s="2081">
        <v>10</v>
      </c>
      <c r="H86" s="2081">
        <v>10</v>
      </c>
      <c r="I86" s="2081">
        <v>10</v>
      </c>
    </row>
    <row r="87" spans="1:9" ht="25.5" customHeight="1" x14ac:dyDescent="0.2">
      <c r="A87" s="2305"/>
      <c r="B87" s="2305"/>
      <c r="C87" s="2305"/>
      <c r="D87" s="2305" t="s">
        <v>1193</v>
      </c>
      <c r="E87" s="2305"/>
      <c r="F87" s="2305"/>
      <c r="G87" s="2100" t="s">
        <v>1063</v>
      </c>
      <c r="H87" s="2100" t="s">
        <v>1063</v>
      </c>
      <c r="I87" s="2100" t="s">
        <v>1063</v>
      </c>
    </row>
    <row r="88" spans="1:9" ht="12.75" customHeight="1" x14ac:dyDescent="0.2">
      <c r="A88" s="2311" t="s">
        <v>1200</v>
      </c>
      <c r="B88" s="2311"/>
      <c r="C88" s="2311"/>
      <c r="D88" s="2207" t="s">
        <v>1195</v>
      </c>
      <c r="E88" s="2207"/>
      <c r="F88" s="2207"/>
      <c r="G88" s="2081">
        <v>4</v>
      </c>
      <c r="H88" s="2081">
        <v>4</v>
      </c>
      <c r="I88" s="2081">
        <v>4</v>
      </c>
    </row>
    <row r="89" spans="1:9" ht="23.25" customHeight="1" x14ac:dyDescent="0.2">
      <c r="A89" s="2311"/>
      <c r="B89" s="2311"/>
      <c r="C89" s="2311"/>
      <c r="D89" s="2305" t="s">
        <v>1196</v>
      </c>
      <c r="E89" s="2305"/>
      <c r="F89" s="2305"/>
      <c r="G89" s="2100">
        <v>6</v>
      </c>
      <c r="H89" s="2100">
        <v>6</v>
      </c>
      <c r="I89" s="2100">
        <v>6</v>
      </c>
    </row>
    <row r="90" spans="1:9" ht="25.5" customHeight="1" x14ac:dyDescent="0.2">
      <c r="A90" s="2311"/>
      <c r="B90" s="2311"/>
      <c r="C90" s="2311"/>
      <c r="D90" s="2305" t="s">
        <v>1197</v>
      </c>
      <c r="E90" s="2305"/>
      <c r="F90" s="2305"/>
      <c r="G90" s="2100">
        <v>6</v>
      </c>
      <c r="H90" s="2100">
        <v>6</v>
      </c>
      <c r="I90" s="2100">
        <v>6</v>
      </c>
    </row>
    <row r="91" spans="1:9" ht="12.75" customHeight="1" x14ac:dyDescent="0.2">
      <c r="A91" s="2311"/>
      <c r="B91" s="2311"/>
      <c r="C91" s="2311"/>
      <c r="D91" s="2205" t="s">
        <v>1198</v>
      </c>
      <c r="E91" s="2205"/>
      <c r="F91" s="2205"/>
      <c r="G91" s="2084" t="s">
        <v>1199</v>
      </c>
      <c r="H91" s="2084" t="s">
        <v>1199</v>
      </c>
      <c r="I91" s="2084" t="s">
        <v>1199</v>
      </c>
    </row>
    <row r="92" spans="1:9" ht="25.5" customHeight="1" x14ac:dyDescent="0.2">
      <c r="A92" s="2305" t="s">
        <v>1203</v>
      </c>
      <c r="B92" s="2305"/>
      <c r="C92" s="2305"/>
      <c r="D92" s="2311" t="s">
        <v>1201</v>
      </c>
      <c r="E92" s="2311"/>
      <c r="F92" s="2311"/>
      <c r="G92" s="2100">
        <v>50</v>
      </c>
      <c r="H92" s="2100">
        <v>50</v>
      </c>
      <c r="I92" s="2100">
        <v>50</v>
      </c>
    </row>
    <row r="93" spans="1:9" ht="37.5" customHeight="1" x14ac:dyDescent="0.2">
      <c r="A93" s="2305" t="s">
        <v>1204</v>
      </c>
      <c r="B93" s="2305"/>
      <c r="C93" s="2305"/>
      <c r="D93" s="2342" t="s">
        <v>1202</v>
      </c>
      <c r="E93" s="2342"/>
      <c r="F93" s="2342"/>
      <c r="G93" s="2100">
        <v>200</v>
      </c>
      <c r="H93" s="2100">
        <v>200</v>
      </c>
      <c r="I93" s="2100">
        <v>200</v>
      </c>
    </row>
    <row r="94" spans="1:9" ht="12.75" customHeight="1" x14ac:dyDescent="0.2">
      <c r="A94" s="2110"/>
      <c r="B94" s="2099"/>
      <c r="C94" s="2099"/>
      <c r="D94" s="2098"/>
      <c r="E94" s="2098"/>
      <c r="F94" s="2098"/>
      <c r="G94" s="2097"/>
      <c r="H94" s="2097"/>
      <c r="I94" s="2097"/>
    </row>
    <row r="95" spans="1:9" ht="25.5" customHeight="1" x14ac:dyDescent="0.2">
      <c r="A95" s="2107"/>
      <c r="B95" s="2107"/>
      <c r="C95" s="2107"/>
      <c r="D95" s="2098"/>
      <c r="E95" s="2098"/>
      <c r="F95" s="2098"/>
      <c r="G95" s="2111"/>
      <c r="H95" s="2111"/>
      <c r="I95" s="2111"/>
    </row>
  </sheetData>
  <mergeCells count="62">
    <mergeCell ref="D87:F87"/>
    <mergeCell ref="A86:C87"/>
    <mergeCell ref="A88:C91"/>
    <mergeCell ref="A92:C92"/>
    <mergeCell ref="A93:C93"/>
    <mergeCell ref="D91:F91"/>
    <mergeCell ref="D92:F92"/>
    <mergeCell ref="D93:F93"/>
    <mergeCell ref="D88:F88"/>
    <mergeCell ref="D89:F89"/>
    <mergeCell ref="D90:F90"/>
    <mergeCell ref="A69:I69"/>
    <mergeCell ref="A81:I81"/>
    <mergeCell ref="A82:I82"/>
    <mergeCell ref="A85:C85"/>
    <mergeCell ref="D85:F85"/>
    <mergeCell ref="D65:F65"/>
    <mergeCell ref="A67:C67"/>
    <mergeCell ref="A64:C65"/>
    <mergeCell ref="D67:I67"/>
    <mergeCell ref="A59:I59"/>
    <mergeCell ref="A62:C62"/>
    <mergeCell ref="D62:F62"/>
    <mergeCell ref="D63:F63"/>
    <mergeCell ref="D64:F64"/>
    <mergeCell ref="A63:C63"/>
    <mergeCell ref="A58:I58"/>
    <mergeCell ref="D43:F43"/>
    <mergeCell ref="A42:C43"/>
    <mergeCell ref="D44:F44"/>
    <mergeCell ref="D45:F45"/>
    <mergeCell ref="A44:C45"/>
    <mergeCell ref="D46:F46"/>
    <mergeCell ref="A46:C46"/>
    <mergeCell ref="D47:F47"/>
    <mergeCell ref="A47:C47"/>
    <mergeCell ref="A49:C49"/>
    <mergeCell ref="D49:I49"/>
    <mergeCell ref="A51:I51"/>
    <mergeCell ref="A37:I37"/>
    <mergeCell ref="A38:I38"/>
    <mergeCell ref="A41:C41"/>
    <mergeCell ref="D41:F41"/>
    <mergeCell ref="D42:F42"/>
    <mergeCell ref="A26:C26"/>
    <mergeCell ref="D28:I28"/>
    <mergeCell ref="A30:I30"/>
    <mergeCell ref="A28:C28"/>
    <mergeCell ref="A14:I14"/>
    <mergeCell ref="A21:I21"/>
    <mergeCell ref="A22:I22"/>
    <mergeCell ref="A25:C25"/>
    <mergeCell ref="D25:F25"/>
    <mergeCell ref="D26:F26"/>
    <mergeCell ref="D27:F27"/>
    <mergeCell ref="A12:C12"/>
    <mergeCell ref="D12:I12"/>
    <mergeCell ref="A1:C1"/>
    <mergeCell ref="D1:I1"/>
    <mergeCell ref="A3:I3"/>
    <mergeCell ref="A9:I9"/>
    <mergeCell ref="A10:I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2"/>
  <sheetViews>
    <sheetView topLeftCell="A4" zoomScaleNormal="100" workbookViewId="0">
      <selection activeCell="L22" sqref="L22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9.85546875" customWidth="1"/>
    <col min="7" max="7" width="0" hidden="1" customWidth="1"/>
    <col min="8" max="8" width="9.85546875" bestFit="1" customWidth="1"/>
    <col min="10" max="10" width="9.7109375" bestFit="1" customWidth="1"/>
    <col min="12" max="12" width="9.7109375" customWidth="1"/>
    <col min="13" max="14" width="8.42578125" customWidth="1"/>
  </cols>
  <sheetData>
    <row r="1" spans="1:14" ht="15.75" x14ac:dyDescent="0.25">
      <c r="B1" s="99" t="s">
        <v>299</v>
      </c>
      <c r="E1" s="99" t="s">
        <v>300</v>
      </c>
      <c r="F1" s="97"/>
      <c r="G1" s="250" t="e">
        <f>G2-G7</f>
        <v>#REF!</v>
      </c>
      <c r="H1" s="250"/>
      <c r="I1" s="250"/>
      <c r="J1" s="250"/>
      <c r="K1" s="250"/>
      <c r="L1" s="251">
        <f>L2-L7</f>
        <v>0</v>
      </c>
      <c r="M1" s="251">
        <f>M2-M7</f>
        <v>0</v>
      </c>
      <c r="N1" s="251">
        <f>N2-N7</f>
        <v>0</v>
      </c>
    </row>
    <row r="2" spans="1:14" ht="15.75" x14ac:dyDescent="0.25">
      <c r="B2" s="99"/>
      <c r="G2" s="252" t="e">
        <f>SUM(G8:G10)</f>
        <v>#REF!</v>
      </c>
      <c r="H2" s="252"/>
      <c r="I2" s="252"/>
      <c r="J2" s="252"/>
      <c r="K2" s="252"/>
      <c r="L2" s="107">
        <f>SUM(L8:L10)</f>
        <v>334604</v>
      </c>
      <c r="M2" s="107">
        <f>SUM(M8:M10)</f>
        <v>304404</v>
      </c>
      <c r="N2" s="107">
        <f>SUM(N8:N10)</f>
        <v>286159</v>
      </c>
    </row>
    <row r="3" spans="1:14" ht="15.75" x14ac:dyDescent="0.25">
      <c r="A3" s="108"/>
      <c r="B3" s="109"/>
      <c r="C3" s="110"/>
      <c r="D3" s="110"/>
      <c r="E3" s="111"/>
      <c r="F3" s="112"/>
      <c r="G3" s="2302" t="s">
        <v>163</v>
      </c>
      <c r="H3" s="2302"/>
      <c r="I3" s="2302"/>
      <c r="J3" s="2302"/>
      <c r="K3" s="2302"/>
      <c r="L3" s="2302"/>
      <c r="M3" s="2302"/>
      <c r="N3" s="2302"/>
    </row>
    <row r="4" spans="1:14" ht="11.25" customHeight="1" x14ac:dyDescent="0.2">
      <c r="A4" s="113"/>
      <c r="B4" s="114" t="s">
        <v>164</v>
      </c>
      <c r="C4" s="115" t="s">
        <v>165</v>
      </c>
      <c r="D4" s="2333" t="s">
        <v>166</v>
      </c>
      <c r="E4" s="2333"/>
      <c r="F4" s="2333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5" customHeight="1" x14ac:dyDescent="0.2">
      <c r="A5" s="113"/>
      <c r="B5" s="114" t="s">
        <v>167</v>
      </c>
      <c r="C5" s="115" t="s">
        <v>168</v>
      </c>
      <c r="D5" s="2333"/>
      <c r="E5" s="2333"/>
      <c r="F5" s="2333"/>
      <c r="G5" s="118" t="s">
        <v>169</v>
      </c>
      <c r="H5" s="253" t="s">
        <v>170</v>
      </c>
      <c r="I5" s="119" t="s">
        <v>171</v>
      </c>
      <c r="J5" s="119" t="s">
        <v>170</v>
      </c>
      <c r="K5" s="119" t="s">
        <v>171</v>
      </c>
      <c r="L5" s="119" t="s">
        <v>170</v>
      </c>
      <c r="M5" s="119" t="s">
        <v>171</v>
      </c>
      <c r="N5" s="119" t="s">
        <v>171</v>
      </c>
    </row>
    <row r="6" spans="1:14" ht="13.5" thickBot="1" x14ac:dyDescent="0.25">
      <c r="A6" s="113"/>
      <c r="B6" s="255" t="s">
        <v>172</v>
      </c>
      <c r="C6" s="256" t="s">
        <v>173</v>
      </c>
      <c r="D6" s="2333"/>
      <c r="E6" s="2333"/>
      <c r="F6" s="2333"/>
      <c r="G6" s="257">
        <v>1</v>
      </c>
      <c r="H6" s="121">
        <v>-3</v>
      </c>
      <c r="I6" s="258">
        <v>-2</v>
      </c>
      <c r="J6" s="258">
        <v>-1</v>
      </c>
      <c r="K6" s="258">
        <v>-1</v>
      </c>
      <c r="L6" s="258">
        <v>0</v>
      </c>
      <c r="M6" s="258">
        <v>1</v>
      </c>
      <c r="N6" s="258">
        <v>2</v>
      </c>
    </row>
    <row r="7" spans="1:14" ht="15" x14ac:dyDescent="0.25">
      <c r="A7" s="123">
        <v>1</v>
      </c>
      <c r="B7" s="336" t="s">
        <v>299</v>
      </c>
      <c r="C7" s="260"/>
      <c r="D7" s="261"/>
      <c r="E7" s="262" t="s">
        <v>300</v>
      </c>
      <c r="F7" s="263"/>
      <c r="G7" s="264" t="e">
        <f>G11+G27</f>
        <v>#REF!</v>
      </c>
      <c r="H7" s="1482">
        <f>H8+H9+H10</f>
        <v>361667</v>
      </c>
      <c r="I7" s="1701">
        <f>SUM(I8,I9,I10)</f>
        <v>312411.2</v>
      </c>
      <c r="J7" s="1188">
        <f>J8+J9+J10</f>
        <v>287204</v>
      </c>
      <c r="K7" s="1188">
        <f>SUM(K8,K9,K10)</f>
        <v>296276</v>
      </c>
      <c r="L7" s="1171">
        <f>SUM(L8,L9,L10)</f>
        <v>334604</v>
      </c>
      <c r="M7" s="1188">
        <f>SUM(M8,M9,M10)</f>
        <v>304404</v>
      </c>
      <c r="N7" s="1188">
        <f>SUM(N8,N9,N10)</f>
        <v>286159</v>
      </c>
    </row>
    <row r="8" spans="1:14" x14ac:dyDescent="0.2">
      <c r="A8" s="130">
        <f t="shared" ref="A8:A21" si="0">A7+1</f>
        <v>2</v>
      </c>
      <c r="B8" s="131" t="s">
        <v>175</v>
      </c>
      <c r="C8" s="674" t="s">
        <v>176</v>
      </c>
      <c r="D8" s="675"/>
      <c r="E8" s="676"/>
      <c r="F8" s="677"/>
      <c r="G8" s="678" t="e">
        <f>G12+G28</f>
        <v>#REF!</v>
      </c>
      <c r="H8" s="778">
        <f>H12+H28+H48</f>
        <v>139255</v>
      </c>
      <c r="I8" s="746">
        <f>SUM(I12+I28+I48)</f>
        <v>151026.18000000002</v>
      </c>
      <c r="J8" s="679">
        <f>J13+J29+J49</f>
        <v>137000</v>
      </c>
      <c r="K8" s="679">
        <f>SUM(K12+K28+K48)</f>
        <v>143372</v>
      </c>
      <c r="L8" s="776">
        <f>SUM(L12+L28)</f>
        <v>184400</v>
      </c>
      <c r="M8" s="679">
        <f>SUM(M12+M28)</f>
        <v>174400</v>
      </c>
      <c r="N8" s="679">
        <f>SUM(N12+N28)</f>
        <v>171155</v>
      </c>
    </row>
    <row r="9" spans="1:14" x14ac:dyDescent="0.2">
      <c r="A9" s="130">
        <f t="shared" si="0"/>
        <v>3</v>
      </c>
      <c r="B9" s="131" t="s">
        <v>177</v>
      </c>
      <c r="C9" s="768" t="s">
        <v>178</v>
      </c>
      <c r="D9" s="769"/>
      <c r="E9" s="770"/>
      <c r="F9" s="771"/>
      <c r="G9" s="772" t="e">
        <f>#REF!</f>
        <v>#REF!</v>
      </c>
      <c r="H9" s="785">
        <f>H23+H37</f>
        <v>88920</v>
      </c>
      <c r="I9" s="773">
        <f t="shared" ref="I9:M9" si="1">I23+I37</f>
        <v>11181.02</v>
      </c>
      <c r="J9" s="1077">
        <f t="shared" si="1"/>
        <v>0</v>
      </c>
      <c r="K9" s="774">
        <f>K23+K37</f>
        <v>0</v>
      </c>
      <c r="L9" s="774">
        <f t="shared" si="1"/>
        <v>0</v>
      </c>
      <c r="M9" s="1077">
        <f t="shared" si="1"/>
        <v>0</v>
      </c>
      <c r="N9" s="774">
        <f>N23</f>
        <v>0</v>
      </c>
    </row>
    <row r="10" spans="1:14" ht="13.5" thickBot="1" x14ac:dyDescent="0.25">
      <c r="A10" s="130">
        <f t="shared" si="0"/>
        <v>4</v>
      </c>
      <c r="B10" s="134"/>
      <c r="C10" s="702" t="s">
        <v>179</v>
      </c>
      <c r="D10" s="703"/>
      <c r="E10" s="704"/>
      <c r="F10" s="705"/>
      <c r="G10" s="796">
        <v>0</v>
      </c>
      <c r="H10" s="848">
        <f t="shared" ref="H10:N10" si="2">H42</f>
        <v>133492</v>
      </c>
      <c r="I10" s="812">
        <f t="shared" si="2"/>
        <v>150204</v>
      </c>
      <c r="J10" s="813">
        <f t="shared" si="2"/>
        <v>150204</v>
      </c>
      <c r="K10" s="813">
        <f t="shared" si="2"/>
        <v>152904</v>
      </c>
      <c r="L10" s="814">
        <f t="shared" si="2"/>
        <v>150204</v>
      </c>
      <c r="M10" s="813">
        <f t="shared" si="2"/>
        <v>130004</v>
      </c>
      <c r="N10" s="813">
        <f t="shared" si="2"/>
        <v>115004</v>
      </c>
    </row>
    <row r="11" spans="1:14" ht="13.5" thickTop="1" x14ac:dyDescent="0.2">
      <c r="A11" s="130">
        <f t="shared" si="0"/>
        <v>5</v>
      </c>
      <c r="B11" s="135">
        <v>1</v>
      </c>
      <c r="C11" s="235" t="s">
        <v>301</v>
      </c>
      <c r="D11" s="137"/>
      <c r="E11" s="137"/>
      <c r="F11" s="138"/>
      <c r="G11" s="139" t="e">
        <f>SUM(G13)+#REF!</f>
        <v>#REF!</v>
      </c>
      <c r="H11" s="611">
        <f>H12+H23</f>
        <v>212830</v>
      </c>
      <c r="I11" s="1443">
        <f t="shared" ref="I11:N12" si="3">I12</f>
        <v>140482.74000000002</v>
      </c>
      <c r="J11" s="611">
        <f>J12+J23</f>
        <v>130400</v>
      </c>
      <c r="K11" s="1443">
        <f t="shared" si="3"/>
        <v>122393</v>
      </c>
      <c r="L11" s="611">
        <f>L12+L23</f>
        <v>166300</v>
      </c>
      <c r="M11" s="1443">
        <f t="shared" si="3"/>
        <v>156300</v>
      </c>
      <c r="N11" s="611">
        <f t="shared" si="3"/>
        <v>152850</v>
      </c>
    </row>
    <row r="12" spans="1:14" s="189" customFormat="1" x14ac:dyDescent="0.2">
      <c r="A12" s="130">
        <f t="shared" si="0"/>
        <v>6</v>
      </c>
      <c r="B12" s="150"/>
      <c r="C12" s="151"/>
      <c r="D12" s="133" t="s">
        <v>176</v>
      </c>
      <c r="E12" s="152"/>
      <c r="F12" s="153"/>
      <c r="G12" s="154" t="e">
        <f>G13</f>
        <v>#REF!</v>
      </c>
      <c r="H12" s="573">
        <f>H13</f>
        <v>123910</v>
      </c>
      <c r="I12" s="271">
        <f t="shared" si="3"/>
        <v>140482.74000000002</v>
      </c>
      <c r="J12" s="573">
        <f>J13</f>
        <v>130400</v>
      </c>
      <c r="K12" s="271">
        <f t="shared" si="3"/>
        <v>122393</v>
      </c>
      <c r="L12" s="573">
        <f t="shared" si="3"/>
        <v>166300</v>
      </c>
      <c r="M12" s="271">
        <f t="shared" si="3"/>
        <v>156300</v>
      </c>
      <c r="N12" s="573">
        <f t="shared" si="3"/>
        <v>152850</v>
      </c>
    </row>
    <row r="13" spans="1:14" x14ac:dyDescent="0.2">
      <c r="A13" s="130">
        <f t="shared" si="0"/>
        <v>7</v>
      </c>
      <c r="B13" s="183"/>
      <c r="C13" s="273" t="s">
        <v>302</v>
      </c>
      <c r="D13" s="191" t="s">
        <v>303</v>
      </c>
      <c r="E13" s="274"/>
      <c r="F13" s="275"/>
      <c r="G13" s="193" t="e">
        <f>SUM(#REF!)</f>
        <v>#REF!</v>
      </c>
      <c r="H13" s="574">
        <f>SUM(H14:H22)</f>
        <v>123910</v>
      </c>
      <c r="I13" s="384">
        <f>SUM(I17,I18,I20,I21,I22)+I14+I15+I16+I19</f>
        <v>140482.74000000002</v>
      </c>
      <c r="J13" s="574">
        <f>SUM(J14:J22)</f>
        <v>130400</v>
      </c>
      <c r="K13" s="384">
        <f>SUM(K14:K22)</f>
        <v>122393</v>
      </c>
      <c r="L13" s="574">
        <f>SUM(L17,L18,L20,L21,L22)+L14+L15+L16+L19</f>
        <v>166300</v>
      </c>
      <c r="M13" s="384">
        <f>SUM(M14:M22)</f>
        <v>156300</v>
      </c>
      <c r="N13" s="574">
        <f>SUM(N14:N22)</f>
        <v>152850</v>
      </c>
    </row>
    <row r="14" spans="1:14" x14ac:dyDescent="0.2">
      <c r="A14" s="130">
        <v>8</v>
      </c>
      <c r="B14" s="183"/>
      <c r="C14" s="689"/>
      <c r="D14" s="690">
        <v>1</v>
      </c>
      <c r="E14" s="200" t="s">
        <v>186</v>
      </c>
      <c r="F14" s="201"/>
      <c r="G14" s="182"/>
      <c r="H14" s="576">
        <f>výdavky!D242</f>
        <v>35000</v>
      </c>
      <c r="I14" s="277">
        <f>výdavky!E242</f>
        <v>34532.699999999997</v>
      </c>
      <c r="J14" s="576">
        <f>výdavky!F242</f>
        <v>35000</v>
      </c>
      <c r="K14" s="277">
        <f>výdavky!G242</f>
        <v>36600</v>
      </c>
      <c r="L14" s="576">
        <f>výdavky!H242</f>
        <v>35000</v>
      </c>
      <c r="M14" s="277">
        <f>výdavky!I242</f>
        <v>35000</v>
      </c>
      <c r="N14" s="576">
        <f>výdavky!J242</f>
        <v>35000</v>
      </c>
    </row>
    <row r="15" spans="1:14" x14ac:dyDescent="0.2">
      <c r="A15" s="130">
        <v>9</v>
      </c>
      <c r="B15" s="183"/>
      <c r="C15" s="689"/>
      <c r="D15" s="690">
        <v>2</v>
      </c>
      <c r="E15" s="200" t="s">
        <v>643</v>
      </c>
      <c r="F15" s="201"/>
      <c r="G15" s="182"/>
      <c r="H15" s="576">
        <f>výdavky!D244</f>
        <v>12300</v>
      </c>
      <c r="I15" s="277">
        <f>výdavky!E244+výdavky!E258</f>
        <v>11941.32</v>
      </c>
      <c r="J15" s="576">
        <f>výdavky!F244</f>
        <v>12300</v>
      </c>
      <c r="K15" s="277">
        <f>výdavky!G244</f>
        <v>12450</v>
      </c>
      <c r="L15" s="576">
        <f>výdavky!H244</f>
        <v>12300</v>
      </c>
      <c r="M15" s="277">
        <f>výdavky!I244</f>
        <v>12300</v>
      </c>
      <c r="N15" s="576">
        <f>výdavky!J244</f>
        <v>12300</v>
      </c>
    </row>
    <row r="16" spans="1:14" x14ac:dyDescent="0.2">
      <c r="A16" s="130">
        <v>10</v>
      </c>
      <c r="B16" s="183"/>
      <c r="C16" s="689"/>
      <c r="D16" s="690">
        <v>3</v>
      </c>
      <c r="E16" s="200" t="s">
        <v>192</v>
      </c>
      <c r="F16" s="201"/>
      <c r="G16" s="182"/>
      <c r="H16" s="576">
        <f>výdavky!D246</f>
        <v>850</v>
      </c>
      <c r="I16" s="277">
        <f>výdavky!E246</f>
        <v>1349.17</v>
      </c>
      <c r="J16" s="576">
        <f>výdavky!F246</f>
        <v>1000</v>
      </c>
      <c r="K16" s="277">
        <f>výdavky!G246</f>
        <v>1000</v>
      </c>
      <c r="L16" s="576">
        <f>výdavky!H246</f>
        <v>1000</v>
      </c>
      <c r="M16" s="277">
        <f>výdavky!I246</f>
        <v>1000</v>
      </c>
      <c r="N16" s="576">
        <f>výdavky!J246</f>
        <v>550</v>
      </c>
    </row>
    <row r="17" spans="1:14" x14ac:dyDescent="0.2">
      <c r="A17" s="130">
        <v>11</v>
      </c>
      <c r="B17" s="183"/>
      <c r="C17" s="212" t="s">
        <v>193</v>
      </c>
      <c r="D17" s="213" t="s">
        <v>225</v>
      </c>
      <c r="E17" s="171" t="s">
        <v>194</v>
      </c>
      <c r="F17" s="201"/>
      <c r="G17" s="202"/>
      <c r="H17" s="576">
        <f>výdavky!D247</f>
        <v>5500</v>
      </c>
      <c r="I17" s="277">
        <f>výdavky!E247</f>
        <v>1710.09</v>
      </c>
      <c r="J17" s="576">
        <f>výdavky!F247</f>
        <v>2000</v>
      </c>
      <c r="K17" s="277">
        <f>výdavky!G247</f>
        <v>2700</v>
      </c>
      <c r="L17" s="576">
        <f>výdavky!H247</f>
        <v>2000</v>
      </c>
      <c r="M17" s="277">
        <f>výdavky!I247</f>
        <v>2000</v>
      </c>
      <c r="N17" s="576">
        <f>výdavky!J247</f>
        <v>5500</v>
      </c>
    </row>
    <row r="18" spans="1:14" x14ac:dyDescent="0.2">
      <c r="A18" s="130">
        <f t="shared" si="0"/>
        <v>12</v>
      </c>
      <c r="B18" s="183"/>
      <c r="C18" s="212" t="s">
        <v>195</v>
      </c>
      <c r="D18" s="213" t="s">
        <v>227</v>
      </c>
      <c r="E18" s="171" t="s">
        <v>196</v>
      </c>
      <c r="F18" s="201"/>
      <c r="G18" s="202"/>
      <c r="H18" s="576">
        <f>výdavky!D248</f>
        <v>22660</v>
      </c>
      <c r="I18" s="277">
        <f>výdavky!E248-výdavky!E251</f>
        <v>20810.22</v>
      </c>
      <c r="J18" s="576">
        <f>výdavky!F248-výdavky!F251</f>
        <v>18000</v>
      </c>
      <c r="K18" s="277">
        <f>výdavky!G248-výdavky!G251</f>
        <v>18000</v>
      </c>
      <c r="L18" s="576">
        <f>výdavky!H248-výdavky!H251</f>
        <v>18000</v>
      </c>
      <c r="M18" s="277">
        <f>výdavky!I248-výdavky!I251</f>
        <v>18000</v>
      </c>
      <c r="N18" s="576">
        <f>výdavky!J248</f>
        <v>12000</v>
      </c>
    </row>
    <row r="19" spans="1:14" x14ac:dyDescent="0.2">
      <c r="A19" s="130">
        <v>13</v>
      </c>
      <c r="B19" s="183"/>
      <c r="C19" s="212" t="s">
        <v>195</v>
      </c>
      <c r="D19" s="213" t="s">
        <v>231</v>
      </c>
      <c r="E19" s="171" t="s">
        <v>466</v>
      </c>
      <c r="F19" s="201"/>
      <c r="G19" s="202"/>
      <c r="H19" s="576">
        <f>výdavky!D251</f>
        <v>1500</v>
      </c>
      <c r="I19" s="277">
        <f>výdavky!E251</f>
        <v>2152.0100000000002</v>
      </c>
      <c r="J19" s="576">
        <f>výdavky!F251</f>
        <v>2000</v>
      </c>
      <c r="K19" s="277">
        <f>výdavky!G251</f>
        <v>1543</v>
      </c>
      <c r="L19" s="576">
        <f>výdavky!H251</f>
        <v>2000</v>
      </c>
      <c r="M19" s="277">
        <f>výdavky!I251</f>
        <v>2000</v>
      </c>
      <c r="N19" s="576">
        <f>výdavky!J251</f>
        <v>1500</v>
      </c>
    </row>
    <row r="20" spans="1:14" x14ac:dyDescent="0.2">
      <c r="A20" s="130">
        <v>14</v>
      </c>
      <c r="B20" s="183"/>
      <c r="C20" s="212" t="s">
        <v>197</v>
      </c>
      <c r="D20" s="213" t="s">
        <v>233</v>
      </c>
      <c r="E20" s="171" t="s">
        <v>273</v>
      </c>
      <c r="F20" s="201"/>
      <c r="G20" s="202"/>
      <c r="H20" s="576">
        <f>výdavky!D252</f>
        <v>100</v>
      </c>
      <c r="I20" s="277">
        <f>výdavky!E253+výdavky!E252</f>
        <v>444</v>
      </c>
      <c r="J20" s="576">
        <f>výdavky!F252</f>
        <v>100</v>
      </c>
      <c r="K20" s="277">
        <f>výdavky!G252</f>
        <v>100</v>
      </c>
      <c r="L20" s="576">
        <f>výdavky!H252</f>
        <v>1000</v>
      </c>
      <c r="M20" s="277">
        <f>výdavky!I252</f>
        <v>1000</v>
      </c>
      <c r="N20" s="576">
        <f>výdavky!J252</f>
        <v>1000</v>
      </c>
    </row>
    <row r="21" spans="1:14" x14ac:dyDescent="0.2">
      <c r="A21" s="130">
        <f t="shared" si="0"/>
        <v>15</v>
      </c>
      <c r="B21" s="183"/>
      <c r="C21" s="212" t="s">
        <v>201</v>
      </c>
      <c r="D21" s="213" t="s">
        <v>261</v>
      </c>
      <c r="E21" s="171" t="s">
        <v>304</v>
      </c>
      <c r="F21" s="201"/>
      <c r="G21" s="202"/>
      <c r="H21" s="576">
        <f>výdavky!D254</f>
        <v>41000</v>
      </c>
      <c r="I21" s="277">
        <f>výdavky!E254</f>
        <v>59236.39</v>
      </c>
      <c r="J21" s="576">
        <f>výdavky!F254+výdavky!F256</f>
        <v>60000</v>
      </c>
      <c r="K21" s="277">
        <f>výdavky!G254</f>
        <v>45000</v>
      </c>
      <c r="L21" s="576">
        <f>výdavky!H254+výdavky!H255</f>
        <v>90000</v>
      </c>
      <c r="M21" s="277">
        <f>výdavky!I254</f>
        <v>80000</v>
      </c>
      <c r="N21" s="576">
        <f>výdavky!J254</f>
        <v>80000</v>
      </c>
    </row>
    <row r="22" spans="1:14" x14ac:dyDescent="0.2">
      <c r="A22" s="130">
        <v>16</v>
      </c>
      <c r="B22" s="183"/>
      <c r="C22" s="212" t="s">
        <v>201</v>
      </c>
      <c r="D22" s="213" t="s">
        <v>263</v>
      </c>
      <c r="E22" s="171" t="s">
        <v>305</v>
      </c>
      <c r="F22" s="201"/>
      <c r="G22" s="202"/>
      <c r="H22" s="576">
        <f>výdavky!D256+výdavky!D258</f>
        <v>5000</v>
      </c>
      <c r="I22" s="277">
        <f>SUM(výdavky!E256)</f>
        <v>8306.84</v>
      </c>
      <c r="J22" s="576">
        <f>výdavky!JE256+výdavky!F258</f>
        <v>0</v>
      </c>
      <c r="K22" s="277">
        <f>výdavky!G256+výdavky!G258</f>
        <v>5000</v>
      </c>
      <c r="L22" s="576">
        <f>výdavky!H256+výdavky!H258</f>
        <v>5000</v>
      </c>
      <c r="M22" s="277">
        <f>výdavky!I256</f>
        <v>5000</v>
      </c>
      <c r="N22" s="576">
        <f>výdavky!J256</f>
        <v>5000</v>
      </c>
    </row>
    <row r="23" spans="1:14" x14ac:dyDescent="0.2">
      <c r="A23" s="130">
        <v>17</v>
      </c>
      <c r="B23" s="156"/>
      <c r="C23" s="164"/>
      <c r="D23" s="598" t="s">
        <v>178</v>
      </c>
      <c r="E23" s="602"/>
      <c r="F23" s="607"/>
      <c r="G23" s="608">
        <f>G25</f>
        <v>0</v>
      </c>
      <c r="H23" s="614">
        <f t="shared" ref="H23:N23" si="4">H24</f>
        <v>88920</v>
      </c>
      <c r="I23" s="620">
        <f t="shared" si="4"/>
        <v>5040</v>
      </c>
      <c r="J23" s="614">
        <f t="shared" si="4"/>
        <v>0</v>
      </c>
      <c r="K23" s="620">
        <f t="shared" si="4"/>
        <v>0</v>
      </c>
      <c r="L23" s="614">
        <f t="shared" si="4"/>
        <v>0</v>
      </c>
      <c r="M23" s="620">
        <f t="shared" si="4"/>
        <v>0</v>
      </c>
      <c r="N23" s="614">
        <f t="shared" si="4"/>
        <v>0</v>
      </c>
    </row>
    <row r="24" spans="1:14" x14ac:dyDescent="0.2">
      <c r="A24" s="130">
        <f t="shared" ref="A24:A29" si="5">A23+1</f>
        <v>18</v>
      </c>
      <c r="B24" s="156"/>
      <c r="C24" s="157" t="s">
        <v>306</v>
      </c>
      <c r="D24" s="158" t="s">
        <v>303</v>
      </c>
      <c r="E24" s="159"/>
      <c r="F24" s="160"/>
      <c r="G24" s="161">
        <f>SUM(G25:G29)</f>
        <v>234.29999999999998</v>
      </c>
      <c r="H24" s="574">
        <f>H25+H26</f>
        <v>88920</v>
      </c>
      <c r="I24" s="384">
        <f>SUM(I25,I26)</f>
        <v>5040</v>
      </c>
      <c r="J24" s="574">
        <f>J25+J26</f>
        <v>0</v>
      </c>
      <c r="K24" s="384">
        <f>SUM(K25,K26)</f>
        <v>0</v>
      </c>
      <c r="L24" s="574">
        <f>SUM(L25,L26)</f>
        <v>0</v>
      </c>
      <c r="M24" s="384">
        <f>M25+SUM(M25,M26)</f>
        <v>0</v>
      </c>
      <c r="N24" s="574">
        <f>N25+SUM(N25,N26)</f>
        <v>0</v>
      </c>
    </row>
    <row r="25" spans="1:14" x14ac:dyDescent="0.2">
      <c r="A25" s="130">
        <f t="shared" si="5"/>
        <v>19</v>
      </c>
      <c r="B25" s="183"/>
      <c r="C25" s="212" t="s">
        <v>268</v>
      </c>
      <c r="D25" s="213" t="s">
        <v>265</v>
      </c>
      <c r="E25" s="297" t="s">
        <v>450</v>
      </c>
      <c r="F25" s="181"/>
      <c r="G25" s="182"/>
      <c r="H25" s="576">
        <f>výdavky!D724+výdavky!D726+výdavky!D728+výdavky!D729</f>
        <v>88920</v>
      </c>
      <c r="I25" s="277">
        <f>výdavky!E726+výdavky!E728+výdavky!E729</f>
        <v>5040</v>
      </c>
      <c r="J25" s="576">
        <f>výdavky!F726</f>
        <v>0</v>
      </c>
      <c r="K25" s="277">
        <f>výdavky!G726+výdavky!G728+výdavky!G729</f>
        <v>0</v>
      </c>
      <c r="L25" s="576">
        <f>SUM(výdavky!H726+výdavky!H728+výdavky!H729)</f>
        <v>0</v>
      </c>
      <c r="M25" s="277">
        <f>výdavky!I726</f>
        <v>0</v>
      </c>
      <c r="N25" s="576">
        <f>výdavky!J726</f>
        <v>0</v>
      </c>
    </row>
    <row r="26" spans="1:14" x14ac:dyDescent="0.2">
      <c r="A26" s="130">
        <f t="shared" si="5"/>
        <v>20</v>
      </c>
      <c r="B26" s="183"/>
      <c r="C26" s="212" t="s">
        <v>324</v>
      </c>
      <c r="D26" s="213" t="s">
        <v>355</v>
      </c>
      <c r="E26" s="297" t="s">
        <v>537</v>
      </c>
      <c r="F26" s="181"/>
      <c r="G26" s="182"/>
      <c r="H26" s="576">
        <f>výdavky!D725</f>
        <v>0</v>
      </c>
      <c r="I26" s="277">
        <f>výdavky!E724+výdavky!E725</f>
        <v>0</v>
      </c>
      <c r="J26" s="576">
        <f>výdavky!F725</f>
        <v>0</v>
      </c>
      <c r="K26" s="277">
        <f>výdavky!G724+výdavky!G725</f>
        <v>0</v>
      </c>
      <c r="L26" s="576">
        <f>SUM(výdavky!H724+výdavky!H725)</f>
        <v>0</v>
      </c>
      <c r="M26" s="277">
        <f>výdavky!I725</f>
        <v>0</v>
      </c>
      <c r="N26" s="576">
        <f>výdavky!J725</f>
        <v>0</v>
      </c>
    </row>
    <row r="27" spans="1:14" x14ac:dyDescent="0.2">
      <c r="A27" s="130">
        <f t="shared" si="5"/>
        <v>21</v>
      </c>
      <c r="B27" s="135">
        <v>2</v>
      </c>
      <c r="C27" s="339" t="s">
        <v>307</v>
      </c>
      <c r="D27" s="137"/>
      <c r="E27" s="137"/>
      <c r="F27" s="138"/>
      <c r="G27" s="139">
        <f>SUM(G29)</f>
        <v>78.099999999999994</v>
      </c>
      <c r="H27" s="572">
        <f t="shared" ref="H27:N27" si="6">H28+H37+H42</f>
        <v>148837</v>
      </c>
      <c r="I27" s="269">
        <f t="shared" si="6"/>
        <v>166888.46</v>
      </c>
      <c r="J27" s="1091">
        <f t="shared" si="6"/>
        <v>156804</v>
      </c>
      <c r="K27" s="269">
        <f t="shared" si="6"/>
        <v>173883</v>
      </c>
      <c r="L27" s="572">
        <f t="shared" si="6"/>
        <v>168304</v>
      </c>
      <c r="M27" s="1463">
        <f t="shared" si="6"/>
        <v>148104</v>
      </c>
      <c r="N27" s="572">
        <f t="shared" si="6"/>
        <v>133309</v>
      </c>
    </row>
    <row r="28" spans="1:14" s="189" customFormat="1" x14ac:dyDescent="0.2">
      <c r="A28" s="130">
        <f t="shared" si="5"/>
        <v>22</v>
      </c>
      <c r="B28" s="150"/>
      <c r="C28" s="340"/>
      <c r="D28" s="133" t="s">
        <v>176</v>
      </c>
      <c r="E28" s="152"/>
      <c r="F28" s="153"/>
      <c r="G28" s="154">
        <f>G29</f>
        <v>78.099999999999994</v>
      </c>
      <c r="H28" s="573">
        <f>H29</f>
        <v>15345</v>
      </c>
      <c r="I28" s="271">
        <f t="shared" ref="I28:N28" si="7">I29</f>
        <v>10543.439999999999</v>
      </c>
      <c r="J28" s="573">
        <f>J29</f>
        <v>6600</v>
      </c>
      <c r="K28" s="271">
        <f t="shared" si="7"/>
        <v>20979</v>
      </c>
      <c r="L28" s="573">
        <f t="shared" si="7"/>
        <v>18100</v>
      </c>
      <c r="M28" s="271">
        <f t="shared" si="7"/>
        <v>18100</v>
      </c>
      <c r="N28" s="573">
        <f t="shared" si="7"/>
        <v>18305</v>
      </c>
    </row>
    <row r="29" spans="1:14" x14ac:dyDescent="0.2">
      <c r="A29" s="130">
        <f t="shared" si="5"/>
        <v>23</v>
      </c>
      <c r="B29" s="183"/>
      <c r="C29" s="341" t="s">
        <v>308</v>
      </c>
      <c r="D29" s="191" t="s">
        <v>307</v>
      </c>
      <c r="E29" s="274"/>
      <c r="F29" s="275"/>
      <c r="G29" s="193">
        <f>G41</f>
        <v>78.099999999999994</v>
      </c>
      <c r="H29" s="574">
        <f>SUM(H30:H36)</f>
        <v>15345</v>
      </c>
      <c r="I29" s="384">
        <f>SUM(I30,I31,I32,I33,I34,I35)+I36</f>
        <v>10543.439999999999</v>
      </c>
      <c r="J29" s="574">
        <f>SUM(J30:J36)</f>
        <v>6600</v>
      </c>
      <c r="K29" s="384">
        <f>SUM(K30,K31,K32,K33,K34,K35,K36)</f>
        <v>20979</v>
      </c>
      <c r="L29" s="574">
        <f>L41+SUM(L30,L31,L32,L33,L34,L35)+L36</f>
        <v>18100</v>
      </c>
      <c r="M29" s="384">
        <f>M41+SUM(M30,M31,M32,M33,M34,M35)+M36</f>
        <v>18100</v>
      </c>
      <c r="N29" s="574">
        <f>N41+SUM(N30,N31,N32,N33,N34,N35)+N36</f>
        <v>18305</v>
      </c>
    </row>
    <row r="30" spans="1:14" x14ac:dyDescent="0.2">
      <c r="A30" s="130">
        <v>24</v>
      </c>
      <c r="B30" s="183"/>
      <c r="C30" s="212" t="s">
        <v>185</v>
      </c>
      <c r="D30" s="199">
        <v>1</v>
      </c>
      <c r="E30" s="200" t="s">
        <v>186</v>
      </c>
      <c r="F30" s="201"/>
      <c r="G30" s="202"/>
      <c r="H30" s="576">
        <f>výdavky!D261</f>
        <v>0</v>
      </c>
      <c r="I30" s="277">
        <f>výdavky!E261</f>
        <v>0</v>
      </c>
      <c r="J30" s="576">
        <f>výdavky!F261</f>
        <v>0</v>
      </c>
      <c r="K30" s="277">
        <f>výdavky!G261</f>
        <v>0</v>
      </c>
      <c r="L30" s="576">
        <f>výdavky!H261</f>
        <v>0</v>
      </c>
      <c r="M30" s="277">
        <f>výdavky!I261</f>
        <v>0</v>
      </c>
      <c r="N30" s="576">
        <f>výdavky!J261</f>
        <v>0</v>
      </c>
    </row>
    <row r="31" spans="1:14" x14ac:dyDescent="0.2">
      <c r="A31" s="130">
        <v>25</v>
      </c>
      <c r="B31" s="183"/>
      <c r="C31" s="212" t="s">
        <v>187</v>
      </c>
      <c r="D31" s="199">
        <v>2</v>
      </c>
      <c r="E31" s="200" t="s">
        <v>188</v>
      </c>
      <c r="F31" s="201"/>
      <c r="G31" s="202"/>
      <c r="H31" s="576">
        <f>výdavky!D262</f>
        <v>0</v>
      </c>
      <c r="I31" s="277">
        <f>výdavky!E262</f>
        <v>0</v>
      </c>
      <c r="J31" s="576">
        <f>výdavky!F262</f>
        <v>0</v>
      </c>
      <c r="K31" s="277">
        <f>výdavky!G262</f>
        <v>0</v>
      </c>
      <c r="L31" s="576">
        <f>výdavky!H262</f>
        <v>0</v>
      </c>
      <c r="M31" s="277">
        <f>výdavky!I262</f>
        <v>0</v>
      </c>
      <c r="N31" s="576">
        <f>výdavky!J262</f>
        <v>0</v>
      </c>
    </row>
    <row r="32" spans="1:14" x14ac:dyDescent="0.2">
      <c r="A32" s="130">
        <v>26</v>
      </c>
      <c r="B32" s="183"/>
      <c r="C32" s="212" t="s">
        <v>191</v>
      </c>
      <c r="D32" s="199">
        <v>3</v>
      </c>
      <c r="E32" s="200" t="s">
        <v>192</v>
      </c>
      <c r="F32" s="201"/>
      <c r="G32" s="202"/>
      <c r="H32" s="576">
        <f>výdavky!D263</f>
        <v>0</v>
      </c>
      <c r="I32" s="277">
        <f>výdavky!E263</f>
        <v>0</v>
      </c>
      <c r="J32" s="576">
        <f>výdavky!F263</f>
        <v>0</v>
      </c>
      <c r="K32" s="277">
        <f>výdavky!G263</f>
        <v>0</v>
      </c>
      <c r="L32" s="576">
        <f>výdavky!H263</f>
        <v>0</v>
      </c>
      <c r="M32" s="277">
        <f>výdavky!I263</f>
        <v>0</v>
      </c>
      <c r="N32" s="576">
        <f>výdavky!J263</f>
        <v>0</v>
      </c>
    </row>
    <row r="33" spans="1:14" x14ac:dyDescent="0.2">
      <c r="A33" s="130">
        <v>27</v>
      </c>
      <c r="B33" s="183"/>
      <c r="C33" s="212" t="s">
        <v>193</v>
      </c>
      <c r="D33" s="199">
        <v>4</v>
      </c>
      <c r="E33" s="200" t="s">
        <v>194</v>
      </c>
      <c r="F33" s="201"/>
      <c r="G33" s="202"/>
      <c r="H33" s="576">
        <f>výdavky!D265</f>
        <v>0</v>
      </c>
      <c r="I33" s="277">
        <f>výdavky!E265</f>
        <v>0</v>
      </c>
      <c r="J33" s="576">
        <f>výdavky!F265</f>
        <v>0</v>
      </c>
      <c r="K33" s="277">
        <f>výdavky!G265</f>
        <v>0</v>
      </c>
      <c r="L33" s="576">
        <f>výdavky!H265</f>
        <v>0</v>
      </c>
      <c r="M33" s="277">
        <f>výdavky!I265</f>
        <v>0</v>
      </c>
      <c r="N33" s="576">
        <f>výdavky!J265</f>
        <v>0</v>
      </c>
    </row>
    <row r="34" spans="1:14" x14ac:dyDescent="0.2">
      <c r="A34" s="130">
        <v>28</v>
      </c>
      <c r="B34" s="183"/>
      <c r="C34" s="212" t="s">
        <v>195</v>
      </c>
      <c r="D34" s="199">
        <v>5</v>
      </c>
      <c r="E34" s="200" t="s">
        <v>196</v>
      </c>
      <c r="F34" s="201"/>
      <c r="G34" s="202"/>
      <c r="H34" s="576">
        <f>výdavky!D266</f>
        <v>12500</v>
      </c>
      <c r="I34" s="277">
        <f>výdavky!E266</f>
        <v>9284.7999999999993</v>
      </c>
      <c r="J34" s="576">
        <f>výdavky!F266</f>
        <v>6000</v>
      </c>
      <c r="K34" s="277">
        <f>výdavky!G266</f>
        <v>3500</v>
      </c>
      <c r="L34" s="576">
        <f>výdavky!H266</f>
        <v>4000</v>
      </c>
      <c r="M34" s="277">
        <f>výdavky!I266</f>
        <v>4000</v>
      </c>
      <c r="N34" s="576">
        <f>výdavky!J266</f>
        <v>4000</v>
      </c>
    </row>
    <row r="35" spans="1:14" x14ac:dyDescent="0.2">
      <c r="A35" s="130">
        <v>29</v>
      </c>
      <c r="B35" s="183"/>
      <c r="C35" s="212" t="s">
        <v>201</v>
      </c>
      <c r="D35" s="199">
        <v>6</v>
      </c>
      <c r="E35" s="200" t="s">
        <v>309</v>
      </c>
      <c r="F35" s="201"/>
      <c r="G35" s="202"/>
      <c r="H35" s="576">
        <f>výdavky!D271+výdavky!D270+výdavky!D273</f>
        <v>2540</v>
      </c>
      <c r="I35" s="277">
        <f>výdavky!E271+výdavky!E273+výdavky!E270</f>
        <v>1186.6399999999999</v>
      </c>
      <c r="J35" s="576">
        <f>výdavky!F271+výdavky!F270+výdavky!F273</f>
        <v>500</v>
      </c>
      <c r="K35" s="277">
        <f>výdavky!G271+výdavky!G270+výdavky!G273+výdavky!G269</f>
        <v>17479</v>
      </c>
      <c r="L35" s="576">
        <f>výdavky!H270+výdavky!H273</f>
        <v>14000</v>
      </c>
      <c r="M35" s="277">
        <f>výdavky!I273+výdavky!I270</f>
        <v>14000</v>
      </c>
      <c r="N35" s="576">
        <f>výdavky!J273+výdavky!J270</f>
        <v>14000</v>
      </c>
    </row>
    <row r="36" spans="1:14" x14ac:dyDescent="0.2">
      <c r="A36" s="130">
        <v>30</v>
      </c>
      <c r="B36" s="183"/>
      <c r="C36" s="212" t="s">
        <v>201</v>
      </c>
      <c r="D36" s="199">
        <v>7</v>
      </c>
      <c r="E36" s="200" t="s">
        <v>310</v>
      </c>
      <c r="F36" s="201"/>
      <c r="G36" s="202"/>
      <c r="H36" s="576">
        <f>výdavky!D269+výdavky!D274</f>
        <v>305</v>
      </c>
      <c r="I36" s="277">
        <f>+výdavky!E269+výdavky!E274</f>
        <v>72</v>
      </c>
      <c r="J36" s="576">
        <f>výdavky!F269</f>
        <v>100</v>
      </c>
      <c r="K36" s="277">
        <f>výdavky!G274</f>
        <v>0</v>
      </c>
      <c r="L36" s="576">
        <f>výdavky!H269</f>
        <v>100</v>
      </c>
      <c r="M36" s="277">
        <f>výdavky!I269</f>
        <v>100</v>
      </c>
      <c r="N36" s="576">
        <f>výdavky!J269</f>
        <v>305</v>
      </c>
    </row>
    <row r="37" spans="1:14" x14ac:dyDescent="0.2">
      <c r="A37" s="130">
        <v>31</v>
      </c>
      <c r="B37" s="183"/>
      <c r="C37" s="212"/>
      <c r="D37" s="2351" t="s">
        <v>178</v>
      </c>
      <c r="E37" s="2351"/>
      <c r="F37" s="687"/>
      <c r="G37" s="684"/>
      <c r="H37" s="864">
        <f>H38</f>
        <v>0</v>
      </c>
      <c r="I37" s="686">
        <f>SUM(I38)</f>
        <v>6141.02</v>
      </c>
      <c r="J37" s="864">
        <f>J38</f>
        <v>0</v>
      </c>
      <c r="K37" s="686">
        <f>SUM(K38)</f>
        <v>0</v>
      </c>
      <c r="L37" s="864">
        <f>SUM(L38)</f>
        <v>0</v>
      </c>
      <c r="M37" s="686">
        <f>SUM(M38)</f>
        <v>0</v>
      </c>
      <c r="N37" s="864">
        <f>SUM(N38)</f>
        <v>0</v>
      </c>
    </row>
    <row r="38" spans="1:14" x14ac:dyDescent="0.2">
      <c r="A38" s="130">
        <v>32</v>
      </c>
      <c r="B38" s="183"/>
      <c r="C38" s="341" t="s">
        <v>308</v>
      </c>
      <c r="D38" s="2350" t="s">
        <v>307</v>
      </c>
      <c r="E38" s="2350"/>
      <c r="F38" s="275"/>
      <c r="G38" s="193"/>
      <c r="H38" s="574">
        <f>H39+H40+H41</f>
        <v>0</v>
      </c>
      <c r="I38" s="1444">
        <f>SUM(I39,I40,I41)</f>
        <v>6141.02</v>
      </c>
      <c r="J38" s="1452">
        <f>SUM(J39:J41)</f>
        <v>0</v>
      </c>
      <c r="K38" s="1444">
        <f>SUM(K39,K40,K41)</f>
        <v>0</v>
      </c>
      <c r="L38" s="1452">
        <f>SUM(L39,L40,L41)</f>
        <v>0</v>
      </c>
      <c r="M38" s="1444">
        <f>SUM(M39,M40,M41)</f>
        <v>0</v>
      </c>
      <c r="N38" s="1452">
        <f>SUM(N39,N40,N41)</f>
        <v>0</v>
      </c>
    </row>
    <row r="39" spans="1:14" x14ac:dyDescent="0.2">
      <c r="A39" s="130">
        <v>33</v>
      </c>
      <c r="B39" s="183"/>
      <c r="C39" s="212" t="s">
        <v>286</v>
      </c>
      <c r="D39" s="199">
        <v>8</v>
      </c>
      <c r="E39" s="200" t="s">
        <v>604</v>
      </c>
      <c r="F39" s="172"/>
      <c r="G39" s="344"/>
      <c r="H39" s="862">
        <f>výdavky!D721</f>
        <v>0</v>
      </c>
      <c r="I39" s="277">
        <f>výdavky!E732</f>
        <v>1800</v>
      </c>
      <c r="J39" s="576">
        <f>výdavky!F732</f>
        <v>0</v>
      </c>
      <c r="K39" s="277">
        <f>výdavky!G721</f>
        <v>0</v>
      </c>
      <c r="L39" s="576">
        <f>výdavky!H720</f>
        <v>0</v>
      </c>
      <c r="M39" s="277">
        <f>výdavky!I720</f>
        <v>0</v>
      </c>
      <c r="N39" s="576">
        <f>výdavky!J720</f>
        <v>0</v>
      </c>
    </row>
    <row r="40" spans="1:14" x14ac:dyDescent="0.2">
      <c r="A40" s="130">
        <v>34</v>
      </c>
      <c r="B40" s="183"/>
      <c r="C40" s="212"/>
      <c r="D40" s="345">
        <v>9</v>
      </c>
      <c r="E40" s="200" t="s">
        <v>311</v>
      </c>
      <c r="F40" s="346"/>
      <c r="G40" s="347"/>
      <c r="H40" s="867">
        <f>výdavky!D733</f>
        <v>0</v>
      </c>
      <c r="I40" s="562">
        <f>výdavky!E733</f>
        <v>4341.0200000000004</v>
      </c>
      <c r="J40" s="579">
        <f>výdavky!F731</f>
        <v>0</v>
      </c>
      <c r="K40" s="562">
        <f>výdavky!G731</f>
        <v>0</v>
      </c>
      <c r="L40" s="579">
        <f>výdavky!H733</f>
        <v>0</v>
      </c>
      <c r="M40" s="562">
        <f>výdavky!I733</f>
        <v>0</v>
      </c>
      <c r="N40" s="579"/>
    </row>
    <row r="41" spans="1:14" s="189" customFormat="1" x14ac:dyDescent="0.2">
      <c r="A41" s="130">
        <v>35</v>
      </c>
      <c r="B41" s="188"/>
      <c r="C41" s="212"/>
      <c r="D41" s="199">
        <v>10</v>
      </c>
      <c r="E41" s="200" t="s">
        <v>450</v>
      </c>
      <c r="F41" s="201"/>
      <c r="G41" s="182">
        <v>78.099999999999994</v>
      </c>
      <c r="H41" s="576">
        <f>výdavky!D735</f>
        <v>0</v>
      </c>
      <c r="I41" s="277">
        <f>výdavky!E735</f>
        <v>0</v>
      </c>
      <c r="J41" s="576">
        <f>výdavky!F735</f>
        <v>0</v>
      </c>
      <c r="K41" s="277">
        <f>výdavky!G735</f>
        <v>0</v>
      </c>
      <c r="L41" s="576">
        <f>výdavky!H735</f>
        <v>0</v>
      </c>
      <c r="M41" s="277">
        <f>výdavky!I735</f>
        <v>0</v>
      </c>
      <c r="N41" s="576">
        <f>výdavky!J735</f>
        <v>0</v>
      </c>
    </row>
    <row r="42" spans="1:14" s="189" customFormat="1" x14ac:dyDescent="0.2">
      <c r="A42" s="130">
        <v>36</v>
      </c>
      <c r="B42" s="163"/>
      <c r="C42" s="1467"/>
      <c r="D42" s="805" t="s">
        <v>179</v>
      </c>
      <c r="E42" s="806"/>
      <c r="F42" s="1408"/>
      <c r="G42" s="168"/>
      <c r="H42" s="1441">
        <f t="shared" ref="H42:N42" si="8">H43</f>
        <v>133492</v>
      </c>
      <c r="I42" s="1445">
        <f t="shared" si="8"/>
        <v>150204</v>
      </c>
      <c r="J42" s="1441">
        <f t="shared" si="8"/>
        <v>150204</v>
      </c>
      <c r="K42" s="1445">
        <f>K43</f>
        <v>152904</v>
      </c>
      <c r="L42" s="1441">
        <f t="shared" si="8"/>
        <v>150204</v>
      </c>
      <c r="M42" s="1445">
        <f t="shared" si="8"/>
        <v>130004</v>
      </c>
      <c r="N42" s="1441">
        <f t="shared" si="8"/>
        <v>115004</v>
      </c>
    </row>
    <row r="43" spans="1:14" s="189" customFormat="1" x14ac:dyDescent="0.2">
      <c r="A43" s="130">
        <v>37</v>
      </c>
      <c r="B43" s="163"/>
      <c r="C43" s="1468" t="s">
        <v>308</v>
      </c>
      <c r="D43" s="2352" t="s">
        <v>307</v>
      </c>
      <c r="E43" s="2352"/>
      <c r="F43" s="1379"/>
      <c r="G43" s="168"/>
      <c r="H43" s="1442">
        <f t="shared" ref="H43:N43" si="9">H44+H45+H46</f>
        <v>133492</v>
      </c>
      <c r="I43" s="1446">
        <f t="shared" si="9"/>
        <v>150204</v>
      </c>
      <c r="J43" s="1442">
        <f t="shared" si="9"/>
        <v>150204</v>
      </c>
      <c r="K43" s="1446">
        <f t="shared" si="9"/>
        <v>152904</v>
      </c>
      <c r="L43" s="1442">
        <f t="shared" si="9"/>
        <v>150204</v>
      </c>
      <c r="M43" s="1446">
        <f t="shared" si="9"/>
        <v>130004</v>
      </c>
      <c r="N43" s="1442">
        <f t="shared" si="9"/>
        <v>115004</v>
      </c>
    </row>
    <row r="44" spans="1:14" s="189" customFormat="1" x14ac:dyDescent="0.2">
      <c r="A44" s="130">
        <v>38</v>
      </c>
      <c r="B44" s="163"/>
      <c r="C44" s="1467"/>
      <c r="D44" s="1464">
        <v>12</v>
      </c>
      <c r="E44" s="652" t="s">
        <v>783</v>
      </c>
      <c r="F44" s="1466"/>
      <c r="G44" s="168"/>
      <c r="H44" s="580">
        <f>výdavky!D809</f>
        <v>46900</v>
      </c>
      <c r="I44" s="566">
        <f>výdavky!E809</f>
        <v>55200</v>
      </c>
      <c r="J44" s="580">
        <f>výdavky!F809</f>
        <v>55200</v>
      </c>
      <c r="K44" s="566">
        <f>výdavky!G809</f>
        <v>55200</v>
      </c>
      <c r="L44" s="580">
        <f>výdavky!H809</f>
        <v>55200</v>
      </c>
      <c r="M44" s="566">
        <f>výdavky!I809</f>
        <v>35000</v>
      </c>
      <c r="N44" s="580">
        <f>výdavky!J809</f>
        <v>20000</v>
      </c>
    </row>
    <row r="45" spans="1:14" s="189" customFormat="1" x14ac:dyDescent="0.2">
      <c r="A45" s="130">
        <v>39</v>
      </c>
      <c r="B45" s="163"/>
      <c r="C45" s="1467"/>
      <c r="D45" s="1464">
        <v>13</v>
      </c>
      <c r="E45" s="652" t="s">
        <v>917</v>
      </c>
      <c r="F45" s="1466"/>
      <c r="G45" s="168"/>
      <c r="H45" s="580">
        <f>výdavky!D811</f>
        <v>0</v>
      </c>
      <c r="I45" s="566">
        <f>výdavky!E811</f>
        <v>0</v>
      </c>
      <c r="J45" s="580">
        <f>výdavky!F811</f>
        <v>0</v>
      </c>
      <c r="K45" s="566">
        <f>výdavky!G811</f>
        <v>2700</v>
      </c>
      <c r="L45" s="580">
        <f>výdavky!H811</f>
        <v>0</v>
      </c>
      <c r="M45" s="566">
        <f>výdavky!I811</f>
        <v>0</v>
      </c>
      <c r="N45" s="580">
        <f>výdavky!J811</f>
        <v>0</v>
      </c>
    </row>
    <row r="46" spans="1:14" s="189" customFormat="1" x14ac:dyDescent="0.2">
      <c r="A46" s="130">
        <v>40</v>
      </c>
      <c r="B46" s="163"/>
      <c r="C46" s="212"/>
      <c r="D46" s="1464">
        <v>14</v>
      </c>
      <c r="E46" s="652" t="s">
        <v>918</v>
      </c>
      <c r="F46" s="1465"/>
      <c r="G46" s="1469"/>
      <c r="H46" s="1470">
        <f>výdavky!D813</f>
        <v>86592</v>
      </c>
      <c r="I46" s="1471">
        <f>výdavky!E813</f>
        <v>95004</v>
      </c>
      <c r="J46" s="1470">
        <f>výdavky!F813</f>
        <v>95004</v>
      </c>
      <c r="K46" s="1471">
        <f>výdavky!G813</f>
        <v>95004</v>
      </c>
      <c r="L46" s="1470">
        <f>výdavky!H813</f>
        <v>95004</v>
      </c>
      <c r="M46" s="1471">
        <f>výdavky!I813</f>
        <v>95004</v>
      </c>
      <c r="N46" s="1470">
        <f>výdavky!J813</f>
        <v>95004</v>
      </c>
    </row>
    <row r="47" spans="1:14" x14ac:dyDescent="0.2">
      <c r="A47" s="130">
        <v>41</v>
      </c>
      <c r="B47" s="230">
        <v>3</v>
      </c>
      <c r="C47" s="339" t="s">
        <v>312</v>
      </c>
      <c r="D47" s="137"/>
      <c r="E47" s="137"/>
      <c r="F47" s="137"/>
      <c r="G47" s="349"/>
      <c r="H47" s="869">
        <f t="shared" ref="H47:N47" si="10">H48</f>
        <v>0</v>
      </c>
      <c r="I47" s="1447">
        <f t="shared" si="10"/>
        <v>0</v>
      </c>
      <c r="J47" s="1453">
        <f t="shared" si="10"/>
        <v>0</v>
      </c>
      <c r="K47" s="1458">
        <f t="shared" si="10"/>
        <v>0</v>
      </c>
      <c r="L47" s="1460">
        <f t="shared" si="10"/>
        <v>0</v>
      </c>
      <c r="M47" s="1458">
        <f t="shared" si="10"/>
        <v>0</v>
      </c>
      <c r="N47" s="1460">
        <f t="shared" si="10"/>
        <v>0</v>
      </c>
    </row>
    <row r="48" spans="1:14" x14ac:dyDescent="0.2">
      <c r="A48" s="130">
        <v>42</v>
      </c>
      <c r="B48" s="350"/>
      <c r="C48" s="351"/>
      <c r="D48" s="133" t="s">
        <v>176</v>
      </c>
      <c r="E48" s="152"/>
      <c r="F48" s="152"/>
      <c r="G48" s="815"/>
      <c r="H48" s="870">
        <f>H49</f>
        <v>0</v>
      </c>
      <c r="I48" s="1448">
        <f>I50+I51</f>
        <v>0</v>
      </c>
      <c r="J48" s="1454">
        <f>J49</f>
        <v>0</v>
      </c>
      <c r="K48" s="132">
        <f>K50+K51</f>
        <v>0</v>
      </c>
      <c r="L48" s="1461">
        <f>L50+L51</f>
        <v>0</v>
      </c>
      <c r="M48" s="132">
        <f>M50+M51</f>
        <v>0</v>
      </c>
      <c r="N48" s="1461">
        <f>N50+N51</f>
        <v>0</v>
      </c>
    </row>
    <row r="49" spans="1:14" x14ac:dyDescent="0.2">
      <c r="A49" s="130">
        <v>43</v>
      </c>
      <c r="B49" s="350"/>
      <c r="C49" s="816" t="s">
        <v>313</v>
      </c>
      <c r="D49" s="2350" t="s">
        <v>312</v>
      </c>
      <c r="E49" s="2350"/>
      <c r="F49" s="274"/>
      <c r="G49" s="817"/>
      <c r="H49" s="871">
        <f t="shared" ref="H49:N49" si="11">H50+H51</f>
        <v>0</v>
      </c>
      <c r="I49" s="1449">
        <f t="shared" si="11"/>
        <v>0</v>
      </c>
      <c r="J49" s="1455">
        <f t="shared" si="11"/>
        <v>0</v>
      </c>
      <c r="K49" s="274">
        <f t="shared" si="11"/>
        <v>0</v>
      </c>
      <c r="L49" s="1462">
        <f t="shared" si="11"/>
        <v>0</v>
      </c>
      <c r="M49" s="274">
        <f t="shared" si="11"/>
        <v>0</v>
      </c>
      <c r="N49" s="1462">
        <f t="shared" si="11"/>
        <v>0</v>
      </c>
    </row>
    <row r="50" spans="1:14" x14ac:dyDescent="0.2">
      <c r="A50" s="130">
        <v>44</v>
      </c>
      <c r="B50" s="350"/>
      <c r="C50" s="352">
        <v>633</v>
      </c>
      <c r="D50" s="353">
        <v>1</v>
      </c>
      <c r="E50" s="221" t="s">
        <v>314</v>
      </c>
      <c r="F50" s="221"/>
      <c r="G50" s="221"/>
      <c r="H50" s="868">
        <f>výdavky!D277</f>
        <v>0</v>
      </c>
      <c r="I50" s="1450">
        <f>SUM(výdavky!E277)</f>
        <v>0</v>
      </c>
      <c r="J50" s="1456">
        <f>výdavky!F277</f>
        <v>0</v>
      </c>
      <c r="K50" s="1459">
        <f>výdavky!G277</f>
        <v>0</v>
      </c>
      <c r="L50" s="868">
        <f>výdavky!H277</f>
        <v>0</v>
      </c>
      <c r="M50" s="1459">
        <f>výdavky!I277</f>
        <v>0</v>
      </c>
      <c r="N50" s="868">
        <f>výdavky!J277</f>
        <v>0</v>
      </c>
    </row>
    <row r="51" spans="1:14" ht="13.5" thickBot="1" x14ac:dyDescent="0.25">
      <c r="A51" s="242">
        <v>45</v>
      </c>
      <c r="B51" s="354"/>
      <c r="C51" s="355">
        <v>637</v>
      </c>
      <c r="D51" s="356">
        <v>2</v>
      </c>
      <c r="E51" s="357" t="s">
        <v>315</v>
      </c>
      <c r="F51" s="357"/>
      <c r="G51" s="357"/>
      <c r="H51" s="1440">
        <f>výdavky!D278</f>
        <v>0</v>
      </c>
      <c r="I51" s="1451">
        <f>výdavky!E278</f>
        <v>0</v>
      </c>
      <c r="J51" s="1457">
        <f>výdavky!F278</f>
        <v>0</v>
      </c>
      <c r="K51" s="357">
        <v>0</v>
      </c>
      <c r="L51" s="1440">
        <f>výdavky!H278</f>
        <v>0</v>
      </c>
      <c r="M51" s="1472">
        <f>výdavky!I278</f>
        <v>0</v>
      </c>
      <c r="N51" s="1440">
        <f>výdavky!J278</f>
        <v>0</v>
      </c>
    </row>
    <row r="52" spans="1:14" x14ac:dyDescent="0.2"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</row>
  </sheetData>
  <mergeCells count="6">
    <mergeCell ref="D49:E49"/>
    <mergeCell ref="G3:N3"/>
    <mergeCell ref="D4:F6"/>
    <mergeCell ref="D37:E37"/>
    <mergeCell ref="D38:E38"/>
    <mergeCell ref="D43:E43"/>
  </mergeCells>
  <phoneticPr fontId="43" type="noConversion"/>
  <pageMargins left="0.25" right="0.25" top="0.75" bottom="0.75" header="0.3" footer="0.3"/>
  <pageSetup paperSize="9" scale="81" firstPageNumber="0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workbookViewId="0">
      <selection activeCell="A11" sqref="A11:I11"/>
    </sheetView>
  </sheetViews>
  <sheetFormatPr defaultRowHeight="12.75" x14ac:dyDescent="0.2"/>
  <sheetData>
    <row r="1" spans="1:9" ht="23.25" x14ac:dyDescent="0.2">
      <c r="A1" s="2332" t="s">
        <v>1205</v>
      </c>
      <c r="B1" s="2332"/>
      <c r="C1" s="2332"/>
      <c r="D1" s="2332" t="s">
        <v>1206</v>
      </c>
      <c r="E1" s="2332"/>
      <c r="F1" s="2332"/>
      <c r="G1" s="2332"/>
      <c r="H1" s="2332"/>
      <c r="I1" s="2332"/>
    </row>
    <row r="2" spans="1:9" x14ac:dyDescent="0.2">
      <c r="A2" s="2058"/>
      <c r="B2" s="2058"/>
      <c r="C2" s="2058"/>
      <c r="D2" s="2058"/>
      <c r="E2" s="2058"/>
      <c r="F2" s="2058"/>
      <c r="G2" s="2058"/>
      <c r="H2" s="2058"/>
      <c r="I2" s="2058"/>
    </row>
    <row r="3" spans="1:9" ht="15.75" x14ac:dyDescent="0.2">
      <c r="A3" s="2354" t="s">
        <v>1229</v>
      </c>
      <c r="B3" s="2355"/>
      <c r="C3" s="2355"/>
      <c r="D3" s="2355"/>
      <c r="E3" s="2355"/>
      <c r="F3" s="2355"/>
      <c r="G3" s="2355"/>
      <c r="H3" s="2355"/>
      <c r="I3" s="2355"/>
    </row>
    <row r="4" spans="1:9" ht="26.25" customHeight="1" x14ac:dyDescent="0.2">
      <c r="A4" s="2353" t="s">
        <v>1228</v>
      </c>
      <c r="B4" s="2353"/>
      <c r="C4" s="2353"/>
      <c r="D4" s="2353"/>
      <c r="E4" s="2353"/>
      <c r="F4" s="2353"/>
      <c r="G4" s="2353"/>
      <c r="H4" s="2353"/>
      <c r="I4" s="2353"/>
    </row>
    <row r="5" spans="1:9" s="2058" customFormat="1" x14ac:dyDescent="0.2"/>
    <row r="6" spans="1:9" ht="15.75" x14ac:dyDescent="0.25">
      <c r="A6" s="2112" t="s">
        <v>1039</v>
      </c>
      <c r="B6" s="2058"/>
      <c r="C6" s="2058"/>
      <c r="D6" s="2058"/>
      <c r="E6" s="2058"/>
      <c r="F6" s="2058"/>
      <c r="G6" s="2058"/>
      <c r="H6" s="2058"/>
      <c r="I6" s="2058"/>
    </row>
    <row r="7" spans="1:9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  <c r="I7" s="2058"/>
    </row>
    <row r="8" spans="1:9" ht="15.75" x14ac:dyDescent="0.25">
      <c r="A8" s="2070" t="s">
        <v>170</v>
      </c>
      <c r="B8" s="2077">
        <f>'Program 5'!H7</f>
        <v>361667</v>
      </c>
      <c r="C8" s="2077">
        <f>'Program 5'!I7</f>
        <v>312411.2</v>
      </c>
      <c r="D8" s="2077">
        <f>'Program 5'!J7</f>
        <v>287204</v>
      </c>
      <c r="E8" s="2077">
        <f>'Program 5'!K7</f>
        <v>296276</v>
      </c>
      <c r="F8" s="2078">
        <f>'Program 5'!L7</f>
        <v>334604</v>
      </c>
      <c r="G8" s="2077">
        <f>'Program 5'!M7</f>
        <v>304404</v>
      </c>
      <c r="H8" s="2077">
        <f>'Program 5'!N7</f>
        <v>286159</v>
      </c>
      <c r="I8" s="2058"/>
    </row>
    <row r="9" spans="1:9" x14ac:dyDescent="0.2">
      <c r="A9" s="2058"/>
      <c r="B9" s="2058"/>
      <c r="C9" s="2058"/>
      <c r="D9" s="2058"/>
      <c r="E9" s="2058"/>
      <c r="F9" s="2058"/>
      <c r="G9" s="2058"/>
      <c r="H9" s="2058"/>
      <c r="I9" s="2058"/>
    </row>
    <row r="10" spans="1:9" ht="15" x14ac:dyDescent="0.25">
      <c r="A10" s="2309" t="s">
        <v>1124</v>
      </c>
      <c r="B10" s="2309"/>
      <c r="C10" s="2309"/>
      <c r="D10" s="2309"/>
      <c r="E10" s="2309"/>
      <c r="F10" s="2309"/>
      <c r="G10" s="2309"/>
      <c r="H10" s="2309"/>
      <c r="I10" s="2309"/>
    </row>
    <row r="11" spans="1:9" ht="102.75" customHeight="1" x14ac:dyDescent="0.2">
      <c r="A11" s="2308" t="s">
        <v>1207</v>
      </c>
      <c r="B11" s="2308"/>
      <c r="C11" s="2308"/>
      <c r="D11" s="2308"/>
      <c r="E11" s="2308"/>
      <c r="F11" s="2308"/>
      <c r="G11" s="2308"/>
      <c r="H11" s="2308"/>
      <c r="I11" s="2308"/>
    </row>
    <row r="12" spans="1:9" x14ac:dyDescent="0.2">
      <c r="A12" s="2058"/>
      <c r="B12" s="2058"/>
      <c r="C12" s="2058"/>
      <c r="D12" s="2058"/>
      <c r="E12" s="2058"/>
      <c r="F12" s="2058"/>
      <c r="G12" s="2058"/>
      <c r="H12" s="2058"/>
      <c r="I12" s="2058"/>
    </row>
    <row r="13" spans="1:9" ht="15" x14ac:dyDescent="0.25">
      <c r="A13" s="2306" t="s">
        <v>1208</v>
      </c>
      <c r="B13" s="2306"/>
      <c r="C13" s="2306"/>
      <c r="D13" s="2306" t="s">
        <v>1209</v>
      </c>
      <c r="E13" s="2306"/>
      <c r="F13" s="2306"/>
      <c r="G13" s="2306"/>
      <c r="H13" s="2306"/>
      <c r="I13" s="2306"/>
    </row>
    <row r="14" spans="1:9" x14ac:dyDescent="0.2">
      <c r="A14" s="2058"/>
      <c r="B14" s="2058"/>
      <c r="C14" s="2058"/>
      <c r="D14" s="2058"/>
      <c r="E14" s="2058"/>
      <c r="F14" s="2058"/>
      <c r="G14" s="2058"/>
      <c r="H14" s="2058"/>
      <c r="I14" s="2058"/>
    </row>
    <row r="15" spans="1:9" ht="15" x14ac:dyDescent="0.25">
      <c r="A15" s="2307" t="s">
        <v>1162</v>
      </c>
      <c r="B15" s="2307"/>
      <c r="C15" s="2307"/>
      <c r="D15" s="2307"/>
      <c r="E15" s="2307"/>
      <c r="F15" s="2307"/>
      <c r="G15" s="2307"/>
      <c r="H15" s="2307"/>
      <c r="I15" s="2307"/>
    </row>
    <row r="16" spans="1:9" ht="15" x14ac:dyDescent="0.2">
      <c r="A16" s="2105" t="s">
        <v>1210</v>
      </c>
      <c r="B16" s="2106"/>
      <c r="C16" s="2106"/>
      <c r="D16" s="2106"/>
      <c r="E16" s="2106"/>
      <c r="F16" s="2106"/>
      <c r="G16" s="2106"/>
      <c r="H16" s="2106"/>
      <c r="I16" s="2106"/>
    </row>
    <row r="17" spans="1:9" x14ac:dyDescent="0.2">
      <c r="A17" s="2106"/>
      <c r="B17" s="2106"/>
      <c r="C17" s="2106"/>
      <c r="D17" s="2106"/>
      <c r="E17" s="2106"/>
      <c r="F17" s="2106"/>
      <c r="G17" s="2106"/>
      <c r="H17" s="2106"/>
      <c r="I17" s="2106"/>
    </row>
    <row r="18" spans="1:9" ht="15" x14ac:dyDescent="0.25">
      <c r="A18" s="2076" t="s">
        <v>1039</v>
      </c>
      <c r="B18" s="2058"/>
      <c r="C18" s="2058"/>
      <c r="D18" s="2058"/>
      <c r="E18" s="2058"/>
      <c r="F18" s="2058"/>
      <c r="G18" s="2058"/>
      <c r="H18" s="2058"/>
      <c r="I18" s="2058"/>
    </row>
    <row r="19" spans="1:9" ht="15" x14ac:dyDescent="0.25">
      <c r="A19" s="2074" t="s">
        <v>1040</v>
      </c>
      <c r="B19" s="2074">
        <v>2022</v>
      </c>
      <c r="C19" s="2074">
        <v>2023</v>
      </c>
      <c r="D19" s="2074">
        <v>2024</v>
      </c>
      <c r="E19" s="2074" t="s">
        <v>984</v>
      </c>
      <c r="F19" s="2074">
        <v>2025</v>
      </c>
      <c r="G19" s="2074">
        <v>2026</v>
      </c>
      <c r="H19" s="2074">
        <v>2027</v>
      </c>
      <c r="I19" s="2058"/>
    </row>
    <row r="20" spans="1:9" ht="15" x14ac:dyDescent="0.25">
      <c r="A20" s="2075" t="s">
        <v>170</v>
      </c>
      <c r="B20" s="2077">
        <f>'Program 5'!H11</f>
        <v>212830</v>
      </c>
      <c r="C20" s="2077">
        <f>'Program 5'!I11</f>
        <v>140482.74000000002</v>
      </c>
      <c r="D20" s="2077">
        <f>'Program 5'!J11</f>
        <v>130400</v>
      </c>
      <c r="E20" s="2077">
        <f>'Program 5'!K11</f>
        <v>122393</v>
      </c>
      <c r="F20" s="2078">
        <f>'Program 5'!L11</f>
        <v>166300</v>
      </c>
      <c r="G20" s="2077">
        <f>'Program 5'!M11</f>
        <v>156300</v>
      </c>
      <c r="H20" s="2077">
        <f>'Program 5'!N11</f>
        <v>152850</v>
      </c>
      <c r="I20" s="2058"/>
    </row>
    <row r="21" spans="1:9" x14ac:dyDescent="0.2">
      <c r="A21" s="2058"/>
      <c r="B21" s="2058"/>
      <c r="C21" s="2058"/>
      <c r="D21" s="2058"/>
      <c r="E21" s="2058"/>
      <c r="F21" s="2058"/>
      <c r="G21" s="2058"/>
      <c r="H21" s="2058"/>
      <c r="I21" s="2058"/>
    </row>
    <row r="22" spans="1:9" x14ac:dyDescent="0.2">
      <c r="A22" s="2316" t="s">
        <v>1044</v>
      </c>
      <c r="B22" s="2316"/>
      <c r="C22" s="2316"/>
      <c r="D22" s="2316"/>
      <c r="E22" s="2316"/>
      <c r="F22" s="2316"/>
      <c r="G22" s="2316"/>
      <c r="H22" s="2316"/>
      <c r="I22" s="2316"/>
    </row>
    <row r="23" spans="1:9" ht="56.25" customHeight="1" x14ac:dyDescent="0.2">
      <c r="A23" s="2308" t="s">
        <v>1211</v>
      </c>
      <c r="B23" s="2308"/>
      <c r="C23" s="2308"/>
      <c r="D23" s="2308"/>
      <c r="E23" s="2308"/>
      <c r="F23" s="2308"/>
      <c r="G23" s="2308"/>
      <c r="H23" s="2308"/>
      <c r="I23" s="2308"/>
    </row>
    <row r="24" spans="1:9" ht="15" x14ac:dyDescent="0.2">
      <c r="A24" s="2108"/>
      <c r="B24" s="2058"/>
      <c r="C24" s="2058"/>
      <c r="D24" s="2058"/>
      <c r="E24" s="2058"/>
      <c r="F24" s="2058"/>
      <c r="G24" s="2058"/>
      <c r="H24" s="2058"/>
      <c r="I24" s="2058"/>
    </row>
    <row r="25" spans="1:9" ht="15" x14ac:dyDescent="0.25">
      <c r="A25" s="2076" t="s">
        <v>1051</v>
      </c>
      <c r="B25" s="2058"/>
      <c r="C25" s="2058"/>
      <c r="D25" s="2058"/>
      <c r="E25" s="2058"/>
      <c r="F25" s="2058"/>
      <c r="G25" s="2058"/>
      <c r="H25" s="2080"/>
      <c r="I25" s="2080"/>
    </row>
    <row r="26" spans="1:9" ht="38.25" x14ac:dyDescent="0.2">
      <c r="A26" s="2310" t="s">
        <v>1052</v>
      </c>
      <c r="B26" s="2310"/>
      <c r="C26" s="2310"/>
      <c r="D26" s="2310" t="s">
        <v>1056</v>
      </c>
      <c r="E26" s="2310"/>
      <c r="F26" s="2310"/>
      <c r="G26" s="2087" t="s">
        <v>1054</v>
      </c>
      <c r="H26" s="2087" t="s">
        <v>1055</v>
      </c>
      <c r="I26" s="2087" t="s">
        <v>1053</v>
      </c>
    </row>
    <row r="27" spans="1:9" ht="27.75" customHeight="1" x14ac:dyDescent="0.2">
      <c r="A27" s="2340" t="s">
        <v>1214</v>
      </c>
      <c r="B27" s="2340"/>
      <c r="C27" s="2340"/>
      <c r="D27" s="2348" t="s">
        <v>1212</v>
      </c>
      <c r="E27" s="2348"/>
      <c r="F27" s="2348"/>
      <c r="G27" s="2113">
        <v>420</v>
      </c>
      <c r="H27" s="2113">
        <v>420</v>
      </c>
      <c r="I27" s="2113">
        <v>420</v>
      </c>
    </row>
    <row r="28" spans="1:9" s="2058" customFormat="1" ht="40.5" customHeight="1" x14ac:dyDescent="0.2">
      <c r="A28" s="2340"/>
      <c r="B28" s="2340"/>
      <c r="C28" s="2340"/>
      <c r="D28" s="2348" t="s">
        <v>1213</v>
      </c>
      <c r="E28" s="2348"/>
      <c r="F28" s="2348"/>
      <c r="G28" s="2093">
        <v>0.5</v>
      </c>
      <c r="H28" s="2093">
        <v>0.55000000000000004</v>
      </c>
      <c r="I28" s="2114">
        <v>0.6</v>
      </c>
    </row>
    <row r="29" spans="1:9" x14ac:dyDescent="0.2">
      <c r="A29" s="2098"/>
      <c r="B29" s="2098"/>
      <c r="C29" s="2098"/>
      <c r="D29" s="2347"/>
      <c r="E29" s="2347"/>
      <c r="F29" s="2347"/>
      <c r="G29" s="2097"/>
      <c r="H29" s="2097"/>
      <c r="I29" s="2097"/>
    </row>
    <row r="30" spans="1:9" ht="15" x14ac:dyDescent="0.25">
      <c r="A30" s="2306" t="s">
        <v>1215</v>
      </c>
      <c r="B30" s="2306"/>
      <c r="C30" s="2306"/>
      <c r="D30" s="2306" t="s">
        <v>307</v>
      </c>
      <c r="E30" s="2306"/>
      <c r="F30" s="2306"/>
      <c r="G30" s="2306"/>
      <c r="H30" s="2306"/>
      <c r="I30" s="2306"/>
    </row>
    <row r="31" spans="1:9" x14ac:dyDescent="0.2">
      <c r="A31" s="2058"/>
      <c r="B31" s="2058"/>
      <c r="C31" s="2058"/>
      <c r="D31" s="2058"/>
      <c r="E31" s="2058"/>
      <c r="F31" s="2058"/>
      <c r="G31" s="2058"/>
      <c r="H31" s="2058"/>
      <c r="I31" s="2058"/>
    </row>
    <row r="32" spans="1:9" ht="15" x14ac:dyDescent="0.25">
      <c r="A32" s="2307" t="s">
        <v>1162</v>
      </c>
      <c r="B32" s="2307"/>
      <c r="C32" s="2307"/>
      <c r="D32" s="2307"/>
      <c r="E32" s="2307"/>
      <c r="F32" s="2307"/>
      <c r="G32" s="2307"/>
      <c r="H32" s="2307"/>
      <c r="I32" s="2307"/>
    </row>
    <row r="33" spans="1:9" ht="45.75" customHeight="1" x14ac:dyDescent="0.2">
      <c r="A33" s="2308" t="s">
        <v>1216</v>
      </c>
      <c r="B33" s="2308"/>
      <c r="C33" s="2308"/>
      <c r="D33" s="2308"/>
      <c r="E33" s="2308"/>
      <c r="F33" s="2308"/>
      <c r="G33" s="2308"/>
      <c r="H33" s="2308"/>
      <c r="I33" s="2308"/>
    </row>
    <row r="34" spans="1:9" x14ac:dyDescent="0.2">
      <c r="A34" s="2106"/>
      <c r="B34" s="2106"/>
      <c r="C34" s="2106"/>
      <c r="D34" s="2106"/>
      <c r="E34" s="2106"/>
      <c r="F34" s="2106"/>
      <c r="G34" s="2106"/>
      <c r="H34" s="2106"/>
      <c r="I34" s="2106"/>
    </row>
    <row r="35" spans="1:9" s="2058" customFormat="1" x14ac:dyDescent="0.2">
      <c r="A35" s="2106"/>
      <c r="B35" s="2106"/>
      <c r="C35" s="2106"/>
      <c r="D35" s="2106"/>
      <c r="E35" s="2106"/>
      <c r="F35" s="2106"/>
      <c r="G35" s="2106"/>
      <c r="H35" s="2106"/>
      <c r="I35" s="2106"/>
    </row>
    <row r="36" spans="1:9" s="2058" customFormat="1" x14ac:dyDescent="0.2">
      <c r="A36" s="2106"/>
      <c r="B36" s="2106"/>
      <c r="C36" s="2106"/>
      <c r="D36" s="2106"/>
      <c r="E36" s="2106"/>
      <c r="F36" s="2106"/>
      <c r="G36" s="2106"/>
      <c r="H36" s="2106"/>
      <c r="I36" s="2106"/>
    </row>
    <row r="37" spans="1:9" s="2058" customFormat="1" x14ac:dyDescent="0.2">
      <c r="A37" s="2106"/>
      <c r="B37" s="2106"/>
      <c r="C37" s="2106"/>
      <c r="D37" s="2106"/>
      <c r="E37" s="2106"/>
      <c r="F37" s="2106"/>
      <c r="G37" s="2106"/>
      <c r="H37" s="2106"/>
      <c r="I37" s="2106"/>
    </row>
    <row r="38" spans="1:9" ht="15" x14ac:dyDescent="0.25">
      <c r="A38" s="2076" t="s">
        <v>1039</v>
      </c>
      <c r="B38" s="2058"/>
      <c r="C38" s="2058"/>
      <c r="D38" s="2058"/>
      <c r="E38" s="2058"/>
      <c r="F38" s="2058"/>
      <c r="G38" s="2058"/>
      <c r="H38" s="2058"/>
      <c r="I38" s="2058"/>
    </row>
    <row r="39" spans="1:9" ht="15" x14ac:dyDescent="0.25">
      <c r="A39" s="2074" t="s">
        <v>1040</v>
      </c>
      <c r="B39" s="2074">
        <v>2022</v>
      </c>
      <c r="C39" s="2074">
        <v>2023</v>
      </c>
      <c r="D39" s="2074">
        <v>2024</v>
      </c>
      <c r="E39" s="2074" t="s">
        <v>984</v>
      </c>
      <c r="F39" s="2074">
        <v>2025</v>
      </c>
      <c r="G39" s="2074">
        <v>2026</v>
      </c>
      <c r="H39" s="2074">
        <v>2027</v>
      </c>
      <c r="I39" s="2058"/>
    </row>
    <row r="40" spans="1:9" ht="15" x14ac:dyDescent="0.25">
      <c r="A40" s="2075" t="s">
        <v>170</v>
      </c>
      <c r="B40" s="2077">
        <f>'Program 5'!H27</f>
        <v>148837</v>
      </c>
      <c r="C40" s="2077">
        <f>'Program 5'!I27</f>
        <v>166888.46</v>
      </c>
      <c r="D40" s="2077">
        <f>'Program 5'!J27</f>
        <v>156804</v>
      </c>
      <c r="E40" s="2077">
        <f>'Program 5'!K27</f>
        <v>173883</v>
      </c>
      <c r="F40" s="2078">
        <f>'Program 5'!L27</f>
        <v>168304</v>
      </c>
      <c r="G40" s="2077">
        <f>'Program 5'!M27</f>
        <v>148104</v>
      </c>
      <c r="H40" s="2077">
        <f>'Program 5'!N27</f>
        <v>133309</v>
      </c>
      <c r="I40" s="2058"/>
    </row>
    <row r="41" spans="1:9" x14ac:dyDescent="0.2">
      <c r="A41" s="2058"/>
      <c r="B41" s="2058"/>
      <c r="C41" s="2058"/>
      <c r="D41" s="2058"/>
      <c r="E41" s="2058"/>
      <c r="F41" s="2058"/>
      <c r="G41" s="2058"/>
      <c r="H41" s="2058"/>
      <c r="I41" s="2058"/>
    </row>
    <row r="42" spans="1:9" ht="15" x14ac:dyDescent="0.25">
      <c r="A42" s="2309" t="s">
        <v>1181</v>
      </c>
      <c r="B42" s="2309"/>
      <c r="C42" s="2309"/>
      <c r="D42" s="2309"/>
      <c r="E42" s="2309"/>
      <c r="F42" s="2309"/>
      <c r="G42" s="2309"/>
      <c r="H42" s="2309"/>
      <c r="I42" s="2309"/>
    </row>
    <row r="43" spans="1:9" ht="54" customHeight="1" x14ac:dyDescent="0.2">
      <c r="A43" s="2308" t="s">
        <v>1217</v>
      </c>
      <c r="B43" s="2308"/>
      <c r="C43" s="2308"/>
      <c r="D43" s="2308"/>
      <c r="E43" s="2308"/>
      <c r="F43" s="2308"/>
      <c r="G43" s="2308"/>
      <c r="H43" s="2308"/>
      <c r="I43" s="2308"/>
    </row>
    <row r="44" spans="1:9" x14ac:dyDescent="0.2">
      <c r="A44" s="2058"/>
      <c r="B44" s="2058"/>
      <c r="C44" s="2058"/>
      <c r="D44" s="2058"/>
      <c r="E44" s="2058"/>
      <c r="F44" s="2058"/>
      <c r="G44" s="2058"/>
      <c r="H44" s="2058"/>
      <c r="I44" s="2058"/>
    </row>
    <row r="45" spans="1:9" ht="15" x14ac:dyDescent="0.25">
      <c r="A45" s="2076" t="s">
        <v>1051</v>
      </c>
      <c r="B45" s="2058"/>
      <c r="C45" s="2058"/>
      <c r="D45" s="2058"/>
      <c r="E45" s="2058"/>
      <c r="F45" s="2058"/>
      <c r="G45" s="2058"/>
      <c r="H45" s="2080"/>
      <c r="I45" s="2080"/>
    </row>
    <row r="46" spans="1:9" ht="38.25" x14ac:dyDescent="0.2">
      <c r="A46" s="2310" t="s">
        <v>1052</v>
      </c>
      <c r="B46" s="2310"/>
      <c r="C46" s="2310"/>
      <c r="D46" s="2310" t="s">
        <v>1056</v>
      </c>
      <c r="E46" s="2310"/>
      <c r="F46" s="2310"/>
      <c r="G46" s="2087" t="s">
        <v>1054</v>
      </c>
      <c r="H46" s="2087" t="s">
        <v>1055</v>
      </c>
      <c r="I46" s="2087" t="s">
        <v>1053</v>
      </c>
    </row>
    <row r="47" spans="1:9" ht="29.25" customHeight="1" x14ac:dyDescent="0.2">
      <c r="A47" s="2311" t="s">
        <v>1220</v>
      </c>
      <c r="B47" s="2311"/>
      <c r="C47" s="2311"/>
      <c r="D47" s="2305" t="s">
        <v>1218</v>
      </c>
      <c r="E47" s="2305"/>
      <c r="F47" s="2305"/>
      <c r="G47" s="2100">
        <v>800</v>
      </c>
      <c r="H47" s="2100">
        <v>300</v>
      </c>
      <c r="I47" s="2100">
        <v>0</v>
      </c>
    </row>
    <row r="48" spans="1:9" ht="27" customHeight="1" x14ac:dyDescent="0.2">
      <c r="A48" s="2311"/>
      <c r="B48" s="2311"/>
      <c r="C48" s="2311"/>
      <c r="D48" s="2305" t="s">
        <v>1219</v>
      </c>
      <c r="E48" s="2305"/>
      <c r="F48" s="2305"/>
      <c r="G48" s="2100">
        <v>50</v>
      </c>
      <c r="H48" s="2100">
        <v>20</v>
      </c>
      <c r="I48" s="2100">
        <v>0</v>
      </c>
    </row>
    <row r="49" spans="1:9" ht="27" customHeight="1" x14ac:dyDescent="0.2">
      <c r="A49" s="2305" t="s">
        <v>1222</v>
      </c>
      <c r="B49" s="2305"/>
      <c r="C49" s="2305"/>
      <c r="D49" s="2305" t="s">
        <v>1221</v>
      </c>
      <c r="E49" s="2305"/>
      <c r="F49" s="2305"/>
      <c r="G49" s="2093">
        <v>0.8</v>
      </c>
      <c r="H49" s="2093">
        <v>0.85</v>
      </c>
      <c r="I49" s="2093">
        <v>0.9</v>
      </c>
    </row>
    <row r="50" spans="1:9" x14ac:dyDescent="0.2">
      <c r="A50" s="2099"/>
      <c r="B50" s="2099"/>
      <c r="C50" s="2099"/>
      <c r="D50" s="2356"/>
      <c r="E50" s="2356"/>
      <c r="F50" s="2356"/>
      <c r="G50" s="2097"/>
      <c r="H50" s="2097"/>
      <c r="I50" s="2097"/>
    </row>
    <row r="51" spans="1:9" ht="15" x14ac:dyDescent="0.25">
      <c r="A51" s="2306" t="s">
        <v>1223</v>
      </c>
      <c r="B51" s="2306"/>
      <c r="C51" s="2306"/>
      <c r="D51" s="2306" t="s">
        <v>312</v>
      </c>
      <c r="E51" s="2306"/>
      <c r="F51" s="2306"/>
      <c r="G51" s="2306"/>
      <c r="H51" s="2306"/>
      <c r="I51" s="2306"/>
    </row>
    <row r="52" spans="1:9" x14ac:dyDescent="0.2">
      <c r="A52" s="2058"/>
      <c r="B52" s="2058"/>
      <c r="C52" s="2058"/>
      <c r="D52" s="2058"/>
      <c r="E52" s="2058"/>
      <c r="F52" s="2058"/>
      <c r="G52" s="2058"/>
      <c r="H52" s="2058"/>
      <c r="I52" s="2058"/>
    </row>
    <row r="53" spans="1:9" ht="15" x14ac:dyDescent="0.25">
      <c r="A53" s="2307" t="s">
        <v>1162</v>
      </c>
      <c r="B53" s="2307"/>
      <c r="C53" s="2307"/>
      <c r="D53" s="2307"/>
      <c r="E53" s="2307"/>
      <c r="F53" s="2307"/>
      <c r="G53" s="2307"/>
      <c r="H53" s="2307"/>
      <c r="I53" s="2307"/>
    </row>
    <row r="54" spans="1:9" ht="15" x14ac:dyDescent="0.2">
      <c r="A54" s="2105" t="s">
        <v>1224</v>
      </c>
      <c r="B54" s="2106"/>
      <c r="C54" s="2106"/>
      <c r="D54" s="2106"/>
      <c r="E54" s="2106"/>
      <c r="F54" s="2106"/>
      <c r="G54" s="2106"/>
      <c r="H54" s="2106"/>
      <c r="I54" s="2106"/>
    </row>
    <row r="55" spans="1:9" x14ac:dyDescent="0.2">
      <c r="A55" s="2106"/>
      <c r="B55" s="2106"/>
      <c r="C55" s="2106"/>
      <c r="D55" s="2106"/>
      <c r="E55" s="2106"/>
      <c r="F55" s="2106"/>
      <c r="G55" s="2106"/>
      <c r="H55" s="2106"/>
      <c r="I55" s="2106"/>
    </row>
    <row r="56" spans="1:9" ht="15" x14ac:dyDescent="0.25">
      <c r="A56" s="2076" t="s">
        <v>1039</v>
      </c>
      <c r="B56" s="2058"/>
      <c r="C56" s="2058"/>
      <c r="D56" s="2058"/>
      <c r="E56" s="2058"/>
      <c r="F56" s="2058"/>
      <c r="G56" s="2058"/>
      <c r="H56" s="2058"/>
      <c r="I56" s="2058"/>
    </row>
    <row r="57" spans="1:9" ht="15" x14ac:dyDescent="0.25">
      <c r="A57" s="2074" t="s">
        <v>1040</v>
      </c>
      <c r="B57" s="2074">
        <v>2022</v>
      </c>
      <c r="C57" s="2074">
        <v>2023</v>
      </c>
      <c r="D57" s="2074">
        <v>2024</v>
      </c>
      <c r="E57" s="2074" t="s">
        <v>984</v>
      </c>
      <c r="F57" s="2074">
        <v>2025</v>
      </c>
      <c r="G57" s="2074">
        <v>2026</v>
      </c>
      <c r="H57" s="2074">
        <v>2027</v>
      </c>
      <c r="I57" s="2058"/>
    </row>
    <row r="58" spans="1:9" ht="15" x14ac:dyDescent="0.25">
      <c r="A58" s="2075" t="s">
        <v>170</v>
      </c>
      <c r="B58" s="2077">
        <f>'Program 5'!H47</f>
        <v>0</v>
      </c>
      <c r="C58" s="2077">
        <f>'Program 5'!I47</f>
        <v>0</v>
      </c>
      <c r="D58" s="2077">
        <f>'Program 5'!J47</f>
        <v>0</v>
      </c>
      <c r="E58" s="2077">
        <f>'Program 5'!K47</f>
        <v>0</v>
      </c>
      <c r="F58" s="2078">
        <f>'Program 5'!L47</f>
        <v>0</v>
      </c>
      <c r="G58" s="2077">
        <f>'Program 5'!M47</f>
        <v>0</v>
      </c>
      <c r="H58" s="2077">
        <f>'Program 5'!N47</f>
        <v>0</v>
      </c>
      <c r="I58" s="2058"/>
    </row>
    <row r="59" spans="1:9" x14ac:dyDescent="0.2">
      <c r="A59" s="2058"/>
      <c r="B59" s="2058"/>
      <c r="C59" s="2058"/>
      <c r="D59" s="2058"/>
      <c r="E59" s="2058"/>
      <c r="F59" s="2058"/>
      <c r="G59" s="2058"/>
      <c r="H59" s="2058"/>
      <c r="I59" s="2058"/>
    </row>
    <row r="60" spans="1:9" ht="15" x14ac:dyDescent="0.25">
      <c r="A60" s="2309" t="s">
        <v>1181</v>
      </c>
      <c r="B60" s="2309"/>
      <c r="C60" s="2309"/>
      <c r="D60" s="2309"/>
      <c r="E60" s="2309"/>
      <c r="F60" s="2309"/>
      <c r="G60" s="2309"/>
      <c r="H60" s="2309"/>
      <c r="I60" s="2309"/>
    </row>
    <row r="61" spans="1:9" ht="28.5" customHeight="1" x14ac:dyDescent="0.2">
      <c r="A61" s="2308" t="s">
        <v>1225</v>
      </c>
      <c r="B61" s="2308"/>
      <c r="C61" s="2308"/>
      <c r="D61" s="2308"/>
      <c r="E61" s="2308"/>
      <c r="F61" s="2308"/>
      <c r="G61" s="2308"/>
      <c r="H61" s="2308"/>
      <c r="I61" s="2308"/>
    </row>
    <row r="62" spans="1:9" x14ac:dyDescent="0.2">
      <c r="A62" s="2058"/>
      <c r="B62" s="2058"/>
      <c r="C62" s="2058"/>
      <c r="D62" s="2058"/>
      <c r="E62" s="2058"/>
      <c r="F62" s="2058"/>
      <c r="G62" s="2058"/>
      <c r="H62" s="2058"/>
      <c r="I62" s="2058"/>
    </row>
    <row r="63" spans="1:9" ht="15" x14ac:dyDescent="0.25">
      <c r="A63" s="2076" t="s">
        <v>1051</v>
      </c>
      <c r="B63" s="2058"/>
      <c r="C63" s="2058"/>
      <c r="D63" s="2058"/>
      <c r="E63" s="2058"/>
      <c r="F63" s="2058"/>
      <c r="G63" s="2058"/>
      <c r="H63" s="2080"/>
      <c r="I63" s="2080"/>
    </row>
    <row r="64" spans="1:9" ht="38.25" x14ac:dyDescent="0.2">
      <c r="A64" s="2310" t="s">
        <v>1052</v>
      </c>
      <c r="B64" s="2310"/>
      <c r="C64" s="2310"/>
      <c r="D64" s="2310" t="s">
        <v>1056</v>
      </c>
      <c r="E64" s="2310"/>
      <c r="F64" s="2310"/>
      <c r="G64" s="2087" t="s">
        <v>1054</v>
      </c>
      <c r="H64" s="2087" t="s">
        <v>1055</v>
      </c>
      <c r="I64" s="2087" t="s">
        <v>1053</v>
      </c>
    </row>
    <row r="65" spans="1:9" ht="23.25" customHeight="1" x14ac:dyDescent="0.2">
      <c r="A65" s="2305" t="s">
        <v>1226</v>
      </c>
      <c r="B65" s="2305"/>
      <c r="C65" s="2305"/>
      <c r="D65" s="2205" t="s">
        <v>1227</v>
      </c>
      <c r="E65" s="2205"/>
      <c r="F65" s="2205"/>
      <c r="G65" s="2100">
        <v>800</v>
      </c>
      <c r="H65" s="2100">
        <v>800</v>
      </c>
      <c r="I65" s="2100">
        <v>800</v>
      </c>
    </row>
    <row r="66" spans="1:9" x14ac:dyDescent="0.2">
      <c r="A66" s="2099"/>
      <c r="B66" s="2099"/>
      <c r="C66" s="2099"/>
      <c r="D66" s="2098"/>
      <c r="E66" s="2098"/>
      <c r="F66" s="2098"/>
      <c r="G66" s="2097"/>
      <c r="H66" s="2097"/>
      <c r="I66" s="2097"/>
    </row>
    <row r="67" spans="1:9" x14ac:dyDescent="0.2">
      <c r="A67" s="2099"/>
      <c r="B67" s="2099"/>
      <c r="C67" s="2099"/>
      <c r="D67" s="2098"/>
      <c r="E67" s="2098"/>
      <c r="F67" s="2098"/>
      <c r="G67" s="2097"/>
      <c r="H67" s="2097"/>
      <c r="I67" s="2097"/>
    </row>
  </sheetData>
  <mergeCells count="40">
    <mergeCell ref="D28:F28"/>
    <mergeCell ref="A27:C28"/>
    <mergeCell ref="A33:I33"/>
    <mergeCell ref="A49:C49"/>
    <mergeCell ref="D29:F29"/>
    <mergeCell ref="A30:C30"/>
    <mergeCell ref="D30:I30"/>
    <mergeCell ref="A32:I32"/>
    <mergeCell ref="A42:I42"/>
    <mergeCell ref="A43:I43"/>
    <mergeCell ref="D27:F27"/>
    <mergeCell ref="A65:C65"/>
    <mergeCell ref="D65:F65"/>
    <mergeCell ref="A51:C51"/>
    <mergeCell ref="D51:I51"/>
    <mergeCell ref="A46:C46"/>
    <mergeCell ref="D46:F46"/>
    <mergeCell ref="A47:C48"/>
    <mergeCell ref="D47:F47"/>
    <mergeCell ref="D48:F48"/>
    <mergeCell ref="D49:F49"/>
    <mergeCell ref="D50:F50"/>
    <mergeCell ref="A53:I53"/>
    <mergeCell ref="A60:I60"/>
    <mergeCell ref="A61:I61"/>
    <mergeCell ref="A64:C64"/>
    <mergeCell ref="D64:F64"/>
    <mergeCell ref="A4:I4"/>
    <mergeCell ref="A15:I15"/>
    <mergeCell ref="A22:I22"/>
    <mergeCell ref="A1:C1"/>
    <mergeCell ref="D1:I1"/>
    <mergeCell ref="A3:I3"/>
    <mergeCell ref="A10:I10"/>
    <mergeCell ref="A11:I11"/>
    <mergeCell ref="A23:I23"/>
    <mergeCell ref="A26:C26"/>
    <mergeCell ref="D26:F26"/>
    <mergeCell ref="A13:C13"/>
    <mergeCell ref="D13:I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4"/>
  <sheetViews>
    <sheetView workbookViewId="0">
      <selection activeCell="E21" sqref="E21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9.85546875" hidden="1" customWidth="1"/>
    <col min="7" max="7" width="0" hidden="1" customWidth="1"/>
    <col min="12" max="14" width="9.7109375" customWidth="1"/>
  </cols>
  <sheetData>
    <row r="1" spans="1:14" ht="15.75" x14ac:dyDescent="0.25">
      <c r="B1" s="99" t="s">
        <v>316</v>
      </c>
      <c r="E1" s="99" t="s">
        <v>317</v>
      </c>
      <c r="F1" s="97"/>
      <c r="G1" s="250" t="e">
        <f>G2-G7</f>
        <v>#REF!</v>
      </c>
      <c r="H1" s="250"/>
      <c r="I1" s="250"/>
      <c r="J1" s="250"/>
      <c r="K1" s="250"/>
      <c r="L1" s="251">
        <f>L2-L7</f>
        <v>0</v>
      </c>
      <c r="M1" s="251">
        <f>M2-M7</f>
        <v>0</v>
      </c>
      <c r="N1" s="251">
        <f>N2-N7</f>
        <v>0</v>
      </c>
    </row>
    <row r="2" spans="1:14" ht="15.75" x14ac:dyDescent="0.25">
      <c r="B2" s="99"/>
      <c r="G2" s="252" t="e">
        <f>SUM(G8:G10)</f>
        <v>#REF!</v>
      </c>
      <c r="H2" s="252"/>
      <c r="I2" s="252"/>
      <c r="J2" s="252"/>
      <c r="K2" s="252"/>
      <c r="L2" s="107">
        <f>SUM(L8:L10)</f>
        <v>46900</v>
      </c>
      <c r="M2" s="107">
        <f>SUM(M8:M10)</f>
        <v>29500</v>
      </c>
      <c r="N2" s="107">
        <f>SUM(N8:N10)</f>
        <v>29500</v>
      </c>
    </row>
    <row r="3" spans="1:14" ht="15.75" x14ac:dyDescent="0.25">
      <c r="A3" s="108"/>
      <c r="B3" s="109"/>
      <c r="C3" s="110"/>
      <c r="D3" s="110"/>
      <c r="E3" s="111"/>
      <c r="F3" s="112"/>
      <c r="G3" s="2302" t="s">
        <v>163</v>
      </c>
      <c r="H3" s="2302"/>
      <c r="I3" s="2302"/>
      <c r="J3" s="2302"/>
      <c r="K3" s="2302"/>
      <c r="L3" s="2302"/>
      <c r="M3" s="2302"/>
      <c r="N3" s="2302"/>
    </row>
    <row r="4" spans="1:14" ht="11.25" customHeight="1" x14ac:dyDescent="0.2">
      <c r="A4" s="113"/>
      <c r="B4" s="114" t="s">
        <v>164</v>
      </c>
      <c r="C4" s="115" t="s">
        <v>165</v>
      </c>
      <c r="D4" s="2333" t="s">
        <v>166</v>
      </c>
      <c r="E4" s="2333"/>
      <c r="F4" s="2333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5" customHeight="1" x14ac:dyDescent="0.2">
      <c r="A5" s="113"/>
      <c r="B5" s="114" t="s">
        <v>167</v>
      </c>
      <c r="C5" s="115" t="s">
        <v>168</v>
      </c>
      <c r="D5" s="2333"/>
      <c r="E5" s="2333"/>
      <c r="F5" s="2333"/>
      <c r="G5" s="118" t="s">
        <v>169</v>
      </c>
      <c r="H5" s="253" t="s">
        <v>170</v>
      </c>
      <c r="I5" s="119" t="s">
        <v>171</v>
      </c>
      <c r="J5" s="119" t="s">
        <v>170</v>
      </c>
      <c r="K5" s="119" t="s">
        <v>171</v>
      </c>
      <c r="L5" s="119" t="s">
        <v>170</v>
      </c>
      <c r="M5" s="119" t="s">
        <v>171</v>
      </c>
      <c r="N5" s="119" t="s">
        <v>171</v>
      </c>
    </row>
    <row r="6" spans="1:14" ht="13.5" thickBot="1" x14ac:dyDescent="0.25">
      <c r="A6" s="254"/>
      <c r="B6" s="255" t="s">
        <v>172</v>
      </c>
      <c r="C6" s="256" t="s">
        <v>173</v>
      </c>
      <c r="D6" s="2333"/>
      <c r="E6" s="2333"/>
      <c r="F6" s="2333"/>
      <c r="G6" s="257">
        <v>1</v>
      </c>
      <c r="H6" s="121">
        <v>-3</v>
      </c>
      <c r="I6" s="258">
        <v>-2</v>
      </c>
      <c r="J6" s="258">
        <v>-1</v>
      </c>
      <c r="K6" s="258">
        <v>-1</v>
      </c>
      <c r="L6" s="258">
        <v>0</v>
      </c>
      <c r="M6" s="258">
        <v>1</v>
      </c>
      <c r="N6" s="258">
        <v>2</v>
      </c>
    </row>
    <row r="7" spans="1:14" ht="15" x14ac:dyDescent="0.25">
      <c r="A7" s="130">
        <v>1</v>
      </c>
      <c r="B7" s="259" t="s">
        <v>316</v>
      </c>
      <c r="C7" s="260"/>
      <c r="D7" s="261"/>
      <c r="E7" s="262" t="s">
        <v>317</v>
      </c>
      <c r="F7" s="263"/>
      <c r="G7" s="264" t="e">
        <f>G11+G23</f>
        <v>#REF!</v>
      </c>
      <c r="H7" s="1185">
        <f>H8+H9+H10</f>
        <v>46888</v>
      </c>
      <c r="I7" s="1186">
        <f>SUM(I8:I10)</f>
        <v>50987.229999999996</v>
      </c>
      <c r="J7" s="1170">
        <f>J8+J9+J10</f>
        <v>29500</v>
      </c>
      <c r="K7" s="1170">
        <f>SUM(K8:K10)</f>
        <v>25000</v>
      </c>
      <c r="L7" s="1189">
        <f>SUM(L8:L10)</f>
        <v>46900</v>
      </c>
      <c r="M7" s="1170">
        <f>SUM(M8:M10)</f>
        <v>29500</v>
      </c>
      <c r="N7" s="1170">
        <f>SUM(N8:N10)</f>
        <v>29500</v>
      </c>
    </row>
    <row r="8" spans="1:14" x14ac:dyDescent="0.2">
      <c r="A8" s="130">
        <f t="shared" ref="A8:A17" si="0">A7+1</f>
        <v>2</v>
      </c>
      <c r="B8" s="266" t="s">
        <v>175</v>
      </c>
      <c r="C8" s="674" t="s">
        <v>176</v>
      </c>
      <c r="D8" s="675"/>
      <c r="E8" s="676"/>
      <c r="F8" s="677"/>
      <c r="G8" s="678" t="e">
        <f>G12+G24</f>
        <v>#REF!</v>
      </c>
      <c r="H8" s="778">
        <f>H12+H24</f>
        <v>32500</v>
      </c>
      <c r="I8" s="746">
        <f>SUM(I12+I24)</f>
        <v>29519.23</v>
      </c>
      <c r="J8" s="679">
        <f>J12+J24</f>
        <v>29500</v>
      </c>
      <c r="K8" s="679">
        <f>SUM(K12+K24)</f>
        <v>25000</v>
      </c>
      <c r="L8" s="776">
        <f>SUM(L12+L24)</f>
        <v>29500</v>
      </c>
      <c r="M8" s="679">
        <f>SUM(M12+M24)</f>
        <v>29500</v>
      </c>
      <c r="N8" s="679">
        <f>SUM(N12+N24)</f>
        <v>29500</v>
      </c>
    </row>
    <row r="9" spans="1:14" x14ac:dyDescent="0.2">
      <c r="A9" s="130">
        <f t="shared" si="0"/>
        <v>3</v>
      </c>
      <c r="B9" s="266" t="s">
        <v>177</v>
      </c>
      <c r="C9" s="768" t="s">
        <v>178</v>
      </c>
      <c r="D9" s="769"/>
      <c r="E9" s="770"/>
      <c r="F9" s="771"/>
      <c r="G9" s="772" t="e">
        <f>#REF!</f>
        <v>#REF!</v>
      </c>
      <c r="H9" s="785">
        <f t="shared" ref="H9:N9" si="1">H18+H30</f>
        <v>14388</v>
      </c>
      <c r="I9" s="773">
        <f t="shared" si="1"/>
        <v>21468</v>
      </c>
      <c r="J9" s="774">
        <f t="shared" si="1"/>
        <v>0</v>
      </c>
      <c r="K9" s="774">
        <f t="shared" si="1"/>
        <v>0</v>
      </c>
      <c r="L9" s="774">
        <f t="shared" si="1"/>
        <v>17400</v>
      </c>
      <c r="M9" s="774">
        <f t="shared" si="1"/>
        <v>0</v>
      </c>
      <c r="N9" s="774">
        <f t="shared" si="1"/>
        <v>0</v>
      </c>
    </row>
    <row r="10" spans="1:14" ht="13.5" thickBot="1" x14ac:dyDescent="0.25">
      <c r="A10" s="130">
        <f t="shared" si="0"/>
        <v>4</v>
      </c>
      <c r="B10" s="267"/>
      <c r="C10" s="702" t="s">
        <v>179</v>
      </c>
      <c r="D10" s="703"/>
      <c r="E10" s="704"/>
      <c r="F10" s="705"/>
      <c r="G10" s="796">
        <v>0</v>
      </c>
      <c r="H10" s="848">
        <v>0</v>
      </c>
      <c r="I10" s="812">
        <v>0</v>
      </c>
      <c r="J10" s="813">
        <v>0</v>
      </c>
      <c r="K10" s="813">
        <v>0</v>
      </c>
      <c r="L10" s="814">
        <v>0</v>
      </c>
      <c r="M10" s="813">
        <v>0</v>
      </c>
      <c r="N10" s="813">
        <v>0</v>
      </c>
    </row>
    <row r="11" spans="1:14" ht="13.5" thickTop="1" x14ac:dyDescent="0.2">
      <c r="A11" s="130">
        <f t="shared" si="0"/>
        <v>5</v>
      </c>
      <c r="B11" s="268">
        <v>1</v>
      </c>
      <c r="C11" s="235" t="s">
        <v>318</v>
      </c>
      <c r="D11" s="137"/>
      <c r="E11" s="137"/>
      <c r="F11" s="138"/>
      <c r="G11" s="139" t="e">
        <f>SUM(G13)+#REF!</f>
        <v>#REF!</v>
      </c>
      <c r="H11" s="611">
        <f>H12+H18</f>
        <v>15388</v>
      </c>
      <c r="I11" s="337">
        <f>SUM(I12,I18)</f>
        <v>21468</v>
      </c>
      <c r="J11" s="140">
        <f>J12+J18</f>
        <v>1000</v>
      </c>
      <c r="K11" s="140">
        <f>SUM(K12,K18)</f>
        <v>0</v>
      </c>
      <c r="L11" s="140">
        <f>SUM(L12,L18)</f>
        <v>18400</v>
      </c>
      <c r="M11" s="140">
        <f>SUM(M12,M18)</f>
        <v>1000</v>
      </c>
      <c r="N11" s="140">
        <f>SUM(N12,N18)</f>
        <v>1000</v>
      </c>
    </row>
    <row r="12" spans="1:14" s="189" customFormat="1" x14ac:dyDescent="0.2">
      <c r="A12" s="130">
        <f t="shared" si="0"/>
        <v>6</v>
      </c>
      <c r="B12" s="270"/>
      <c r="C12" s="151"/>
      <c r="D12" s="133" t="s">
        <v>176</v>
      </c>
      <c r="E12" s="152"/>
      <c r="F12" s="153"/>
      <c r="G12" s="154" t="e">
        <f t="shared" ref="G12:N12" si="2">G13</f>
        <v>#REF!</v>
      </c>
      <c r="H12" s="573">
        <f>H13</f>
        <v>1000</v>
      </c>
      <c r="I12" s="305">
        <f t="shared" si="2"/>
        <v>0</v>
      </c>
      <c r="J12" s="155">
        <f>J13</f>
        <v>1000</v>
      </c>
      <c r="K12" s="155">
        <f t="shared" si="2"/>
        <v>0</v>
      </c>
      <c r="L12" s="155">
        <f t="shared" si="2"/>
        <v>1000</v>
      </c>
      <c r="M12" s="155">
        <f t="shared" si="2"/>
        <v>1000</v>
      </c>
      <c r="N12" s="155">
        <f t="shared" si="2"/>
        <v>1000</v>
      </c>
    </row>
    <row r="13" spans="1:14" x14ac:dyDescent="0.2">
      <c r="A13" s="130">
        <f t="shared" si="0"/>
        <v>7</v>
      </c>
      <c r="B13" s="272"/>
      <c r="C13" s="273" t="s">
        <v>319</v>
      </c>
      <c r="D13" s="191" t="s">
        <v>318</v>
      </c>
      <c r="E13" s="274"/>
      <c r="F13" s="275"/>
      <c r="G13" s="193" t="e">
        <f>SUM(#REF!)</f>
        <v>#REF!</v>
      </c>
      <c r="H13" s="574">
        <f>SUM(H14:H17)</f>
        <v>1000</v>
      </c>
      <c r="I13" s="338">
        <f>SUM(I14,I15,I16,I17)</f>
        <v>0</v>
      </c>
      <c r="J13" s="162">
        <f>SUM(J14:J17)</f>
        <v>1000</v>
      </c>
      <c r="K13" s="162">
        <f>SUM(K14,K15,K16,K17)</f>
        <v>0</v>
      </c>
      <c r="L13" s="162">
        <f>SUM(L14,L15,L16,L17)</f>
        <v>1000</v>
      </c>
      <c r="M13" s="162">
        <f>SUM(M14,M15,M16,M17)</f>
        <v>1000</v>
      </c>
      <c r="N13" s="162">
        <f>SUM(N14,N15,N16,N17)</f>
        <v>1000</v>
      </c>
    </row>
    <row r="14" spans="1:14" x14ac:dyDescent="0.2">
      <c r="A14" s="130">
        <f t="shared" si="0"/>
        <v>8</v>
      </c>
      <c r="B14" s="272"/>
      <c r="C14" s="212" t="s">
        <v>185</v>
      </c>
      <c r="D14" s="213" t="s">
        <v>210</v>
      </c>
      <c r="E14" s="171" t="s">
        <v>320</v>
      </c>
      <c r="F14" s="201"/>
      <c r="G14" s="202"/>
      <c r="H14" s="576">
        <f>výdavky!D288</f>
        <v>0</v>
      </c>
      <c r="I14" s="307">
        <f>výdavky!E288</f>
        <v>0</v>
      </c>
      <c r="J14" s="174">
        <f>výdavky!F288</f>
        <v>0</v>
      </c>
      <c r="K14" s="174">
        <f>výdavky!G288</f>
        <v>0</v>
      </c>
      <c r="L14" s="174">
        <f>výdavky!H288</f>
        <v>0</v>
      </c>
      <c r="M14" s="174">
        <f>výdavky!I288</f>
        <v>0</v>
      </c>
      <c r="N14" s="174">
        <f>výdavky!J288</f>
        <v>0</v>
      </c>
    </row>
    <row r="15" spans="1:14" x14ac:dyDescent="0.2">
      <c r="A15" s="130">
        <f t="shared" si="0"/>
        <v>9</v>
      </c>
      <c r="B15" s="272"/>
      <c r="C15" s="212" t="s">
        <v>191</v>
      </c>
      <c r="D15" s="213" t="s">
        <v>212</v>
      </c>
      <c r="E15" s="171" t="s">
        <v>192</v>
      </c>
      <c r="F15" s="201"/>
      <c r="G15" s="202"/>
      <c r="H15" s="576">
        <f>výdavky!D289</f>
        <v>0</v>
      </c>
      <c r="I15" s="307">
        <f>výdavky!E289</f>
        <v>0</v>
      </c>
      <c r="J15" s="174">
        <f>výdavky!F289</f>
        <v>0</v>
      </c>
      <c r="K15" s="174">
        <f>výdavky!G289</f>
        <v>0</v>
      </c>
      <c r="L15" s="174">
        <f>výdavky!H289</f>
        <v>0</v>
      </c>
      <c r="M15" s="174">
        <f>výdavky!I289</f>
        <v>0</v>
      </c>
      <c r="N15" s="174">
        <f>výdavky!J289</f>
        <v>0</v>
      </c>
    </row>
    <row r="16" spans="1:14" x14ac:dyDescent="0.2">
      <c r="A16" s="130">
        <f t="shared" si="0"/>
        <v>10</v>
      </c>
      <c r="B16" s="272"/>
      <c r="C16" s="212" t="s">
        <v>201</v>
      </c>
      <c r="D16" s="213" t="s">
        <v>223</v>
      </c>
      <c r="E16" s="171" t="s">
        <v>202</v>
      </c>
      <c r="F16" s="201"/>
      <c r="G16" s="202"/>
      <c r="H16" s="576">
        <f>výdavky!D290</f>
        <v>1000</v>
      </c>
      <c r="I16" s="307">
        <f>výdavky!E290</f>
        <v>0</v>
      </c>
      <c r="J16" s="174">
        <f>výdavky!F290</f>
        <v>1000</v>
      </c>
      <c r="K16" s="174">
        <f>výdavky!G290</f>
        <v>0</v>
      </c>
      <c r="L16" s="174">
        <f>výdavky!H290</f>
        <v>1000</v>
      </c>
      <c r="M16" s="174">
        <f>výdavky!I290</f>
        <v>1000</v>
      </c>
      <c r="N16" s="174">
        <f>výdavky!J290</f>
        <v>1000</v>
      </c>
    </row>
    <row r="17" spans="1:14" x14ac:dyDescent="0.2">
      <c r="A17" s="130">
        <f t="shared" si="0"/>
        <v>11</v>
      </c>
      <c r="B17" s="272"/>
      <c r="C17" s="212" t="s">
        <v>201</v>
      </c>
      <c r="D17" s="213" t="s">
        <v>225</v>
      </c>
      <c r="E17" s="171" t="s">
        <v>321</v>
      </c>
      <c r="F17" s="358"/>
      <c r="G17" s="359"/>
      <c r="H17" s="576">
        <f>výdavky!D291</f>
        <v>0</v>
      </c>
      <c r="I17" s="307">
        <f>výdavky!E291</f>
        <v>0</v>
      </c>
      <c r="J17" s="174">
        <f>výdavky!F291</f>
        <v>0</v>
      </c>
      <c r="K17" s="174">
        <f>výdavky!G291</f>
        <v>0</v>
      </c>
      <c r="L17" s="174">
        <f>výdavky!H291</f>
        <v>0</v>
      </c>
      <c r="M17" s="174">
        <f>výdavky!I291</f>
        <v>0</v>
      </c>
      <c r="N17" s="174">
        <f>výdavky!J291</f>
        <v>0</v>
      </c>
    </row>
    <row r="18" spans="1:14" x14ac:dyDescent="0.2">
      <c r="A18" s="130">
        <v>12</v>
      </c>
      <c r="B18" s="156"/>
      <c r="C18" s="214"/>
      <c r="D18" s="599" t="s">
        <v>178</v>
      </c>
      <c r="E18" s="602"/>
      <c r="F18" s="607"/>
      <c r="G18" s="608">
        <f>G20</f>
        <v>0</v>
      </c>
      <c r="H18" s="614">
        <f t="shared" ref="H18:N18" si="3">H19</f>
        <v>14388</v>
      </c>
      <c r="I18" s="610">
        <f t="shared" si="3"/>
        <v>21468</v>
      </c>
      <c r="J18" s="609">
        <f t="shared" si="3"/>
        <v>0</v>
      </c>
      <c r="K18" s="609">
        <f t="shared" si="3"/>
        <v>0</v>
      </c>
      <c r="L18" s="609">
        <f t="shared" si="3"/>
        <v>17400</v>
      </c>
      <c r="M18" s="609">
        <f t="shared" si="3"/>
        <v>0</v>
      </c>
      <c r="N18" s="609">
        <f t="shared" si="3"/>
        <v>0</v>
      </c>
    </row>
    <row r="19" spans="1:14" x14ac:dyDescent="0.2">
      <c r="A19" s="130">
        <f>A18+1</f>
        <v>13</v>
      </c>
      <c r="B19" s="156"/>
      <c r="C19" s="157" t="s">
        <v>319</v>
      </c>
      <c r="D19" s="158" t="s">
        <v>318</v>
      </c>
      <c r="E19" s="159"/>
      <c r="F19" s="160"/>
      <c r="G19" s="161">
        <f>SUM(G20:G25)</f>
        <v>234.29999999999998</v>
      </c>
      <c r="H19" s="863">
        <f>SUM(H20:H22)</f>
        <v>14388</v>
      </c>
      <c r="I19" s="865">
        <f>SUM(I20,I21,I22)</f>
        <v>21468</v>
      </c>
      <c r="J19" s="866">
        <f>SUM(J20:J22)</f>
        <v>0</v>
      </c>
      <c r="K19" s="866">
        <f>SUM(K20,K21,K22)</f>
        <v>0</v>
      </c>
      <c r="L19" s="866">
        <f>SUM(L20,L21,L22)</f>
        <v>17400</v>
      </c>
      <c r="M19" s="866">
        <f>SUM(M20,M21,M22)</f>
        <v>0</v>
      </c>
      <c r="N19" s="866">
        <f>SUM(N20,N21,N22)</f>
        <v>0</v>
      </c>
    </row>
    <row r="20" spans="1:14" x14ac:dyDescent="0.2">
      <c r="A20" s="130">
        <f>A19+1</f>
        <v>14</v>
      </c>
      <c r="B20" s="272"/>
      <c r="C20" s="212" t="s">
        <v>322</v>
      </c>
      <c r="D20" s="213" t="s">
        <v>227</v>
      </c>
      <c r="E20" s="297" t="s">
        <v>1033</v>
      </c>
      <c r="F20" s="181"/>
      <c r="G20" s="182"/>
      <c r="H20" s="576">
        <f>výdavky!D738</f>
        <v>0</v>
      </c>
      <c r="I20" s="307">
        <f>výdavky!E738</f>
        <v>0</v>
      </c>
      <c r="J20" s="174">
        <f>výdavky!F738</f>
        <v>0</v>
      </c>
      <c r="K20" s="174">
        <f>výdavky!G738</f>
        <v>0</v>
      </c>
      <c r="L20" s="174">
        <f>výdavky!H739</f>
        <v>17400</v>
      </c>
      <c r="M20" s="174">
        <v>0</v>
      </c>
      <c r="N20" s="174">
        <v>0</v>
      </c>
    </row>
    <row r="21" spans="1:14" x14ac:dyDescent="0.2">
      <c r="A21" s="130">
        <v>15</v>
      </c>
      <c r="B21" s="272"/>
      <c r="C21" s="212" t="s">
        <v>324</v>
      </c>
      <c r="D21" s="213" t="s">
        <v>231</v>
      </c>
      <c r="E21" s="297" t="s">
        <v>919</v>
      </c>
      <c r="F21" s="181"/>
      <c r="G21" s="182"/>
      <c r="H21" s="576">
        <f>výdavky!D737</f>
        <v>14388</v>
      </c>
      <c r="I21" s="307">
        <f>výdavky!E737</f>
        <v>14400</v>
      </c>
      <c r="J21" s="174">
        <f>výdavky!F737</f>
        <v>0</v>
      </c>
      <c r="K21" s="174">
        <f>výdavky!G737</f>
        <v>0</v>
      </c>
      <c r="L21" s="174">
        <f>výdavky!H737+výdavky!H740+výdavky!H741+výdavky!H742+výdavky!H743</f>
        <v>0</v>
      </c>
      <c r="M21" s="174">
        <v>0</v>
      </c>
      <c r="N21" s="174">
        <v>0</v>
      </c>
    </row>
    <row r="22" spans="1:14" x14ac:dyDescent="0.2">
      <c r="A22" s="130">
        <v>16</v>
      </c>
      <c r="B22" s="272"/>
      <c r="C22" s="212" t="s">
        <v>324</v>
      </c>
      <c r="D22" s="213" t="s">
        <v>233</v>
      </c>
      <c r="E22" s="297" t="s">
        <v>1030</v>
      </c>
      <c r="F22" s="181"/>
      <c r="G22" s="182"/>
      <c r="H22" s="576">
        <v>0</v>
      </c>
      <c r="I22" s="307">
        <f>výdavky!E742</f>
        <v>7068</v>
      </c>
      <c r="J22" s="174"/>
      <c r="K22" s="174">
        <f>výdavky!G740</f>
        <v>0</v>
      </c>
      <c r="L22" s="174">
        <v>0</v>
      </c>
      <c r="M22" s="174">
        <v>0</v>
      </c>
      <c r="N22" s="174">
        <v>0</v>
      </c>
    </row>
    <row r="23" spans="1:14" x14ac:dyDescent="0.2">
      <c r="A23" s="130">
        <f>A22+1</f>
        <v>17</v>
      </c>
      <c r="B23" s="268">
        <v>2</v>
      </c>
      <c r="C23" s="339" t="s">
        <v>325</v>
      </c>
      <c r="D23" s="137"/>
      <c r="E23" s="137"/>
      <c r="F23" s="138"/>
      <c r="G23" s="139">
        <f>SUM(G25)</f>
        <v>78.099999999999994</v>
      </c>
      <c r="H23" s="572">
        <f>H24+H30</f>
        <v>31500</v>
      </c>
      <c r="I23" s="308">
        <f t="shared" ref="I23:N24" si="4">I24</f>
        <v>29519.23</v>
      </c>
      <c r="J23" s="141">
        <f>J24+J30</f>
        <v>28500</v>
      </c>
      <c r="K23" s="141">
        <f t="shared" si="4"/>
        <v>25000</v>
      </c>
      <c r="L23" s="141">
        <f t="shared" si="4"/>
        <v>28500</v>
      </c>
      <c r="M23" s="141">
        <f t="shared" si="4"/>
        <v>28500</v>
      </c>
      <c r="N23" s="141">
        <f t="shared" si="4"/>
        <v>28500</v>
      </c>
    </row>
    <row r="24" spans="1:14" s="189" customFormat="1" x14ac:dyDescent="0.2">
      <c r="A24" s="130">
        <f>A23+1</f>
        <v>18</v>
      </c>
      <c r="B24" s="270"/>
      <c r="C24" s="340"/>
      <c r="D24" s="133" t="s">
        <v>176</v>
      </c>
      <c r="E24" s="152"/>
      <c r="F24" s="153"/>
      <c r="G24" s="154">
        <f>G25</f>
        <v>78.099999999999994</v>
      </c>
      <c r="H24" s="573">
        <f>H25</f>
        <v>31500</v>
      </c>
      <c r="I24" s="305">
        <f t="shared" si="4"/>
        <v>29519.23</v>
      </c>
      <c r="J24" s="155">
        <f>J25</f>
        <v>28500</v>
      </c>
      <c r="K24" s="155">
        <f t="shared" si="4"/>
        <v>25000</v>
      </c>
      <c r="L24" s="155">
        <f t="shared" si="4"/>
        <v>28500</v>
      </c>
      <c r="M24" s="155">
        <f t="shared" si="4"/>
        <v>28500</v>
      </c>
      <c r="N24" s="155">
        <f t="shared" si="4"/>
        <v>28500</v>
      </c>
    </row>
    <row r="25" spans="1:14" x14ac:dyDescent="0.2">
      <c r="A25" s="130">
        <f>A24+1</f>
        <v>19</v>
      </c>
      <c r="B25" s="272"/>
      <c r="C25" s="341" t="s">
        <v>326</v>
      </c>
      <c r="D25" s="191" t="s">
        <v>325</v>
      </c>
      <c r="E25" s="274"/>
      <c r="F25" s="275"/>
      <c r="G25" s="193">
        <f>G34</f>
        <v>78.099999999999994</v>
      </c>
      <c r="H25" s="574">
        <f>SUM(H26:H29)</f>
        <v>31500</v>
      </c>
      <c r="I25" s="338">
        <f>I34+SUM(I26,I27,I28,I29)</f>
        <v>29519.23</v>
      </c>
      <c r="J25" s="162">
        <f>SUM(J26:J29)</f>
        <v>28500</v>
      </c>
      <c r="K25" s="162">
        <f>K34+SUM(K26,K27,K28,K29)</f>
        <v>25000</v>
      </c>
      <c r="L25" s="162">
        <f>L34+SUM(L26,L27,L28,L29)</f>
        <v>28500</v>
      </c>
      <c r="M25" s="162">
        <f>M34+SUM(M26,M27,M28,M29)</f>
        <v>28500</v>
      </c>
      <c r="N25" s="162">
        <f>N34+SUM(N26,N27,N28,N29)</f>
        <v>28500</v>
      </c>
    </row>
    <row r="26" spans="1:14" x14ac:dyDescent="0.2">
      <c r="A26" s="130">
        <v>20</v>
      </c>
      <c r="B26" s="272"/>
      <c r="C26" s="212" t="s">
        <v>191</v>
      </c>
      <c r="D26" s="199">
        <v>1</v>
      </c>
      <c r="E26" s="200" t="s">
        <v>192</v>
      </c>
      <c r="F26" s="201"/>
      <c r="G26" s="202"/>
      <c r="H26" s="576">
        <f>výdavky!D294</f>
        <v>22000</v>
      </c>
      <c r="I26" s="307">
        <f>výdavky!E294</f>
        <v>25630.61</v>
      </c>
      <c r="J26" s="174">
        <f>výdavky!F294</f>
        <v>25000</v>
      </c>
      <c r="K26" s="174">
        <f>výdavky!G294</f>
        <v>20000</v>
      </c>
      <c r="L26" s="174">
        <f>výdavky!H294</f>
        <v>25000</v>
      </c>
      <c r="M26" s="174">
        <f>výdavky!I294</f>
        <v>25000</v>
      </c>
      <c r="N26" s="174">
        <f>výdavky!J294</f>
        <v>25000</v>
      </c>
    </row>
    <row r="27" spans="1:14" x14ac:dyDescent="0.2">
      <c r="A27" s="130">
        <v>21</v>
      </c>
      <c r="B27" s="272"/>
      <c r="C27" s="212" t="s">
        <v>193</v>
      </c>
      <c r="D27" s="199">
        <v>2</v>
      </c>
      <c r="E27" s="200" t="s">
        <v>194</v>
      </c>
      <c r="F27" s="201"/>
      <c r="G27" s="202"/>
      <c r="H27" s="576">
        <f>výdavky!D295</f>
        <v>7000</v>
      </c>
      <c r="I27" s="307">
        <f>výdavky!E295</f>
        <v>1548.62</v>
      </c>
      <c r="J27" s="174">
        <f>výdavky!F295</f>
        <v>1000</v>
      </c>
      <c r="K27" s="174">
        <f>výdavky!G295</f>
        <v>2500</v>
      </c>
      <c r="L27" s="174">
        <f>výdavky!H295</f>
        <v>1000</v>
      </c>
      <c r="M27" s="174">
        <f>výdavky!I295</f>
        <v>1000</v>
      </c>
      <c r="N27" s="174">
        <f>výdavky!J295</f>
        <v>1000</v>
      </c>
    </row>
    <row r="28" spans="1:14" x14ac:dyDescent="0.2">
      <c r="A28" s="130">
        <v>22</v>
      </c>
      <c r="B28" s="272"/>
      <c r="C28" s="212" t="s">
        <v>197</v>
      </c>
      <c r="D28" s="199">
        <v>3</v>
      </c>
      <c r="E28" s="200" t="s">
        <v>273</v>
      </c>
      <c r="F28" s="201"/>
      <c r="G28" s="202"/>
      <c r="H28" s="576">
        <f>výdavky!D296</f>
        <v>500</v>
      </c>
      <c r="I28" s="307">
        <f>výdavky!E296</f>
        <v>0</v>
      </c>
      <c r="J28" s="174">
        <f>výdavky!F296</f>
        <v>500</v>
      </c>
      <c r="K28" s="174">
        <f>výdavky!G296</f>
        <v>500</v>
      </c>
      <c r="L28" s="174">
        <f>výdavky!H296</f>
        <v>500</v>
      </c>
      <c r="M28" s="174">
        <f>výdavky!I296</f>
        <v>500</v>
      </c>
      <c r="N28" s="174">
        <f>výdavky!J296</f>
        <v>500</v>
      </c>
    </row>
    <row r="29" spans="1:14" x14ac:dyDescent="0.2">
      <c r="A29" s="130">
        <v>23</v>
      </c>
      <c r="B29" s="272"/>
      <c r="C29" s="212" t="s">
        <v>201</v>
      </c>
      <c r="D29" s="199">
        <v>4</v>
      </c>
      <c r="E29" s="200" t="s">
        <v>202</v>
      </c>
      <c r="F29" s="201"/>
      <c r="G29" s="202"/>
      <c r="H29" s="576">
        <f>výdavky!D297</f>
        <v>2000</v>
      </c>
      <c r="I29" s="307">
        <f>výdavky!E297</f>
        <v>2340</v>
      </c>
      <c r="J29" s="174">
        <f>výdavky!F297</f>
        <v>2000</v>
      </c>
      <c r="K29" s="174">
        <f>výdavky!G297</f>
        <v>2000</v>
      </c>
      <c r="L29" s="174">
        <f>výdavky!H297</f>
        <v>2000</v>
      </c>
      <c r="M29" s="174">
        <f>výdavky!I297</f>
        <v>2000</v>
      </c>
      <c r="N29" s="174">
        <f>výdavky!J297</f>
        <v>2000</v>
      </c>
    </row>
    <row r="30" spans="1:14" x14ac:dyDescent="0.2">
      <c r="A30" s="130">
        <v>24</v>
      </c>
      <c r="B30" s="272"/>
      <c r="C30" s="212"/>
      <c r="D30" s="2351" t="s">
        <v>178</v>
      </c>
      <c r="E30" s="2351"/>
      <c r="F30" s="687"/>
      <c r="G30" s="684"/>
      <c r="H30" s="864">
        <f>H31</f>
        <v>0</v>
      </c>
      <c r="I30" s="688">
        <f>SUM(I31)</f>
        <v>0</v>
      </c>
      <c r="J30" s="685">
        <f>J31</f>
        <v>0</v>
      </c>
      <c r="K30" s="685">
        <f>SUM(K31)</f>
        <v>0</v>
      </c>
      <c r="L30" s="685">
        <f>SUM(L31)</f>
        <v>0</v>
      </c>
      <c r="M30" s="685">
        <f>SUM(M31)</f>
        <v>0</v>
      </c>
      <c r="N30" s="685">
        <f>SUM(N31)</f>
        <v>0</v>
      </c>
    </row>
    <row r="31" spans="1:14" x14ac:dyDescent="0.2">
      <c r="A31" s="130">
        <v>25</v>
      </c>
      <c r="B31" s="272"/>
      <c r="C31" s="341" t="s">
        <v>326</v>
      </c>
      <c r="D31" s="2350" t="s">
        <v>325</v>
      </c>
      <c r="E31" s="2350"/>
      <c r="F31" s="275"/>
      <c r="G31" s="193"/>
      <c r="H31" s="574">
        <f>SUM(H32:H34)</f>
        <v>0</v>
      </c>
      <c r="I31" s="343">
        <f>SUM(I32,I33,I34)</f>
        <v>0</v>
      </c>
      <c r="J31" s="342">
        <f>J32</f>
        <v>0</v>
      </c>
      <c r="K31" s="342">
        <f>SUM(K32,K33,K34)</f>
        <v>0</v>
      </c>
      <c r="L31" s="342">
        <f>SUM(L32,L33,L34)</f>
        <v>0</v>
      </c>
      <c r="M31" s="342">
        <f>SUM(M32,M33,M34)</f>
        <v>0</v>
      </c>
      <c r="N31" s="342">
        <f>SUM(N32,N33,N34)</f>
        <v>0</v>
      </c>
    </row>
    <row r="32" spans="1:14" x14ac:dyDescent="0.2">
      <c r="A32" s="130">
        <v>26</v>
      </c>
      <c r="B32" s="272"/>
      <c r="C32" s="212" t="s">
        <v>286</v>
      </c>
      <c r="D32" s="199">
        <v>5</v>
      </c>
      <c r="E32" s="200" t="s">
        <v>327</v>
      </c>
      <c r="F32" s="172"/>
      <c r="G32" s="344"/>
      <c r="H32" s="576">
        <v>0</v>
      </c>
      <c r="I32" s="307">
        <v>0</v>
      </c>
      <c r="J32" s="174">
        <f>výdavky!F747</f>
        <v>0</v>
      </c>
      <c r="K32" s="174">
        <f>výdavky!G747</f>
        <v>0</v>
      </c>
      <c r="L32" s="174">
        <f>výdavky!H747</f>
        <v>0</v>
      </c>
      <c r="M32" s="174">
        <v>0</v>
      </c>
      <c r="N32" s="174">
        <v>0</v>
      </c>
    </row>
    <row r="33" spans="1:14" x14ac:dyDescent="0.2">
      <c r="A33" s="130">
        <v>27</v>
      </c>
      <c r="B33" s="272"/>
      <c r="C33" s="212"/>
      <c r="D33" s="199"/>
      <c r="E33" s="200"/>
      <c r="F33" s="201"/>
      <c r="G33" s="202"/>
      <c r="H33" s="576"/>
      <c r="I33" s="307"/>
      <c r="J33" s="174"/>
      <c r="K33" s="174"/>
      <c r="L33" s="174"/>
      <c r="M33" s="174"/>
      <c r="N33" s="174"/>
    </row>
    <row r="34" spans="1:14" s="189" customFormat="1" ht="13.5" thickBot="1" x14ac:dyDescent="0.25">
      <c r="A34" s="242">
        <v>28</v>
      </c>
      <c r="B34" s="360"/>
      <c r="C34" s="279"/>
      <c r="D34" s="245"/>
      <c r="E34" s="361"/>
      <c r="F34" s="282"/>
      <c r="G34" s="334">
        <v>78.099999999999994</v>
      </c>
      <c r="H34" s="740"/>
      <c r="I34" s="335"/>
      <c r="J34" s="285"/>
      <c r="K34" s="285"/>
      <c r="L34" s="285"/>
      <c r="M34" s="285"/>
      <c r="N34" s="285"/>
    </row>
  </sheetData>
  <mergeCells count="4">
    <mergeCell ref="G3:N3"/>
    <mergeCell ref="D4:F6"/>
    <mergeCell ref="D30:E30"/>
    <mergeCell ref="D31:E31"/>
  </mergeCells>
  <phoneticPr fontId="43" type="noConversion"/>
  <pageMargins left="0.25" right="0.25" top="0.75" bottom="0.75" header="0.3" footer="0.3"/>
  <pageSetup paperSize="9" scale="87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1"/>
  <sheetViews>
    <sheetView workbookViewId="0">
      <selection activeCell="A31" sqref="A31:I31"/>
    </sheetView>
  </sheetViews>
  <sheetFormatPr defaultRowHeight="12.75" x14ac:dyDescent="0.2"/>
  <cols>
    <col min="7" max="8" width="9.7109375" bestFit="1" customWidth="1"/>
    <col min="9" max="9" width="9.28515625" bestFit="1" customWidth="1"/>
  </cols>
  <sheetData>
    <row r="1" spans="1:9" ht="23.25" x14ac:dyDescent="0.2">
      <c r="A1" s="2332" t="s">
        <v>1230</v>
      </c>
      <c r="B1" s="2332"/>
      <c r="C1" s="2332"/>
      <c r="D1" s="2332" t="s">
        <v>437</v>
      </c>
      <c r="E1" s="2332"/>
      <c r="F1" s="2332"/>
      <c r="G1" s="2332"/>
      <c r="H1" s="2332"/>
      <c r="I1" s="2332"/>
    </row>
    <row r="2" spans="1:9" x14ac:dyDescent="0.2">
      <c r="A2" s="2058"/>
      <c r="B2" s="2058"/>
      <c r="C2" s="2058"/>
      <c r="D2" s="2058"/>
      <c r="E2" s="2058"/>
      <c r="F2" s="2058"/>
      <c r="G2" s="2058"/>
      <c r="H2" s="2058"/>
      <c r="I2" s="2058"/>
    </row>
    <row r="3" spans="1:9" ht="15.75" x14ac:dyDescent="0.2">
      <c r="A3" s="2354" t="s">
        <v>1229</v>
      </c>
      <c r="B3" s="2355"/>
      <c r="C3" s="2355"/>
      <c r="D3" s="2355"/>
      <c r="E3" s="2355"/>
      <c r="F3" s="2355"/>
      <c r="G3" s="2355"/>
      <c r="H3" s="2355"/>
      <c r="I3" s="2355"/>
    </row>
    <row r="4" spans="1:9" ht="15.75" customHeight="1" x14ac:dyDescent="0.2">
      <c r="A4" s="2357" t="s">
        <v>1231</v>
      </c>
      <c r="B4" s="2357"/>
      <c r="C4" s="2357"/>
      <c r="D4" s="2357"/>
      <c r="E4" s="2357"/>
      <c r="F4" s="2357"/>
      <c r="G4" s="2357"/>
      <c r="H4" s="2357"/>
      <c r="I4" s="2357"/>
    </row>
    <row r="5" spans="1:9" x14ac:dyDescent="0.2">
      <c r="A5" s="2058"/>
      <c r="B5" s="2058"/>
      <c r="C5" s="2058"/>
      <c r="D5" s="2058"/>
      <c r="E5" s="2058"/>
      <c r="F5" s="2058"/>
      <c r="G5" s="2058"/>
      <c r="H5" s="2058"/>
      <c r="I5" s="2058"/>
    </row>
    <row r="6" spans="1:9" ht="15.75" x14ac:dyDescent="0.25">
      <c r="A6" s="2112" t="s">
        <v>1039</v>
      </c>
      <c r="B6" s="2058"/>
      <c r="C6" s="2058"/>
      <c r="D6" s="2058"/>
      <c r="E6" s="2058"/>
      <c r="F6" s="2058"/>
      <c r="G6" s="2058"/>
      <c r="H6" s="2058"/>
      <c r="I6" s="2058"/>
    </row>
    <row r="7" spans="1:9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  <c r="I7" s="2058"/>
    </row>
    <row r="8" spans="1:9" ht="15.75" x14ac:dyDescent="0.25">
      <c r="A8" s="2070" t="s">
        <v>170</v>
      </c>
      <c r="B8" s="2077">
        <f>'Program 6'!H7</f>
        <v>46888</v>
      </c>
      <c r="C8" s="2077">
        <f>'Program 6'!I7</f>
        <v>50987.229999999996</v>
      </c>
      <c r="D8" s="2077">
        <f>'Program 6'!J7</f>
        <v>29500</v>
      </c>
      <c r="E8" s="2077">
        <f>'Program 6'!K7</f>
        <v>25000</v>
      </c>
      <c r="F8" s="2078">
        <f>'Program 6'!L7</f>
        <v>46900</v>
      </c>
      <c r="G8" s="2077">
        <f>'Program 6'!M7</f>
        <v>29500</v>
      </c>
      <c r="H8" s="2077">
        <f>'Program 6'!N7</f>
        <v>29500</v>
      </c>
      <c r="I8" s="2058"/>
    </row>
    <row r="9" spans="1:9" x14ac:dyDescent="0.2">
      <c r="A9" s="2058"/>
      <c r="B9" s="2058"/>
      <c r="C9" s="2058"/>
      <c r="D9" s="2058"/>
      <c r="E9" s="2058"/>
      <c r="F9" s="2058"/>
      <c r="G9" s="2058"/>
      <c r="H9" s="2058"/>
      <c r="I9" s="2058"/>
    </row>
    <row r="10" spans="1:9" ht="15" x14ac:dyDescent="0.25">
      <c r="A10" s="2309" t="s">
        <v>1124</v>
      </c>
      <c r="B10" s="2309"/>
      <c r="C10" s="2309"/>
      <c r="D10" s="2309"/>
      <c r="E10" s="2309"/>
      <c r="F10" s="2309"/>
      <c r="G10" s="2309"/>
      <c r="H10" s="2309"/>
      <c r="I10" s="2309"/>
    </row>
    <row r="11" spans="1:9" ht="48.75" customHeight="1" x14ac:dyDescent="0.2">
      <c r="A11" s="2308" t="s">
        <v>1232</v>
      </c>
      <c r="B11" s="2308"/>
      <c r="C11" s="2308"/>
      <c r="D11" s="2308"/>
      <c r="E11" s="2308"/>
      <c r="F11" s="2308"/>
      <c r="G11" s="2308"/>
      <c r="H11" s="2308"/>
      <c r="I11" s="2308"/>
    </row>
    <row r="12" spans="1:9" x14ac:dyDescent="0.2">
      <c r="A12" s="2058"/>
      <c r="B12" s="2058"/>
      <c r="C12" s="2058"/>
      <c r="D12" s="2058"/>
      <c r="E12" s="2058"/>
      <c r="F12" s="2058"/>
      <c r="G12" s="2058"/>
      <c r="H12" s="2058"/>
      <c r="I12" s="2058"/>
    </row>
    <row r="13" spans="1:9" ht="15" x14ac:dyDescent="0.25">
      <c r="A13" s="2306" t="s">
        <v>1233</v>
      </c>
      <c r="B13" s="2306"/>
      <c r="C13" s="2306"/>
      <c r="D13" s="2306" t="s">
        <v>318</v>
      </c>
      <c r="E13" s="2306"/>
      <c r="F13" s="2306"/>
      <c r="G13" s="2306"/>
      <c r="H13" s="2306"/>
      <c r="I13" s="2306"/>
    </row>
    <row r="14" spans="1:9" x14ac:dyDescent="0.2">
      <c r="A14" s="2058"/>
      <c r="B14" s="2058"/>
      <c r="C14" s="2058"/>
      <c r="D14" s="2058"/>
      <c r="E14" s="2058"/>
      <c r="F14" s="2058"/>
      <c r="G14" s="2058"/>
      <c r="H14" s="2058"/>
      <c r="I14" s="2058"/>
    </row>
    <row r="15" spans="1:9" ht="15" x14ac:dyDescent="0.25">
      <c r="A15" s="2307" t="s">
        <v>1162</v>
      </c>
      <c r="B15" s="2307"/>
      <c r="C15" s="2307"/>
      <c r="D15" s="2307"/>
      <c r="E15" s="2307"/>
      <c r="F15" s="2307"/>
      <c r="G15" s="2307"/>
      <c r="H15" s="2307"/>
      <c r="I15" s="2307"/>
    </row>
    <row r="16" spans="1:9" ht="15" x14ac:dyDescent="0.2">
      <c r="A16" s="2105" t="s">
        <v>1234</v>
      </c>
      <c r="B16" s="2106"/>
      <c r="C16" s="2106"/>
      <c r="D16" s="2106"/>
      <c r="E16" s="2106"/>
      <c r="F16" s="2106"/>
      <c r="G16" s="2106"/>
      <c r="H16" s="2106"/>
      <c r="I16" s="2106"/>
    </row>
    <row r="17" spans="1:9" x14ac:dyDescent="0.2">
      <c r="A17" s="2106"/>
      <c r="B17" s="2106"/>
      <c r="C17" s="2106"/>
      <c r="D17" s="2106"/>
      <c r="E17" s="2106"/>
      <c r="F17" s="2106"/>
      <c r="G17" s="2106"/>
      <c r="H17" s="2106"/>
      <c r="I17" s="2106"/>
    </row>
    <row r="18" spans="1:9" ht="15" x14ac:dyDescent="0.25">
      <c r="A18" s="2076" t="s">
        <v>1039</v>
      </c>
      <c r="B18" s="2058"/>
      <c r="C18" s="2058"/>
      <c r="D18" s="2058"/>
      <c r="E18" s="2058"/>
      <c r="F18" s="2058"/>
      <c r="G18" s="2058"/>
      <c r="H18" s="2058"/>
      <c r="I18" s="2058"/>
    </row>
    <row r="19" spans="1:9" ht="15" x14ac:dyDescent="0.25">
      <c r="A19" s="2074" t="s">
        <v>1040</v>
      </c>
      <c r="B19" s="2074">
        <v>2022</v>
      </c>
      <c r="C19" s="2074">
        <v>2023</v>
      </c>
      <c r="D19" s="2074">
        <v>2024</v>
      </c>
      <c r="E19" s="2074" t="s">
        <v>984</v>
      </c>
      <c r="F19" s="2074">
        <v>2025</v>
      </c>
      <c r="G19" s="2074">
        <v>2026</v>
      </c>
      <c r="H19" s="2074">
        <v>2027</v>
      </c>
      <c r="I19" s="2058"/>
    </row>
    <row r="20" spans="1:9" ht="15" x14ac:dyDescent="0.25">
      <c r="A20" s="2075" t="s">
        <v>170</v>
      </c>
      <c r="B20" s="2077">
        <f>'Program 6'!H11</f>
        <v>15388</v>
      </c>
      <c r="C20" s="2077">
        <f>'Program 6'!I11</f>
        <v>21468</v>
      </c>
      <c r="D20" s="2077">
        <f>'Program 6'!J11</f>
        <v>1000</v>
      </c>
      <c r="E20" s="2077">
        <f>'Program 6'!K11</f>
        <v>0</v>
      </c>
      <c r="F20" s="2078">
        <f>'Program 6'!L11</f>
        <v>18400</v>
      </c>
      <c r="G20" s="2077">
        <f>'Program 6'!M11</f>
        <v>1000</v>
      </c>
      <c r="H20" s="2077">
        <f>'Program 6'!N11</f>
        <v>1000</v>
      </c>
      <c r="I20" s="2058"/>
    </row>
    <row r="21" spans="1:9" x14ac:dyDescent="0.2">
      <c r="A21" s="2058"/>
      <c r="B21" s="2058"/>
      <c r="C21" s="2058"/>
      <c r="D21" s="2058"/>
      <c r="E21" s="2058"/>
      <c r="F21" s="2058"/>
      <c r="G21" s="2058"/>
      <c r="H21" s="2058"/>
      <c r="I21" s="2058"/>
    </row>
    <row r="22" spans="1:9" x14ac:dyDescent="0.2">
      <c r="A22" s="2316" t="s">
        <v>1044</v>
      </c>
      <c r="B22" s="2316"/>
      <c r="C22" s="2316"/>
      <c r="D22" s="2316"/>
      <c r="E22" s="2316"/>
      <c r="F22" s="2316"/>
      <c r="G22" s="2316"/>
      <c r="H22" s="2316"/>
      <c r="I22" s="2316"/>
    </row>
    <row r="23" spans="1:9" ht="34.5" customHeight="1" x14ac:dyDescent="0.2">
      <c r="A23" s="2308" t="s">
        <v>1235</v>
      </c>
      <c r="B23" s="2308"/>
      <c r="C23" s="2308"/>
      <c r="D23" s="2308"/>
      <c r="E23" s="2308"/>
      <c r="F23" s="2308"/>
      <c r="G23" s="2308"/>
      <c r="H23" s="2308"/>
      <c r="I23" s="2308"/>
    </row>
    <row r="24" spans="1:9" ht="15" x14ac:dyDescent="0.2">
      <c r="A24" s="2108"/>
      <c r="B24" s="2058"/>
      <c r="C24" s="2058"/>
      <c r="D24" s="2058"/>
      <c r="E24" s="2058"/>
      <c r="F24" s="2058"/>
      <c r="G24" s="2058"/>
      <c r="H24" s="2058"/>
      <c r="I24" s="2058"/>
    </row>
    <row r="25" spans="1:9" ht="15" x14ac:dyDescent="0.25">
      <c r="A25" s="2076" t="s">
        <v>1051</v>
      </c>
      <c r="B25" s="2058"/>
      <c r="C25" s="2058"/>
      <c r="D25" s="2058"/>
      <c r="E25" s="2058"/>
      <c r="F25" s="2058"/>
      <c r="G25" s="2058"/>
      <c r="H25" s="2080"/>
      <c r="I25" s="2080"/>
    </row>
    <row r="26" spans="1:9" ht="38.25" x14ac:dyDescent="0.2">
      <c r="A26" s="2310" t="s">
        <v>1052</v>
      </c>
      <c r="B26" s="2310"/>
      <c r="C26" s="2310"/>
      <c r="D26" s="2310" t="s">
        <v>1056</v>
      </c>
      <c r="E26" s="2310"/>
      <c r="F26" s="2310"/>
      <c r="G26" s="2087" t="s">
        <v>1054</v>
      </c>
      <c r="H26" s="2087" t="s">
        <v>1055</v>
      </c>
      <c r="I26" s="2087" t="s">
        <v>1053</v>
      </c>
    </row>
    <row r="27" spans="1:9" ht="23.25" customHeight="1" x14ac:dyDescent="0.2">
      <c r="A27" s="2305" t="s">
        <v>1237</v>
      </c>
      <c r="B27" s="2305"/>
      <c r="C27" s="2305"/>
      <c r="D27" s="2305" t="s">
        <v>1236</v>
      </c>
      <c r="E27" s="2305"/>
      <c r="F27" s="2305"/>
      <c r="G27" s="2113">
        <v>1</v>
      </c>
      <c r="H27" s="2113">
        <v>1</v>
      </c>
      <c r="I27" s="2113">
        <v>2</v>
      </c>
    </row>
    <row r="28" spans="1:9" x14ac:dyDescent="0.2">
      <c r="A28" s="2098"/>
      <c r="B28" s="2098"/>
      <c r="C28" s="2098"/>
      <c r="D28" s="2347"/>
      <c r="E28" s="2347"/>
      <c r="F28" s="2347"/>
      <c r="G28" s="2097"/>
      <c r="H28" s="2097"/>
      <c r="I28" s="2097"/>
    </row>
    <row r="29" spans="1:9" ht="15" x14ac:dyDescent="0.25">
      <c r="A29" s="2306" t="s">
        <v>1238</v>
      </c>
      <c r="B29" s="2306"/>
      <c r="C29" s="2306"/>
      <c r="D29" s="2306" t="s">
        <v>325</v>
      </c>
      <c r="E29" s="2306"/>
      <c r="F29" s="2306"/>
      <c r="G29" s="2306"/>
      <c r="H29" s="2306"/>
      <c r="I29" s="2306"/>
    </row>
    <row r="30" spans="1:9" x14ac:dyDescent="0.2">
      <c r="A30" s="2058"/>
      <c r="B30" s="2058"/>
      <c r="C30" s="2058"/>
      <c r="D30" s="2058"/>
      <c r="E30" s="2058"/>
      <c r="F30" s="2058"/>
      <c r="G30" s="2058"/>
      <c r="H30" s="2058"/>
      <c r="I30" s="2058"/>
    </row>
    <row r="31" spans="1:9" ht="15" x14ac:dyDescent="0.25">
      <c r="A31" s="2307" t="s">
        <v>1162</v>
      </c>
      <c r="B31" s="2307"/>
      <c r="C31" s="2307"/>
      <c r="D31" s="2307"/>
      <c r="E31" s="2307"/>
      <c r="F31" s="2307"/>
      <c r="G31" s="2307"/>
      <c r="H31" s="2307"/>
      <c r="I31" s="2307"/>
    </row>
    <row r="32" spans="1:9" ht="15" customHeight="1" x14ac:dyDescent="0.2">
      <c r="A32" s="2105" t="s">
        <v>1239</v>
      </c>
      <c r="B32" s="2089"/>
      <c r="C32" s="2089"/>
      <c r="D32" s="2089"/>
      <c r="E32" s="2089"/>
      <c r="F32" s="2089"/>
      <c r="G32" s="2089"/>
      <c r="H32" s="2089"/>
      <c r="I32" s="2089"/>
    </row>
    <row r="33" spans="1:9" x14ac:dyDescent="0.2">
      <c r="A33" s="2106"/>
      <c r="B33" s="2106"/>
      <c r="C33" s="2106"/>
      <c r="D33" s="2106"/>
      <c r="E33" s="2106"/>
      <c r="F33" s="2106"/>
      <c r="G33" s="2106"/>
      <c r="H33" s="2106"/>
      <c r="I33" s="2106"/>
    </row>
    <row r="34" spans="1:9" ht="15" x14ac:dyDescent="0.25">
      <c r="A34" s="2076" t="s">
        <v>1039</v>
      </c>
      <c r="B34" s="2058"/>
      <c r="C34" s="2058"/>
      <c r="D34" s="2058"/>
      <c r="E34" s="2058"/>
      <c r="F34" s="2058"/>
      <c r="G34" s="2058"/>
      <c r="H34" s="2058"/>
      <c r="I34" s="2058"/>
    </row>
    <row r="35" spans="1:9" ht="15" x14ac:dyDescent="0.25">
      <c r="A35" s="2074" t="s">
        <v>1040</v>
      </c>
      <c r="B35" s="2074">
        <v>2022</v>
      </c>
      <c r="C35" s="2074">
        <v>2023</v>
      </c>
      <c r="D35" s="2074">
        <v>2024</v>
      </c>
      <c r="E35" s="2074" t="s">
        <v>984</v>
      </c>
      <c r="F35" s="2074">
        <v>2025</v>
      </c>
      <c r="G35" s="2074">
        <v>2026</v>
      </c>
      <c r="H35" s="2074">
        <v>2027</v>
      </c>
      <c r="I35" s="2058"/>
    </row>
    <row r="36" spans="1:9" ht="15" x14ac:dyDescent="0.25">
      <c r="A36" s="2075" t="s">
        <v>170</v>
      </c>
      <c r="B36" s="2077">
        <f>'Program 6'!H23</f>
        <v>31500</v>
      </c>
      <c r="C36" s="2077">
        <f>'Program 6'!I23</f>
        <v>29519.23</v>
      </c>
      <c r="D36" s="2077">
        <f>'Program 6'!J23</f>
        <v>28500</v>
      </c>
      <c r="E36" s="2077">
        <f>'Program 6'!K23</f>
        <v>25000</v>
      </c>
      <c r="F36" s="2078">
        <f>'Program 6'!L23</f>
        <v>28500</v>
      </c>
      <c r="G36" s="2077">
        <f>'Program 6'!M23</f>
        <v>28500</v>
      </c>
      <c r="H36" s="2077">
        <f>'Program 6'!N23</f>
        <v>28500</v>
      </c>
      <c r="I36" s="2058"/>
    </row>
    <row r="37" spans="1:9" x14ac:dyDescent="0.2">
      <c r="A37" s="2058"/>
      <c r="B37" s="2058"/>
      <c r="C37" s="2058"/>
      <c r="D37" s="2058"/>
      <c r="E37" s="2058"/>
      <c r="F37" s="2058"/>
      <c r="G37" s="2058"/>
      <c r="H37" s="2058"/>
      <c r="I37" s="2058"/>
    </row>
    <row r="38" spans="1:9" ht="15" x14ac:dyDescent="0.25">
      <c r="A38" s="2309" t="s">
        <v>1181</v>
      </c>
      <c r="B38" s="2309"/>
      <c r="C38" s="2309"/>
      <c r="D38" s="2309"/>
      <c r="E38" s="2309"/>
      <c r="F38" s="2309"/>
      <c r="G38" s="2309"/>
      <c r="H38" s="2309"/>
      <c r="I38" s="2309"/>
    </row>
    <row r="39" spans="1:9" ht="30.75" customHeight="1" x14ac:dyDescent="0.2">
      <c r="A39" s="2308" t="s">
        <v>1240</v>
      </c>
      <c r="B39" s="2308"/>
      <c r="C39" s="2308"/>
      <c r="D39" s="2308"/>
      <c r="E39" s="2308"/>
      <c r="F39" s="2308"/>
      <c r="G39" s="2308"/>
      <c r="H39" s="2308"/>
      <c r="I39" s="2308"/>
    </row>
    <row r="40" spans="1:9" x14ac:dyDescent="0.2">
      <c r="A40" s="2058"/>
      <c r="B40" s="2058"/>
      <c r="C40" s="2058"/>
      <c r="D40" s="2058"/>
      <c r="E40" s="2058"/>
      <c r="F40" s="2058"/>
      <c r="G40" s="2058"/>
      <c r="H40" s="2058"/>
      <c r="I40" s="2058"/>
    </row>
    <row r="41" spans="1:9" s="2058" customFormat="1" x14ac:dyDescent="0.2"/>
    <row r="42" spans="1:9" s="2058" customFormat="1" x14ac:dyDescent="0.2"/>
    <row r="43" spans="1:9" s="2058" customFormat="1" x14ac:dyDescent="0.2"/>
    <row r="44" spans="1:9" s="2058" customFormat="1" x14ac:dyDescent="0.2"/>
    <row r="45" spans="1:9" s="2058" customFormat="1" x14ac:dyDescent="0.2"/>
    <row r="46" spans="1:9" ht="15" x14ac:dyDescent="0.25">
      <c r="A46" s="2076" t="s">
        <v>1051</v>
      </c>
      <c r="B46" s="2058"/>
      <c r="C46" s="2058"/>
      <c r="D46" s="2058"/>
      <c r="E46" s="2058"/>
      <c r="F46" s="2058"/>
      <c r="G46" s="2058"/>
      <c r="H46" s="2080"/>
      <c r="I46" s="2080"/>
    </row>
    <row r="47" spans="1:9" ht="38.25" x14ac:dyDescent="0.2">
      <c r="A47" s="2310" t="s">
        <v>1052</v>
      </c>
      <c r="B47" s="2310"/>
      <c r="C47" s="2310"/>
      <c r="D47" s="2310" t="s">
        <v>1056</v>
      </c>
      <c r="E47" s="2310"/>
      <c r="F47" s="2310"/>
      <c r="G47" s="2087" t="s">
        <v>1054</v>
      </c>
      <c r="H47" s="2087" t="s">
        <v>1055</v>
      </c>
      <c r="I47" s="2087" t="s">
        <v>1053</v>
      </c>
    </row>
    <row r="48" spans="1:9" ht="27" customHeight="1" x14ac:dyDescent="0.2">
      <c r="A48" s="2320" t="s">
        <v>1244</v>
      </c>
      <c r="B48" s="2320"/>
      <c r="C48" s="2320"/>
      <c r="D48" s="2305" t="s">
        <v>1241</v>
      </c>
      <c r="E48" s="2305"/>
      <c r="F48" s="2305"/>
      <c r="G48" s="2093">
        <v>0.95</v>
      </c>
      <c r="H48" s="2093">
        <v>0.95</v>
      </c>
      <c r="I48" s="2093">
        <v>0.95</v>
      </c>
    </row>
    <row r="49" spans="1:9" ht="26.25" customHeight="1" x14ac:dyDescent="0.2">
      <c r="A49" s="2320"/>
      <c r="B49" s="2320"/>
      <c r="C49" s="2320"/>
      <c r="D49" s="2305" t="s">
        <v>1242</v>
      </c>
      <c r="E49" s="2305"/>
      <c r="F49" s="2305"/>
      <c r="G49" s="2100">
        <v>350</v>
      </c>
      <c r="H49" s="2100">
        <v>350</v>
      </c>
      <c r="I49" s="2100">
        <v>350</v>
      </c>
    </row>
    <row r="50" spans="1:9" ht="27" customHeight="1" x14ac:dyDescent="0.2">
      <c r="A50" s="2320"/>
      <c r="B50" s="2320"/>
      <c r="C50" s="2320"/>
      <c r="D50" s="2305" t="s">
        <v>1243</v>
      </c>
      <c r="E50" s="2305"/>
      <c r="F50" s="2305"/>
      <c r="G50" s="2113" t="s">
        <v>1245</v>
      </c>
      <c r="H50" s="2113" t="s">
        <v>1245</v>
      </c>
      <c r="I50" s="2113" t="s">
        <v>1245</v>
      </c>
    </row>
    <row r="51" spans="1:9" ht="30" customHeight="1" x14ac:dyDescent="0.2">
      <c r="A51" s="2099"/>
      <c r="B51" s="2099"/>
      <c r="C51" s="2099"/>
      <c r="D51" s="2098"/>
      <c r="E51" s="2098"/>
      <c r="F51" s="2098"/>
      <c r="G51" s="96"/>
      <c r="H51" s="96"/>
      <c r="I51" s="96"/>
    </row>
  </sheetData>
  <mergeCells count="27">
    <mergeCell ref="A48:C50"/>
    <mergeCell ref="D48:F48"/>
    <mergeCell ref="D49:F49"/>
    <mergeCell ref="D50:F50"/>
    <mergeCell ref="A27:C27"/>
    <mergeCell ref="A31:I31"/>
    <mergeCell ref="A38:I38"/>
    <mergeCell ref="A39:I39"/>
    <mergeCell ref="A47:C47"/>
    <mergeCell ref="D47:F47"/>
    <mergeCell ref="D27:F27"/>
    <mergeCell ref="D28:F28"/>
    <mergeCell ref="A29:C29"/>
    <mergeCell ref="D29:I29"/>
    <mergeCell ref="A26:C26"/>
    <mergeCell ref="D26:F26"/>
    <mergeCell ref="A1:C1"/>
    <mergeCell ref="D1:I1"/>
    <mergeCell ref="A3:I3"/>
    <mergeCell ref="A4:I4"/>
    <mergeCell ref="A10:I10"/>
    <mergeCell ref="A11:I11"/>
    <mergeCell ref="A13:C13"/>
    <mergeCell ref="D13:I13"/>
    <mergeCell ref="A15:I15"/>
    <mergeCell ref="A22:I22"/>
    <mergeCell ref="A23:I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3"/>
  <sheetViews>
    <sheetView workbookViewId="0">
      <selection activeCell="I24" sqref="I24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9.85546875" customWidth="1"/>
    <col min="7" max="7" width="0" hidden="1" customWidth="1"/>
    <col min="9" max="14" width="8.28515625" customWidth="1"/>
  </cols>
  <sheetData>
    <row r="1" spans="1:14" ht="15.75" x14ac:dyDescent="0.25">
      <c r="B1" s="99" t="s">
        <v>328</v>
      </c>
      <c r="E1" s="99" t="s">
        <v>329</v>
      </c>
      <c r="F1" s="97"/>
      <c r="G1" s="250" t="e">
        <f>G2-G7</f>
        <v>#REF!</v>
      </c>
      <c r="H1" s="250"/>
      <c r="I1" s="250"/>
      <c r="J1" s="250"/>
      <c r="K1" s="250"/>
      <c r="L1" s="251">
        <f>L2-L7</f>
        <v>0</v>
      </c>
      <c r="M1" s="251">
        <f>M2-M7</f>
        <v>0</v>
      </c>
      <c r="N1" s="251">
        <f>N2-N7</f>
        <v>0</v>
      </c>
    </row>
    <row r="2" spans="1:14" ht="15.75" x14ac:dyDescent="0.25">
      <c r="B2" s="99"/>
      <c r="G2" s="252" t="e">
        <f>SUM(G8:G10)</f>
        <v>#REF!</v>
      </c>
      <c r="H2" s="252"/>
      <c r="I2" s="252"/>
      <c r="J2" s="252"/>
      <c r="K2" s="252"/>
      <c r="L2" s="107">
        <f>SUM(L8:L10)</f>
        <v>56000</v>
      </c>
      <c r="M2" s="107">
        <f>SUM(M8:M10)</f>
        <v>51000</v>
      </c>
      <c r="N2" s="107">
        <f>SUM(N8:N10)</f>
        <v>45000</v>
      </c>
    </row>
    <row r="3" spans="1:14" ht="15.75" x14ac:dyDescent="0.25">
      <c r="A3" s="108"/>
      <c r="B3" s="109"/>
      <c r="C3" s="110"/>
      <c r="D3" s="110"/>
      <c r="E3" s="111"/>
      <c r="F3" s="112"/>
      <c r="G3" s="2302" t="s">
        <v>163</v>
      </c>
      <c r="H3" s="2302"/>
      <c r="I3" s="2302"/>
      <c r="J3" s="2302"/>
      <c r="K3" s="2302"/>
      <c r="L3" s="2302"/>
      <c r="M3" s="2302"/>
      <c r="N3" s="2302"/>
    </row>
    <row r="4" spans="1:14" ht="11.25" customHeight="1" x14ac:dyDescent="0.2">
      <c r="A4" s="113"/>
      <c r="B4" s="114" t="s">
        <v>164</v>
      </c>
      <c r="C4" s="115" t="s">
        <v>165</v>
      </c>
      <c r="D4" s="2333" t="s">
        <v>166</v>
      </c>
      <c r="E4" s="2333"/>
      <c r="F4" s="2333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5" customHeight="1" x14ac:dyDescent="0.2">
      <c r="A5" s="113"/>
      <c r="B5" s="114" t="s">
        <v>167</v>
      </c>
      <c r="C5" s="115" t="s">
        <v>168</v>
      </c>
      <c r="D5" s="2333"/>
      <c r="E5" s="2333"/>
      <c r="F5" s="2333"/>
      <c r="G5" s="118" t="s">
        <v>169</v>
      </c>
      <c r="H5" s="253" t="s">
        <v>170</v>
      </c>
      <c r="I5" s="119" t="s">
        <v>171</v>
      </c>
      <c r="J5" s="119" t="s">
        <v>170</v>
      </c>
      <c r="K5" s="119" t="s">
        <v>171</v>
      </c>
      <c r="L5" s="119" t="s">
        <v>170</v>
      </c>
      <c r="M5" s="119" t="s">
        <v>171</v>
      </c>
      <c r="N5" s="119" t="s">
        <v>171</v>
      </c>
    </row>
    <row r="6" spans="1:14" x14ac:dyDescent="0.2">
      <c r="A6" s="254"/>
      <c r="B6" s="255" t="s">
        <v>172</v>
      </c>
      <c r="C6" s="256" t="s">
        <v>173</v>
      </c>
      <c r="D6" s="2333"/>
      <c r="E6" s="2333"/>
      <c r="F6" s="2333"/>
      <c r="G6" s="257">
        <v>1</v>
      </c>
      <c r="H6" s="257">
        <v>-3</v>
      </c>
      <c r="I6" s="258">
        <v>-2</v>
      </c>
      <c r="J6" s="258">
        <v>-1</v>
      </c>
      <c r="K6" s="258">
        <v>-1</v>
      </c>
      <c r="L6" s="258">
        <v>0</v>
      </c>
      <c r="M6" s="258">
        <v>1</v>
      </c>
      <c r="N6" s="258">
        <v>2</v>
      </c>
    </row>
    <row r="7" spans="1:14" ht="15" x14ac:dyDescent="0.25">
      <c r="A7" s="130">
        <v>1</v>
      </c>
      <c r="B7" s="259" t="s">
        <v>328</v>
      </c>
      <c r="C7" s="260"/>
      <c r="D7" s="261"/>
      <c r="E7" s="262" t="s">
        <v>329</v>
      </c>
      <c r="F7" s="263"/>
      <c r="G7" s="264" t="e">
        <f>G11+#REF!</f>
        <v>#REF!</v>
      </c>
      <c r="H7" s="857">
        <f>H8+H9+H10</f>
        <v>56150</v>
      </c>
      <c r="I7" s="129">
        <f>SUM(I8:I10)</f>
        <v>90522.16</v>
      </c>
      <c r="J7" s="129">
        <f>J8+J9+J10</f>
        <v>48500</v>
      </c>
      <c r="K7" s="129">
        <f>SUM(K8:K10)</f>
        <v>56550</v>
      </c>
      <c r="L7" s="265">
        <f>SUM(L8:L10)</f>
        <v>56000</v>
      </c>
      <c r="M7" s="129">
        <f>SUM(M8:M10)</f>
        <v>51000</v>
      </c>
      <c r="N7" s="129">
        <f>SUM(N8:N10)</f>
        <v>45000</v>
      </c>
    </row>
    <row r="8" spans="1:14" x14ac:dyDescent="0.2">
      <c r="A8" s="130">
        <f t="shared" ref="A8:A14" si="0">A7+1</f>
        <v>2</v>
      </c>
      <c r="B8" s="266" t="s">
        <v>175</v>
      </c>
      <c r="C8" s="674" t="s">
        <v>176</v>
      </c>
      <c r="D8" s="675"/>
      <c r="E8" s="676"/>
      <c r="F8" s="677"/>
      <c r="G8" s="678" t="e">
        <f>G12+#REF!</f>
        <v>#REF!</v>
      </c>
      <c r="H8" s="777">
        <f>H12</f>
        <v>56150</v>
      </c>
      <c r="I8" s="679">
        <f>SUM(I12)</f>
        <v>46840.160000000003</v>
      </c>
      <c r="J8" s="679">
        <f>J12</f>
        <v>48500</v>
      </c>
      <c r="K8" s="679">
        <f>SUM(K12)</f>
        <v>56550</v>
      </c>
      <c r="L8" s="776">
        <f>SUM(L12)</f>
        <v>56000</v>
      </c>
      <c r="M8" s="679">
        <f>SUM(M12)</f>
        <v>51000</v>
      </c>
      <c r="N8" s="679">
        <f>SUM(N12)</f>
        <v>45000</v>
      </c>
    </row>
    <row r="9" spans="1:14" x14ac:dyDescent="0.2">
      <c r="A9" s="130">
        <f t="shared" si="0"/>
        <v>3</v>
      </c>
      <c r="B9" s="266" t="s">
        <v>177</v>
      </c>
      <c r="C9" s="768" t="s">
        <v>178</v>
      </c>
      <c r="D9" s="769"/>
      <c r="E9" s="770"/>
      <c r="F9" s="771"/>
      <c r="G9" s="772" t="e">
        <f>#REF!</f>
        <v>#REF!</v>
      </c>
      <c r="H9" s="803">
        <f t="shared" ref="H9:N9" si="1">H20</f>
        <v>0</v>
      </c>
      <c r="I9" s="774">
        <f t="shared" si="1"/>
        <v>43682</v>
      </c>
      <c r="J9" s="774">
        <f t="shared" si="1"/>
        <v>0</v>
      </c>
      <c r="K9" s="774">
        <f t="shared" si="1"/>
        <v>0</v>
      </c>
      <c r="L9" s="774">
        <f t="shared" si="1"/>
        <v>0</v>
      </c>
      <c r="M9" s="774">
        <f t="shared" si="1"/>
        <v>0</v>
      </c>
      <c r="N9" s="774">
        <f t="shared" si="1"/>
        <v>0</v>
      </c>
    </row>
    <row r="10" spans="1:14" x14ac:dyDescent="0.2">
      <c r="A10" s="130">
        <f t="shared" si="0"/>
        <v>4</v>
      </c>
      <c r="B10" s="266"/>
      <c r="C10" s="805" t="s">
        <v>179</v>
      </c>
      <c r="D10" s="806"/>
      <c r="E10" s="807"/>
      <c r="F10" s="709"/>
      <c r="G10" s="818">
        <v>0</v>
      </c>
      <c r="H10" s="858">
        <v>0</v>
      </c>
      <c r="I10" s="813">
        <v>0</v>
      </c>
      <c r="J10" s="813">
        <v>0</v>
      </c>
      <c r="K10" s="813">
        <v>0</v>
      </c>
      <c r="L10" s="814">
        <v>0</v>
      </c>
      <c r="M10" s="813">
        <v>0</v>
      </c>
      <c r="N10" s="813">
        <v>0</v>
      </c>
    </row>
    <row r="11" spans="1:14" x14ac:dyDescent="0.2">
      <c r="A11" s="130">
        <f t="shared" si="0"/>
        <v>5</v>
      </c>
      <c r="B11" s="362">
        <v>1</v>
      </c>
      <c r="C11" s="363" t="s">
        <v>330</v>
      </c>
      <c r="D11" s="364"/>
      <c r="E11" s="364"/>
      <c r="F11" s="365"/>
      <c r="G11" s="366" t="e">
        <f>SUM(G13)+#REF!</f>
        <v>#REF!</v>
      </c>
      <c r="H11" s="859">
        <f t="shared" ref="H11:N11" si="2">H12+H20</f>
        <v>56150</v>
      </c>
      <c r="I11" s="140">
        <f t="shared" si="2"/>
        <v>90522.16</v>
      </c>
      <c r="J11" s="140">
        <f t="shared" si="2"/>
        <v>48500</v>
      </c>
      <c r="K11" s="140">
        <f t="shared" si="2"/>
        <v>56550</v>
      </c>
      <c r="L11" s="140">
        <f t="shared" si="2"/>
        <v>56000</v>
      </c>
      <c r="M11" s="140">
        <f t="shared" si="2"/>
        <v>51000</v>
      </c>
      <c r="N11" s="140">
        <f t="shared" si="2"/>
        <v>45000</v>
      </c>
    </row>
    <row r="12" spans="1:14" s="189" customFormat="1" x14ac:dyDescent="0.2">
      <c r="A12" s="130">
        <f t="shared" si="0"/>
        <v>6</v>
      </c>
      <c r="B12" s="270"/>
      <c r="C12" s="151"/>
      <c r="D12" s="133" t="s">
        <v>176</v>
      </c>
      <c r="E12" s="152"/>
      <c r="F12" s="153"/>
      <c r="G12" s="154" t="e">
        <f>G13</f>
        <v>#REF!</v>
      </c>
      <c r="H12" s="412">
        <f>H13</f>
        <v>56150</v>
      </c>
      <c r="I12" s="155">
        <f t="shared" ref="I12:N12" si="3">I13</f>
        <v>46840.160000000003</v>
      </c>
      <c r="J12" s="155">
        <f>J13</f>
        <v>48500</v>
      </c>
      <c r="K12" s="155">
        <f t="shared" si="3"/>
        <v>56550</v>
      </c>
      <c r="L12" s="155">
        <f t="shared" si="3"/>
        <v>56000</v>
      </c>
      <c r="M12" s="155">
        <f t="shared" si="3"/>
        <v>51000</v>
      </c>
      <c r="N12" s="155">
        <f t="shared" si="3"/>
        <v>45000</v>
      </c>
    </row>
    <row r="13" spans="1:14" x14ac:dyDescent="0.2">
      <c r="A13" s="130">
        <f t="shared" si="0"/>
        <v>7</v>
      </c>
      <c r="B13" s="272"/>
      <c r="C13" s="273" t="s">
        <v>331</v>
      </c>
      <c r="D13" s="191" t="s">
        <v>332</v>
      </c>
      <c r="E13" s="274"/>
      <c r="F13" s="275"/>
      <c r="G13" s="193" t="e">
        <f>SUM(#REF!)</f>
        <v>#REF!</v>
      </c>
      <c r="H13" s="276">
        <f>SUM(H14:H19)</f>
        <v>56150</v>
      </c>
      <c r="I13" s="162">
        <f>SUM(I14,I15,I16,I17,I18,I19)</f>
        <v>46840.160000000003</v>
      </c>
      <c r="J13" s="162">
        <f>SUM(J14:J19)</f>
        <v>48500</v>
      </c>
      <c r="K13" s="162">
        <f>SUM(K14,K15,K16,K17,K18,K19)</f>
        <v>56550</v>
      </c>
      <c r="L13" s="162">
        <f>SUM(L14,L15,L16,L17,L18,L19)</f>
        <v>56000</v>
      </c>
      <c r="M13" s="162">
        <f>SUM(M14,M15,M16,M17,M18,M19)</f>
        <v>51000</v>
      </c>
      <c r="N13" s="162">
        <f>SUM(N14,N15,N16,N17,N18,N19)</f>
        <v>45000</v>
      </c>
    </row>
    <row r="14" spans="1:14" x14ac:dyDescent="0.2">
      <c r="A14" s="130">
        <f t="shared" si="0"/>
        <v>8</v>
      </c>
      <c r="B14" s="272"/>
      <c r="C14" s="212" t="s">
        <v>185</v>
      </c>
      <c r="D14" s="213" t="s">
        <v>210</v>
      </c>
      <c r="E14" s="171" t="s">
        <v>186</v>
      </c>
      <c r="F14" s="201"/>
      <c r="G14" s="202"/>
      <c r="H14" s="417">
        <f>výdavky!D306</f>
        <v>14400</v>
      </c>
      <c r="I14" s="174">
        <f>výdavky!E306</f>
        <v>15748.59</v>
      </c>
      <c r="J14" s="174">
        <f>výdavky!F306</f>
        <v>15750</v>
      </c>
      <c r="K14" s="174">
        <f>výdavky!G306</f>
        <v>15000</v>
      </c>
      <c r="L14" s="174">
        <f>výdavky!H306</f>
        <v>16000</v>
      </c>
      <c r="M14" s="174">
        <f>výdavky!I306</f>
        <v>16000</v>
      </c>
      <c r="N14" s="174">
        <f>výdavky!J306</f>
        <v>15000</v>
      </c>
    </row>
    <row r="15" spans="1:14" x14ac:dyDescent="0.2">
      <c r="A15" s="130">
        <v>9</v>
      </c>
      <c r="B15" s="272"/>
      <c r="C15" s="212" t="s">
        <v>187</v>
      </c>
      <c r="D15" s="213" t="s">
        <v>212</v>
      </c>
      <c r="E15" s="171" t="s">
        <v>188</v>
      </c>
      <c r="F15" s="201"/>
      <c r="G15" s="202"/>
      <c r="H15" s="417">
        <f>výdavky!D308</f>
        <v>5100</v>
      </c>
      <c r="I15" s="174">
        <f>výdavky!E308</f>
        <v>5162.72</v>
      </c>
      <c r="J15" s="174">
        <f>výdavky!F308</f>
        <v>5250</v>
      </c>
      <c r="K15" s="174">
        <f>výdavky!G308</f>
        <v>5250</v>
      </c>
      <c r="L15" s="174">
        <f>výdavky!H308</f>
        <v>5500</v>
      </c>
      <c r="M15" s="174">
        <f>výdavky!I308</f>
        <v>5500</v>
      </c>
      <c r="N15" s="174">
        <f>výdavky!J308</f>
        <v>5500</v>
      </c>
    </row>
    <row r="16" spans="1:14" x14ac:dyDescent="0.2">
      <c r="A16" s="130">
        <v>10</v>
      </c>
      <c r="B16" s="272"/>
      <c r="C16" s="212" t="s">
        <v>191</v>
      </c>
      <c r="D16" s="213" t="s">
        <v>223</v>
      </c>
      <c r="E16" s="171" t="s">
        <v>192</v>
      </c>
      <c r="F16" s="201"/>
      <c r="G16" s="202"/>
      <c r="H16" s="417">
        <f>výdavky!D309</f>
        <v>32450</v>
      </c>
      <c r="I16" s="174">
        <f>výdavky!E309</f>
        <v>22493.31</v>
      </c>
      <c r="J16" s="174">
        <f>výdavky!F309</f>
        <v>23000</v>
      </c>
      <c r="K16" s="174">
        <f>výdavky!G309</f>
        <v>32500</v>
      </c>
      <c r="L16" s="174">
        <f>výdavky!H309</f>
        <v>30000</v>
      </c>
      <c r="M16" s="174">
        <f>výdavky!I309</f>
        <v>25000</v>
      </c>
      <c r="N16" s="174">
        <f>výdavky!J309</f>
        <v>20000</v>
      </c>
    </row>
    <row r="17" spans="1:14" x14ac:dyDescent="0.2">
      <c r="A17" s="130">
        <v>11</v>
      </c>
      <c r="B17" s="272"/>
      <c r="C17" s="212" t="s">
        <v>193</v>
      </c>
      <c r="D17" s="213" t="s">
        <v>225</v>
      </c>
      <c r="E17" s="171" t="s">
        <v>194</v>
      </c>
      <c r="F17" s="201"/>
      <c r="G17" s="202"/>
      <c r="H17" s="417">
        <f>výdavky!D310</f>
        <v>1000</v>
      </c>
      <c r="I17" s="174">
        <f>výdavky!E310</f>
        <v>1004.54</v>
      </c>
      <c r="J17" s="174">
        <f>výdavky!F310</f>
        <v>1000</v>
      </c>
      <c r="K17" s="174">
        <f>výdavky!G310+výdavky!G312+výdavky!G313</f>
        <v>2300</v>
      </c>
      <c r="L17" s="174">
        <f>výdavky!H310+výdavky!H312</f>
        <v>1000</v>
      </c>
      <c r="M17" s="174">
        <f>výdavky!I310</f>
        <v>1000</v>
      </c>
      <c r="N17" s="174">
        <f>výdavky!J310</f>
        <v>1000</v>
      </c>
    </row>
    <row r="18" spans="1:14" x14ac:dyDescent="0.2">
      <c r="A18" s="130">
        <v>12</v>
      </c>
      <c r="B18" s="272"/>
      <c r="C18" s="212" t="s">
        <v>197</v>
      </c>
      <c r="D18" s="213" t="s">
        <v>227</v>
      </c>
      <c r="E18" s="171" t="s">
        <v>273</v>
      </c>
      <c r="F18" s="201"/>
      <c r="G18" s="202"/>
      <c r="H18" s="417">
        <f>výdavky!D314</f>
        <v>1200</v>
      </c>
      <c r="I18" s="174">
        <f>výdavky!E314</f>
        <v>0</v>
      </c>
      <c r="J18" s="174">
        <f>výdavky!F314</f>
        <v>500</v>
      </c>
      <c r="K18" s="174">
        <f>výdavky!G314</f>
        <v>500</v>
      </c>
      <c r="L18" s="174">
        <f>výdavky!H314</f>
        <v>500</v>
      </c>
      <c r="M18" s="174">
        <f>výdavky!I314</f>
        <v>500</v>
      </c>
      <c r="N18" s="174">
        <f>výdavky!J314</f>
        <v>500</v>
      </c>
    </row>
    <row r="19" spans="1:14" x14ac:dyDescent="0.2">
      <c r="A19" s="130">
        <f>A18+1</f>
        <v>13</v>
      </c>
      <c r="B19" s="272"/>
      <c r="C19" s="212" t="s">
        <v>201</v>
      </c>
      <c r="D19" s="213" t="s">
        <v>225</v>
      </c>
      <c r="E19" s="171" t="s">
        <v>202</v>
      </c>
      <c r="F19" s="201"/>
      <c r="G19" s="202"/>
      <c r="H19" s="417">
        <f>výdavky!D315+výdavky!D316+výdavky!D311+výdavky!D312</f>
        <v>2000</v>
      </c>
      <c r="I19" s="174">
        <f>výdavky!E315+výdavky!E311+výdavky!E312+výdavky!E316</f>
        <v>2431</v>
      </c>
      <c r="J19" s="174">
        <f>+výdavky!F312+výdavky!F315</f>
        <v>3000</v>
      </c>
      <c r="K19" s="174">
        <f>výdavky!G315+výdavky!G316</f>
        <v>1000</v>
      </c>
      <c r="L19" s="174">
        <f>výdavky!H315</f>
        <v>3000</v>
      </c>
      <c r="M19" s="174">
        <f>výdavky!I315</f>
        <v>3000</v>
      </c>
      <c r="N19" s="174">
        <f>výdavky!J315</f>
        <v>3000</v>
      </c>
    </row>
    <row r="20" spans="1:14" x14ac:dyDescent="0.2">
      <c r="A20" s="130">
        <v>14</v>
      </c>
      <c r="B20" s="293"/>
      <c r="C20" s="164"/>
      <c r="D20" s="598" t="s">
        <v>178</v>
      </c>
      <c r="E20" s="602"/>
      <c r="F20" s="607"/>
      <c r="G20" s="608">
        <f>G22</f>
        <v>0</v>
      </c>
      <c r="H20" s="618">
        <f t="shared" ref="H20:N20" si="4">H21</f>
        <v>0</v>
      </c>
      <c r="I20" s="609">
        <f t="shared" si="4"/>
        <v>43682</v>
      </c>
      <c r="J20" s="609">
        <f t="shared" si="4"/>
        <v>0</v>
      </c>
      <c r="K20" s="609">
        <f t="shared" si="4"/>
        <v>0</v>
      </c>
      <c r="L20" s="609">
        <f t="shared" si="4"/>
        <v>0</v>
      </c>
      <c r="M20" s="609">
        <f t="shared" si="4"/>
        <v>0</v>
      </c>
      <c r="N20" s="609">
        <f t="shared" si="4"/>
        <v>0</v>
      </c>
    </row>
    <row r="21" spans="1:14" x14ac:dyDescent="0.2">
      <c r="A21" s="130">
        <f>A20+1</f>
        <v>15</v>
      </c>
      <c r="B21" s="293"/>
      <c r="C21" s="233" t="s">
        <v>333</v>
      </c>
      <c r="D21" s="158" t="s">
        <v>332</v>
      </c>
      <c r="E21" s="159"/>
      <c r="F21" s="160"/>
      <c r="G21" s="161">
        <f>SUM(G22:G23)</f>
        <v>0</v>
      </c>
      <c r="H21" s="860">
        <f>H22+H23</f>
        <v>0</v>
      </c>
      <c r="I21" s="162">
        <f>SUM(I22,I23)</f>
        <v>43682</v>
      </c>
      <c r="J21" s="162">
        <f>J22+J23</f>
        <v>0</v>
      </c>
      <c r="K21" s="162">
        <f>SUM(K22,K23)</f>
        <v>0</v>
      </c>
      <c r="L21" s="162">
        <f>SUM(L22,L23)</f>
        <v>0</v>
      </c>
      <c r="M21" s="162">
        <f>M22+SUM(M22,M23)</f>
        <v>0</v>
      </c>
      <c r="N21" s="162">
        <f>N22+SUM(N22,N23)</f>
        <v>0</v>
      </c>
    </row>
    <row r="22" spans="1:14" x14ac:dyDescent="0.2">
      <c r="A22" s="130">
        <f>A21+1</f>
        <v>16</v>
      </c>
      <c r="B22" s="272"/>
      <c r="C22" s="212" t="s">
        <v>322</v>
      </c>
      <c r="D22" s="213" t="s">
        <v>227</v>
      </c>
      <c r="E22" s="297" t="s">
        <v>323</v>
      </c>
      <c r="F22" s="181"/>
      <c r="G22" s="182"/>
      <c r="H22" s="417">
        <f>výdavky!D749</f>
        <v>0</v>
      </c>
      <c r="I22" s="174">
        <f>výdavky!E749</f>
        <v>0</v>
      </c>
      <c r="J22" s="174">
        <v>0</v>
      </c>
      <c r="K22" s="174">
        <f>výdavky!G749</f>
        <v>0</v>
      </c>
      <c r="L22" s="174">
        <f>výdavky!H749</f>
        <v>0</v>
      </c>
      <c r="M22" s="174">
        <v>0</v>
      </c>
      <c r="N22" s="174">
        <v>0</v>
      </c>
    </row>
    <row r="23" spans="1:14" x14ac:dyDescent="0.2">
      <c r="A23" s="242">
        <f>A22+1</f>
        <v>17</v>
      </c>
      <c r="B23" s="278"/>
      <c r="C23" s="279" t="s">
        <v>324</v>
      </c>
      <c r="D23" s="367" t="s">
        <v>231</v>
      </c>
      <c r="E23" s="368" t="s">
        <v>949</v>
      </c>
      <c r="F23" s="369"/>
      <c r="G23" s="370"/>
      <c r="H23" s="861">
        <f>výdavky!D748</f>
        <v>0</v>
      </c>
      <c r="I23" s="371">
        <f>výdavky!E748</f>
        <v>43682</v>
      </c>
      <c r="J23" s="371">
        <f>výdavky!F748</f>
        <v>0</v>
      </c>
      <c r="K23" s="371">
        <f>výdavky!G748</f>
        <v>0</v>
      </c>
      <c r="L23" s="371">
        <f>výdavky!H751</f>
        <v>0</v>
      </c>
      <c r="M23" s="371">
        <f>výdavky!I754</f>
        <v>0</v>
      </c>
      <c r="N23" s="371">
        <f>výdavky!J754</f>
        <v>0</v>
      </c>
    </row>
  </sheetData>
  <mergeCells count="2">
    <mergeCell ref="G3:N3"/>
    <mergeCell ref="D4:F6"/>
  </mergeCells>
  <phoneticPr fontId="43" type="noConversion"/>
  <pageMargins left="0.25" right="0.25" top="0.75" bottom="0.75" header="0.3" footer="0.3"/>
  <pageSetup paperSize="9" scale="85" firstPageNumber="0" fitToHeight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7"/>
  <sheetViews>
    <sheetView workbookViewId="0">
      <selection activeCell="C28" sqref="C28"/>
    </sheetView>
  </sheetViews>
  <sheetFormatPr defaultRowHeight="12.75" x14ac:dyDescent="0.2"/>
  <sheetData>
    <row r="1" spans="1:9" ht="23.25" x14ac:dyDescent="0.2">
      <c r="A1" s="2332" t="s">
        <v>1246</v>
      </c>
      <c r="B1" s="2332"/>
      <c r="C1" s="2332"/>
      <c r="D1" s="2332" t="s">
        <v>1247</v>
      </c>
      <c r="E1" s="2332"/>
      <c r="F1" s="2332"/>
      <c r="G1" s="2332"/>
      <c r="H1" s="2332"/>
      <c r="I1" s="2332"/>
    </row>
    <row r="2" spans="1:9" x14ac:dyDescent="0.2">
      <c r="A2" s="2058"/>
      <c r="B2" s="2058"/>
      <c r="C2" s="2058"/>
      <c r="D2" s="2058"/>
      <c r="E2" s="2058"/>
      <c r="F2" s="2058"/>
      <c r="G2" s="2058"/>
      <c r="H2" s="2058"/>
      <c r="I2" s="2058"/>
    </row>
    <row r="3" spans="1:9" ht="15.75" x14ac:dyDescent="0.2">
      <c r="A3" s="2354" t="s">
        <v>1229</v>
      </c>
      <c r="B3" s="2355"/>
      <c r="C3" s="2355"/>
      <c r="D3" s="2355"/>
      <c r="E3" s="2355"/>
      <c r="F3" s="2355"/>
      <c r="G3" s="2355"/>
      <c r="H3" s="2355"/>
      <c r="I3" s="2355"/>
    </row>
    <row r="4" spans="1:9" ht="27.75" customHeight="1" x14ac:dyDescent="0.2">
      <c r="A4" s="2353" t="s">
        <v>1248</v>
      </c>
      <c r="B4" s="2353"/>
      <c r="C4" s="2353"/>
      <c r="D4" s="2353"/>
      <c r="E4" s="2353"/>
      <c r="F4" s="2353"/>
      <c r="G4" s="2353"/>
      <c r="H4" s="2353"/>
      <c r="I4" s="2353"/>
    </row>
    <row r="5" spans="1:9" x14ac:dyDescent="0.2">
      <c r="A5" s="2058"/>
      <c r="B5" s="2058"/>
      <c r="C5" s="2058"/>
      <c r="D5" s="2058"/>
      <c r="E5" s="2058"/>
      <c r="F5" s="2058"/>
      <c r="G5" s="2058"/>
      <c r="H5" s="2058"/>
      <c r="I5" s="2058"/>
    </row>
    <row r="6" spans="1:9" ht="15.75" x14ac:dyDescent="0.25">
      <c r="A6" s="2112" t="s">
        <v>1039</v>
      </c>
      <c r="B6" s="2058"/>
      <c r="C6" s="2058"/>
      <c r="D6" s="2058"/>
      <c r="E6" s="2058"/>
      <c r="F6" s="2058"/>
      <c r="G6" s="2058"/>
      <c r="H6" s="2058"/>
      <c r="I6" s="2058"/>
    </row>
    <row r="7" spans="1:9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  <c r="I7" s="2058"/>
    </row>
    <row r="8" spans="1:9" ht="15.75" x14ac:dyDescent="0.25">
      <c r="A8" s="2070" t="s">
        <v>170</v>
      </c>
      <c r="B8" s="2077">
        <f>'Program 7'!H7</f>
        <v>56150</v>
      </c>
      <c r="C8" s="2077">
        <f>'Program 7'!I7</f>
        <v>90522.16</v>
      </c>
      <c r="D8" s="2077">
        <f>'Program 7'!J7</f>
        <v>48500</v>
      </c>
      <c r="E8" s="2077">
        <f>'Program 7'!K7</f>
        <v>56550</v>
      </c>
      <c r="F8" s="2078">
        <f>'Program 7'!L7</f>
        <v>56000</v>
      </c>
      <c r="G8" s="2077">
        <f>'Program 7'!M7</f>
        <v>51000</v>
      </c>
      <c r="H8" s="2077">
        <f>'Program 7'!N7</f>
        <v>45000</v>
      </c>
      <c r="I8" s="2058"/>
    </row>
    <row r="9" spans="1:9" x14ac:dyDescent="0.2">
      <c r="A9" s="2058"/>
      <c r="B9" s="2058"/>
      <c r="C9" s="2058"/>
      <c r="D9" s="2058"/>
      <c r="E9" s="2058"/>
      <c r="F9" s="2058"/>
      <c r="G9" s="2058"/>
      <c r="H9" s="2058"/>
      <c r="I9" s="2058"/>
    </row>
    <row r="10" spans="1:9" ht="15" x14ac:dyDescent="0.25">
      <c r="A10" s="2309" t="s">
        <v>1124</v>
      </c>
      <c r="B10" s="2309"/>
      <c r="C10" s="2309"/>
      <c r="D10" s="2309"/>
      <c r="E10" s="2309"/>
      <c r="F10" s="2309"/>
      <c r="G10" s="2309"/>
      <c r="H10" s="2309"/>
      <c r="I10" s="2309"/>
    </row>
    <row r="11" spans="1:9" ht="42.75" customHeight="1" x14ac:dyDescent="0.2">
      <c r="A11" s="2358" t="s">
        <v>1249</v>
      </c>
      <c r="B11" s="2358"/>
      <c r="C11" s="2358"/>
      <c r="D11" s="2358"/>
      <c r="E11" s="2358"/>
      <c r="F11" s="2358"/>
      <c r="G11" s="2358"/>
      <c r="H11" s="2358"/>
      <c r="I11" s="2358"/>
    </row>
    <row r="12" spans="1:9" x14ac:dyDescent="0.2">
      <c r="A12" s="2058"/>
      <c r="B12" s="2058"/>
      <c r="C12" s="2058"/>
      <c r="D12" s="2058"/>
      <c r="E12" s="2058"/>
      <c r="F12" s="2058"/>
      <c r="G12" s="2058"/>
      <c r="H12" s="2058"/>
      <c r="I12" s="2058"/>
    </row>
    <row r="13" spans="1:9" ht="15" x14ac:dyDescent="0.25">
      <c r="A13" s="2306" t="s">
        <v>1250</v>
      </c>
      <c r="B13" s="2306"/>
      <c r="C13" s="2306"/>
      <c r="D13" s="2306" t="s">
        <v>330</v>
      </c>
      <c r="E13" s="2306"/>
      <c r="F13" s="2306"/>
      <c r="G13" s="2306"/>
      <c r="H13" s="2306"/>
      <c r="I13" s="2306"/>
    </row>
    <row r="14" spans="1:9" x14ac:dyDescent="0.2">
      <c r="A14" s="2058"/>
      <c r="B14" s="2058"/>
      <c r="C14" s="2058"/>
      <c r="D14" s="2058"/>
      <c r="E14" s="2058"/>
      <c r="F14" s="2058"/>
      <c r="G14" s="2058"/>
      <c r="H14" s="2058"/>
      <c r="I14" s="2058"/>
    </row>
    <row r="15" spans="1:9" ht="15" x14ac:dyDescent="0.25">
      <c r="A15" s="2307" t="s">
        <v>1162</v>
      </c>
      <c r="B15" s="2307"/>
      <c r="C15" s="2307"/>
      <c r="D15" s="2307"/>
      <c r="E15" s="2307"/>
      <c r="F15" s="2307"/>
      <c r="G15" s="2307"/>
      <c r="H15" s="2307"/>
      <c r="I15" s="2307"/>
    </row>
    <row r="16" spans="1:9" ht="15" x14ac:dyDescent="0.2">
      <c r="A16" s="2105" t="s">
        <v>1251</v>
      </c>
      <c r="B16" s="2106"/>
      <c r="C16" s="2106"/>
      <c r="D16" s="2106"/>
      <c r="E16" s="2106"/>
      <c r="F16" s="2106"/>
      <c r="G16" s="2106"/>
      <c r="H16" s="2106"/>
      <c r="I16" s="2106"/>
    </row>
    <row r="17" spans="1:9" x14ac:dyDescent="0.2">
      <c r="A17" s="2106"/>
      <c r="B17" s="2106"/>
      <c r="C17" s="2106"/>
      <c r="D17" s="2106"/>
      <c r="E17" s="2106"/>
      <c r="F17" s="2106"/>
      <c r="G17" s="2106"/>
      <c r="H17" s="2106"/>
      <c r="I17" s="2106"/>
    </row>
    <row r="18" spans="1:9" ht="15" x14ac:dyDescent="0.25">
      <c r="A18" s="2076" t="s">
        <v>1039</v>
      </c>
      <c r="B18" s="2058"/>
      <c r="C18" s="2058"/>
      <c r="D18" s="2058"/>
      <c r="E18" s="2058"/>
      <c r="F18" s="2058"/>
      <c r="G18" s="2058"/>
      <c r="H18" s="2058"/>
      <c r="I18" s="2058"/>
    </row>
    <row r="19" spans="1:9" ht="15" x14ac:dyDescent="0.25">
      <c r="A19" s="2074" t="s">
        <v>1040</v>
      </c>
      <c r="B19" s="2074">
        <v>2022</v>
      </c>
      <c r="C19" s="2074">
        <v>2023</v>
      </c>
      <c r="D19" s="2074">
        <v>2024</v>
      </c>
      <c r="E19" s="2074" t="s">
        <v>984</v>
      </c>
      <c r="F19" s="2074">
        <v>2025</v>
      </c>
      <c r="G19" s="2074">
        <v>2026</v>
      </c>
      <c r="H19" s="2074">
        <v>2027</v>
      </c>
      <c r="I19" s="2058"/>
    </row>
    <row r="20" spans="1:9" ht="15" x14ac:dyDescent="0.25">
      <c r="A20" s="2075" t="s">
        <v>170</v>
      </c>
      <c r="B20" s="2077">
        <f>'Program 7'!H11</f>
        <v>56150</v>
      </c>
      <c r="C20" s="2077">
        <f>'Program 7'!I11</f>
        <v>90522.16</v>
      </c>
      <c r="D20" s="2077">
        <f>'Program 7'!I11</f>
        <v>90522.16</v>
      </c>
      <c r="E20" s="2077">
        <f>'Program 7'!K11</f>
        <v>56550</v>
      </c>
      <c r="F20" s="2078">
        <f>'Program 7'!L11</f>
        <v>56000</v>
      </c>
      <c r="G20" s="2077">
        <f>'Program 7'!M11</f>
        <v>51000</v>
      </c>
      <c r="H20" s="2077">
        <f>'Program 7'!N11</f>
        <v>45000</v>
      </c>
      <c r="I20" s="2058"/>
    </row>
    <row r="21" spans="1:9" x14ac:dyDescent="0.2">
      <c r="A21" s="2058"/>
      <c r="B21" s="2058"/>
      <c r="C21" s="2058"/>
      <c r="D21" s="2058"/>
      <c r="E21" s="2058"/>
      <c r="F21" s="2058"/>
      <c r="G21" s="2058"/>
      <c r="H21" s="2058"/>
      <c r="I21" s="2058"/>
    </row>
    <row r="22" spans="1:9" x14ac:dyDescent="0.2">
      <c r="A22" s="2316" t="s">
        <v>1044</v>
      </c>
      <c r="B22" s="2316"/>
      <c r="C22" s="2316"/>
      <c r="D22" s="2316"/>
      <c r="E22" s="2316"/>
      <c r="F22" s="2316"/>
      <c r="G22" s="2316"/>
      <c r="H22" s="2316"/>
      <c r="I22" s="2316"/>
    </row>
    <row r="23" spans="1:9" ht="31.5" customHeight="1" x14ac:dyDescent="0.2">
      <c r="A23" s="2308" t="s">
        <v>1252</v>
      </c>
      <c r="B23" s="2308"/>
      <c r="C23" s="2308"/>
      <c r="D23" s="2308"/>
      <c r="E23" s="2308"/>
      <c r="F23" s="2308"/>
      <c r="G23" s="2308"/>
      <c r="H23" s="2308"/>
      <c r="I23" s="2308"/>
    </row>
    <row r="24" spans="1:9" ht="15" x14ac:dyDescent="0.2">
      <c r="A24" s="2108"/>
      <c r="B24" s="2058"/>
      <c r="C24" s="2058"/>
      <c r="D24" s="2058"/>
      <c r="E24" s="2058"/>
      <c r="F24" s="2058"/>
      <c r="G24" s="2058"/>
      <c r="H24" s="2058"/>
      <c r="I24" s="2058"/>
    </row>
    <row r="25" spans="1:9" ht="15" x14ac:dyDescent="0.25">
      <c r="A25" s="2076" t="s">
        <v>1051</v>
      </c>
      <c r="B25" s="2058"/>
      <c r="C25" s="2058"/>
      <c r="D25" s="2058"/>
      <c r="E25" s="2058"/>
      <c r="F25" s="2058"/>
      <c r="G25" s="2058"/>
      <c r="H25" s="2080"/>
      <c r="I25" s="2080"/>
    </row>
    <row r="26" spans="1:9" ht="38.25" x14ac:dyDescent="0.2">
      <c r="A26" s="2310" t="s">
        <v>1052</v>
      </c>
      <c r="B26" s="2310"/>
      <c r="C26" s="2310"/>
      <c r="D26" s="2310" t="s">
        <v>1056</v>
      </c>
      <c r="E26" s="2310"/>
      <c r="F26" s="2310"/>
      <c r="G26" s="2087" t="s">
        <v>1054</v>
      </c>
      <c r="H26" s="2087" t="s">
        <v>1055</v>
      </c>
      <c r="I26" s="2087" t="s">
        <v>1053</v>
      </c>
    </row>
    <row r="27" spans="1:9" ht="24" customHeight="1" x14ac:dyDescent="0.2">
      <c r="A27" s="2342" t="s">
        <v>1254</v>
      </c>
      <c r="B27" s="2342"/>
      <c r="C27" s="2342"/>
      <c r="D27" s="2305" t="s">
        <v>1253</v>
      </c>
      <c r="E27" s="2305"/>
      <c r="F27" s="2305"/>
      <c r="G27" s="2113">
        <v>5</v>
      </c>
      <c r="H27" s="2113">
        <v>6</v>
      </c>
      <c r="I27" s="2113">
        <v>7</v>
      </c>
    </row>
  </sheetData>
  <mergeCells count="15">
    <mergeCell ref="A27:C27"/>
    <mergeCell ref="D27:F27"/>
    <mergeCell ref="A13:C13"/>
    <mergeCell ref="D13:I13"/>
    <mergeCell ref="A15:I15"/>
    <mergeCell ref="A22:I22"/>
    <mergeCell ref="A23:I23"/>
    <mergeCell ref="A26:C26"/>
    <mergeCell ref="D26:F26"/>
    <mergeCell ref="A11:I11"/>
    <mergeCell ref="A1:C1"/>
    <mergeCell ref="D1:I1"/>
    <mergeCell ref="A3:I3"/>
    <mergeCell ref="A4:I4"/>
    <mergeCell ref="A10:I1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106"/>
  <sheetViews>
    <sheetView topLeftCell="A16" zoomScaleNormal="100" workbookViewId="0">
      <selection activeCell="L9" sqref="L9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9.42578125" customWidth="1"/>
    <col min="4" max="4" width="3.42578125" customWidth="1"/>
    <col min="5" max="5" width="31.42578125" customWidth="1"/>
    <col min="6" max="6" width="8.85546875" customWidth="1"/>
    <col min="7" max="7" width="0" hidden="1" customWidth="1"/>
    <col min="9" max="14" width="8.28515625" customWidth="1"/>
  </cols>
  <sheetData>
    <row r="1" spans="1:14" ht="15.75" x14ac:dyDescent="0.25">
      <c r="B1" s="99" t="s">
        <v>334</v>
      </c>
      <c r="E1" s="99" t="s">
        <v>335</v>
      </c>
      <c r="F1" s="97"/>
      <c r="G1" s="252" t="e">
        <f>G2-G7</f>
        <v>#REF!</v>
      </c>
      <c r="H1" s="252"/>
      <c r="I1" s="252"/>
      <c r="J1" s="252"/>
      <c r="K1" s="252"/>
      <c r="L1" s="107">
        <f>L2-L7</f>
        <v>0</v>
      </c>
      <c r="M1" s="107">
        <f>M2-M7</f>
        <v>0</v>
      </c>
      <c r="N1" s="107">
        <f>N2-N7</f>
        <v>0</v>
      </c>
    </row>
    <row r="2" spans="1:14" ht="16.5" thickBot="1" x14ac:dyDescent="0.3">
      <c r="B2" s="99"/>
      <c r="F2" s="252"/>
      <c r="G2" s="252" t="e">
        <f>SUM(G8:G10)</f>
        <v>#REF!</v>
      </c>
      <c r="H2" s="252"/>
      <c r="I2" s="252"/>
      <c r="J2" s="252"/>
      <c r="K2" s="252"/>
      <c r="L2" s="107">
        <f>SUM(L8:L10)</f>
        <v>183250</v>
      </c>
      <c r="M2" s="107">
        <f>SUM(M8:M10)</f>
        <v>123750</v>
      </c>
      <c r="N2" s="107">
        <f>SUM(N8:N10)</f>
        <v>119600</v>
      </c>
    </row>
    <row r="3" spans="1:14" ht="16.5" thickBot="1" x14ac:dyDescent="0.3">
      <c r="A3" s="2154"/>
      <c r="B3" s="1224"/>
      <c r="C3" s="1225"/>
      <c r="D3" s="1225"/>
      <c r="E3" s="1226"/>
      <c r="F3" s="1227"/>
      <c r="G3" s="2361" t="s">
        <v>163</v>
      </c>
      <c r="H3" s="2361"/>
      <c r="I3" s="2362"/>
      <c r="J3" s="2362"/>
      <c r="K3" s="2362"/>
      <c r="L3" s="2362"/>
      <c r="M3" s="2362"/>
      <c r="N3" s="2363"/>
    </row>
    <row r="4" spans="1:14" ht="15" customHeight="1" thickBot="1" x14ac:dyDescent="0.25">
      <c r="A4" s="2155"/>
      <c r="B4" s="114" t="s">
        <v>164</v>
      </c>
      <c r="C4" s="115" t="s">
        <v>165</v>
      </c>
      <c r="D4" s="2304" t="s">
        <v>166</v>
      </c>
      <c r="E4" s="2304"/>
      <c r="F4" s="2304"/>
      <c r="G4" s="116"/>
      <c r="H4" s="723">
        <v>2022</v>
      </c>
      <c r="I4" s="2156">
        <v>2023</v>
      </c>
      <c r="J4" s="2156">
        <v>2024</v>
      </c>
      <c r="K4" s="2156" t="s">
        <v>1024</v>
      </c>
      <c r="L4" s="2156">
        <v>2025</v>
      </c>
      <c r="M4" s="2156">
        <v>2026</v>
      </c>
      <c r="N4" s="2156">
        <v>2027</v>
      </c>
    </row>
    <row r="5" spans="1:14" ht="12" customHeight="1" thickBot="1" x14ac:dyDescent="0.25">
      <c r="A5" s="2155"/>
      <c r="B5" s="114" t="s">
        <v>167</v>
      </c>
      <c r="C5" s="115" t="s">
        <v>168</v>
      </c>
      <c r="D5" s="2304"/>
      <c r="E5" s="2304"/>
      <c r="F5" s="2304"/>
      <c r="G5" s="118" t="s">
        <v>169</v>
      </c>
      <c r="H5" s="253" t="s">
        <v>170</v>
      </c>
      <c r="I5" s="908" t="s">
        <v>171</v>
      </c>
      <c r="J5" s="908" t="s">
        <v>170</v>
      </c>
      <c r="K5" s="908" t="s">
        <v>171</v>
      </c>
      <c r="L5" s="908" t="s">
        <v>170</v>
      </c>
      <c r="M5" s="908" t="s">
        <v>171</v>
      </c>
      <c r="N5" s="908" t="s">
        <v>171</v>
      </c>
    </row>
    <row r="6" spans="1:14" ht="13.5" thickBot="1" x14ac:dyDescent="0.25">
      <c r="A6" s="2155"/>
      <c r="B6" s="114" t="s">
        <v>172</v>
      </c>
      <c r="C6" s="115" t="s">
        <v>173</v>
      </c>
      <c r="D6" s="2304"/>
      <c r="E6" s="2304"/>
      <c r="F6" s="2304"/>
      <c r="G6" s="121">
        <v>1</v>
      </c>
      <c r="H6" s="121">
        <v>-3</v>
      </c>
      <c r="I6" s="748">
        <v>-2</v>
      </c>
      <c r="J6" s="748">
        <v>-1</v>
      </c>
      <c r="K6" s="748">
        <v>-1</v>
      </c>
      <c r="L6" s="748">
        <v>0</v>
      </c>
      <c r="M6" s="748">
        <v>1</v>
      </c>
      <c r="N6" s="748">
        <v>2</v>
      </c>
    </row>
    <row r="7" spans="1:14" ht="15" x14ac:dyDescent="0.25">
      <c r="A7" s="1383">
        <v>1</v>
      </c>
      <c r="B7" s="124" t="s">
        <v>334</v>
      </c>
      <c r="C7" s="373"/>
      <c r="D7" s="374"/>
      <c r="E7" s="126" t="s">
        <v>335</v>
      </c>
      <c r="F7" s="375"/>
      <c r="G7" s="304" t="e">
        <f>G11+#REF!+#REF!+#REF!+#REF!+#REF!+#REF!+#REF!+#REF!</f>
        <v>#REF!</v>
      </c>
      <c r="H7" s="2157">
        <f>H8+H9+H10</f>
        <v>123000</v>
      </c>
      <c r="I7" s="2158">
        <f>SUM(I8:I10)</f>
        <v>144332.4</v>
      </c>
      <c r="J7" s="2158">
        <f>J8+J9+J10</f>
        <v>122750</v>
      </c>
      <c r="K7" s="2158">
        <f>SUM(K8:K10)</f>
        <v>169739</v>
      </c>
      <c r="L7" s="2158">
        <f>SUM(L8:L10)</f>
        <v>183250</v>
      </c>
      <c r="M7" s="2158">
        <f>SUM(M8:M10)</f>
        <v>123750</v>
      </c>
      <c r="N7" s="2158">
        <f>SUM(N8:N10)</f>
        <v>119600</v>
      </c>
    </row>
    <row r="8" spans="1:14" x14ac:dyDescent="0.2">
      <c r="A8" s="1383">
        <f t="shared" ref="A8:A15" si="0">A7+1</f>
        <v>2</v>
      </c>
      <c r="B8" s="131" t="s">
        <v>175</v>
      </c>
      <c r="C8" s="674" t="s">
        <v>176</v>
      </c>
      <c r="D8" s="675"/>
      <c r="E8" s="676"/>
      <c r="F8" s="677"/>
      <c r="G8" s="678" t="e">
        <f>G12+G20+#REF!+#REF!+#REF!+#REF!+#REF!+#REF!</f>
        <v>#REF!</v>
      </c>
      <c r="H8" s="2159">
        <f>H12+H20+H30+H44+H48+H57+H66+H71+H52</f>
        <v>123000</v>
      </c>
      <c r="I8" s="778">
        <f>SUM(I12+I20+I30+I44+I48+I57+I66+I71)+I52</f>
        <v>139336.04</v>
      </c>
      <c r="J8" s="778">
        <f>J12+J20+J30+J44+J48+J57+J66+J71+J52</f>
        <v>122750</v>
      </c>
      <c r="K8" s="778">
        <f>SUM(K12+K20+K30+K44+K48+K57+K66+K71)+K52</f>
        <v>156189</v>
      </c>
      <c r="L8" s="778">
        <f>SUM(L12+L20+L30+L44+L48+L57+L66+L71)+L52</f>
        <v>133250</v>
      </c>
      <c r="M8" s="778">
        <f>SUM(M12+M20+M30+M44+M48+M57+M66+M71)+M52</f>
        <v>123750</v>
      </c>
      <c r="N8" s="778">
        <f>SUM(N12+N20+N30+N44+N48+N57+N66+N71)+N52</f>
        <v>119600</v>
      </c>
    </row>
    <row r="9" spans="1:14" x14ac:dyDescent="0.2">
      <c r="A9" s="1383">
        <f t="shared" si="0"/>
        <v>3</v>
      </c>
      <c r="B9" s="131" t="s">
        <v>177</v>
      </c>
      <c r="C9" s="768" t="s">
        <v>178</v>
      </c>
      <c r="D9" s="769"/>
      <c r="E9" s="770"/>
      <c r="F9" s="771"/>
      <c r="G9" s="772" t="e">
        <f>G25+#REF!+#REF!+#REF!+#REF!</f>
        <v>#REF!</v>
      </c>
      <c r="H9" s="2160">
        <f>H25+H41+H62</f>
        <v>0</v>
      </c>
      <c r="I9" s="785">
        <f>SUM(I25+I41+I62)</f>
        <v>4996.3599999999997</v>
      </c>
      <c r="J9" s="785">
        <f>J25+J41+J62</f>
        <v>0</v>
      </c>
      <c r="K9" s="785">
        <f>SUM(K25+K41+K62)</f>
        <v>13550</v>
      </c>
      <c r="L9" s="785">
        <f>+L75</f>
        <v>50000</v>
      </c>
      <c r="M9" s="785">
        <f>SUM(M25+M41+M62)+M75</f>
        <v>0</v>
      </c>
      <c r="N9" s="785">
        <f>SUM(N25+N41+N62)+N75</f>
        <v>0</v>
      </c>
    </row>
    <row r="10" spans="1:14" ht="13.5" thickBot="1" x14ac:dyDescent="0.25">
      <c r="A10" s="1383">
        <f t="shared" si="0"/>
        <v>4</v>
      </c>
      <c r="B10" s="134"/>
      <c r="C10" s="702" t="s">
        <v>179</v>
      </c>
      <c r="D10" s="703"/>
      <c r="E10" s="704"/>
      <c r="F10" s="705"/>
      <c r="G10" s="796" t="e">
        <f>#REF!+#REF!</f>
        <v>#REF!</v>
      </c>
      <c r="H10" s="2161">
        <v>0</v>
      </c>
      <c r="I10" s="2162">
        <v>0</v>
      </c>
      <c r="J10" s="2162"/>
      <c r="K10" s="2162">
        <v>0</v>
      </c>
      <c r="L10" s="798">
        <v>0</v>
      </c>
      <c r="M10" s="2162">
        <v>0</v>
      </c>
      <c r="N10" s="2162">
        <v>0</v>
      </c>
    </row>
    <row r="11" spans="1:14" ht="13.5" thickTop="1" x14ac:dyDescent="0.2">
      <c r="A11" s="1383">
        <f t="shared" si="0"/>
        <v>5</v>
      </c>
      <c r="B11" s="135">
        <v>1</v>
      </c>
      <c r="C11" s="235" t="s">
        <v>336</v>
      </c>
      <c r="D11" s="137"/>
      <c r="E11" s="137"/>
      <c r="F11" s="138"/>
      <c r="G11" s="139" t="e">
        <f>SUM(G13)</f>
        <v>#REF!</v>
      </c>
      <c r="H11" s="2163">
        <f>H12</f>
        <v>29430</v>
      </c>
      <c r="I11" s="909">
        <f t="shared" ref="I11:N12" si="1">I12</f>
        <v>33503.25</v>
      </c>
      <c r="J11" s="909">
        <f>J12</f>
        <v>24000</v>
      </c>
      <c r="K11" s="909">
        <f t="shared" si="1"/>
        <v>41100</v>
      </c>
      <c r="L11" s="572">
        <f t="shared" si="1"/>
        <v>27000</v>
      </c>
      <c r="M11" s="909">
        <f t="shared" si="1"/>
        <v>27000</v>
      </c>
      <c r="N11" s="909">
        <f t="shared" si="1"/>
        <v>27000</v>
      </c>
    </row>
    <row r="12" spans="1:14" x14ac:dyDescent="0.2">
      <c r="A12" s="1383">
        <f t="shared" si="0"/>
        <v>6</v>
      </c>
      <c r="B12" s="150"/>
      <c r="C12" s="151"/>
      <c r="D12" s="133" t="s">
        <v>176</v>
      </c>
      <c r="E12" s="152"/>
      <c r="F12" s="153"/>
      <c r="G12" s="154" t="e">
        <f>G13</f>
        <v>#REF!</v>
      </c>
      <c r="H12" s="2164">
        <f>H13</f>
        <v>29430</v>
      </c>
      <c r="I12" s="573">
        <f t="shared" si="1"/>
        <v>33503.25</v>
      </c>
      <c r="J12" s="573">
        <f>J13</f>
        <v>24000</v>
      </c>
      <c r="K12" s="573">
        <f t="shared" si="1"/>
        <v>41100</v>
      </c>
      <c r="L12" s="573">
        <f t="shared" si="1"/>
        <v>27000</v>
      </c>
      <c r="M12" s="573">
        <f t="shared" si="1"/>
        <v>27000</v>
      </c>
      <c r="N12" s="573">
        <f t="shared" si="1"/>
        <v>27000</v>
      </c>
    </row>
    <row r="13" spans="1:14" x14ac:dyDescent="0.2">
      <c r="A13" s="1383">
        <f t="shared" si="0"/>
        <v>7</v>
      </c>
      <c r="B13" s="150"/>
      <c r="C13" s="233" t="s">
        <v>337</v>
      </c>
      <c r="D13" s="158" t="s">
        <v>338</v>
      </c>
      <c r="E13" s="159"/>
      <c r="F13" s="160"/>
      <c r="G13" s="206" t="e">
        <f>SUM(#REF!)</f>
        <v>#REF!</v>
      </c>
      <c r="H13" s="2165">
        <f>SUM(H14:H18)</f>
        <v>29430</v>
      </c>
      <c r="I13" s="578">
        <f>SUM(I14:I18)</f>
        <v>33503.25</v>
      </c>
      <c r="J13" s="578">
        <f>SUM(J14:J18)</f>
        <v>24000</v>
      </c>
      <c r="K13" s="578">
        <f>SUM(K14:K18)</f>
        <v>41100</v>
      </c>
      <c r="L13" s="578">
        <f>SUM(L14,L15,L16,L17,L18)</f>
        <v>27000</v>
      </c>
      <c r="M13" s="578">
        <f>SUM(M14:M18)</f>
        <v>27000</v>
      </c>
      <c r="N13" s="578">
        <f>SUM(N14:N18)</f>
        <v>27000</v>
      </c>
    </row>
    <row r="14" spans="1:14" x14ac:dyDescent="0.2">
      <c r="A14" s="1383">
        <f t="shared" si="0"/>
        <v>8</v>
      </c>
      <c r="B14" s="150"/>
      <c r="C14" s="194" t="s">
        <v>191</v>
      </c>
      <c r="D14" s="208" t="s">
        <v>210</v>
      </c>
      <c r="E14" s="196" t="s">
        <v>339</v>
      </c>
      <c r="F14" s="376"/>
      <c r="G14" s="377"/>
      <c r="H14" s="2166">
        <f>[1]výdavky!D325</f>
        <v>19050</v>
      </c>
      <c r="I14" s="874">
        <f>[1]výdavky!E325</f>
        <v>14253.7</v>
      </c>
      <c r="J14" s="874">
        <f>[1]výdavky!F325</f>
        <v>12500</v>
      </c>
      <c r="K14" s="874">
        <f>[1]výdavky!G325</f>
        <v>20000</v>
      </c>
      <c r="L14" s="874">
        <f>[1]výdavky!H325</f>
        <v>15000</v>
      </c>
      <c r="M14" s="874">
        <f>[1]výdavky!I325</f>
        <v>15000</v>
      </c>
      <c r="N14" s="874">
        <f>[1]výdavky!J325</f>
        <v>15000</v>
      </c>
    </row>
    <row r="15" spans="1:14" x14ac:dyDescent="0.2">
      <c r="A15" s="1383">
        <f t="shared" si="0"/>
        <v>9</v>
      </c>
      <c r="B15" s="150"/>
      <c r="C15" s="194" t="s">
        <v>193</v>
      </c>
      <c r="D15" s="213" t="s">
        <v>212</v>
      </c>
      <c r="E15" s="200" t="s">
        <v>340</v>
      </c>
      <c r="F15" s="379"/>
      <c r="G15" s="380"/>
      <c r="H15" s="2167">
        <f>[1]výdavky!D326</f>
        <v>3880</v>
      </c>
      <c r="I15" s="615">
        <f>[1]výdavky!E326+[1]výdavky!E327</f>
        <v>10255.61</v>
      </c>
      <c r="J15" s="615">
        <f>[1]výdavky!F326</f>
        <v>5000</v>
      </c>
      <c r="K15" s="615">
        <f>[1]výdavky!G326</f>
        <v>5000</v>
      </c>
      <c r="L15" s="615">
        <f>[1]výdavky!H326</f>
        <v>5000</v>
      </c>
      <c r="M15" s="615">
        <f>[1]výdavky!I326</f>
        <v>5000</v>
      </c>
      <c r="N15" s="615">
        <f>[1]výdavky!J326</f>
        <v>5000</v>
      </c>
    </row>
    <row r="16" spans="1:14" x14ac:dyDescent="0.2">
      <c r="A16" s="1383">
        <v>10</v>
      </c>
      <c r="B16" s="150"/>
      <c r="C16" s="194" t="s">
        <v>195</v>
      </c>
      <c r="D16" s="208" t="s">
        <v>223</v>
      </c>
      <c r="E16" s="196" t="s">
        <v>341</v>
      </c>
      <c r="F16" s="376"/>
      <c r="G16" s="377"/>
      <c r="H16" s="2166">
        <f>[1]výdavky!D328</f>
        <v>5000</v>
      </c>
      <c r="I16" s="874">
        <f>[1]výdavky!E328</f>
        <v>6240.8</v>
      </c>
      <c r="J16" s="874">
        <f>[1]výdavky!F328</f>
        <v>5000</v>
      </c>
      <c r="K16" s="874">
        <f>[1]výdavky!G328</f>
        <v>5000</v>
      </c>
      <c r="L16" s="874">
        <f>[1]výdavky!H328</f>
        <v>5000</v>
      </c>
      <c r="M16" s="874">
        <f>[1]výdavky!I328</f>
        <v>5000</v>
      </c>
      <c r="N16" s="874">
        <f>[1]výdavky!J328</f>
        <v>5000</v>
      </c>
    </row>
    <row r="17" spans="1:14" x14ac:dyDescent="0.2">
      <c r="A17" s="1383">
        <v>11</v>
      </c>
      <c r="B17" s="150"/>
      <c r="C17" s="194" t="s">
        <v>197</v>
      </c>
      <c r="D17" s="213" t="s">
        <v>225</v>
      </c>
      <c r="E17" s="200" t="s">
        <v>273</v>
      </c>
      <c r="F17" s="379"/>
      <c r="G17" s="380"/>
      <c r="H17" s="2167">
        <f>[1]výdavky!D329</f>
        <v>500</v>
      </c>
      <c r="I17" s="615">
        <f>[1]výdavky!E329</f>
        <v>966.38</v>
      </c>
      <c r="J17" s="615">
        <f>[1]výdavky!F329</f>
        <v>500</v>
      </c>
      <c r="K17" s="615">
        <f>[1]výdavky!G329</f>
        <v>4100</v>
      </c>
      <c r="L17" s="615">
        <f>[1]výdavky!H329</f>
        <v>1000</v>
      </c>
      <c r="M17" s="615">
        <f>[1]výdavky!I329</f>
        <v>1000</v>
      </c>
      <c r="N17" s="615">
        <f>[1]výdavky!J329</f>
        <v>1000</v>
      </c>
    </row>
    <row r="18" spans="1:14" x14ac:dyDescent="0.2">
      <c r="A18" s="1383">
        <v>12</v>
      </c>
      <c r="B18" s="150"/>
      <c r="C18" s="194" t="s">
        <v>201</v>
      </c>
      <c r="D18" s="213" t="s">
        <v>227</v>
      </c>
      <c r="E18" s="200" t="s">
        <v>202</v>
      </c>
      <c r="F18" s="379"/>
      <c r="G18" s="380"/>
      <c r="H18" s="2167">
        <f>[1]výdavky!D330</f>
        <v>1000</v>
      </c>
      <c r="I18" s="615">
        <f>[1]výdavky!E330</f>
        <v>1786.76</v>
      </c>
      <c r="J18" s="615">
        <f>[1]výdavky!F330</f>
        <v>1000</v>
      </c>
      <c r="K18" s="615">
        <f>[1]výdavky!G330</f>
        <v>7000</v>
      </c>
      <c r="L18" s="615">
        <f>[1]výdavky!H330+[1]výdavky!H331</f>
        <v>1000</v>
      </c>
      <c r="M18" s="615">
        <f>[1]výdavky!I330+[1]výdavky!I331</f>
        <v>1000</v>
      </c>
      <c r="N18" s="615">
        <f>[1]výdavky!J330+[1]výdavky!J331</f>
        <v>1000</v>
      </c>
    </row>
    <row r="19" spans="1:14" x14ac:dyDescent="0.2">
      <c r="A19" s="1383">
        <f t="shared" ref="A19:A27" si="2">A18+1</f>
        <v>13</v>
      </c>
      <c r="B19" s="135">
        <v>2</v>
      </c>
      <c r="C19" s="235" t="s">
        <v>342</v>
      </c>
      <c r="D19" s="137"/>
      <c r="E19" s="137"/>
      <c r="F19" s="138"/>
      <c r="G19" s="139">
        <f>SUM(G21)</f>
        <v>1240.5</v>
      </c>
      <c r="H19" s="2163">
        <f>H20+H25</f>
        <v>16000</v>
      </c>
      <c r="I19" s="572">
        <f>SUM(I20+I25)</f>
        <v>34671.26</v>
      </c>
      <c r="J19" s="572">
        <f>J20+J25</f>
        <v>26000</v>
      </c>
      <c r="K19" s="572">
        <f>SUM(K20+K25)</f>
        <v>42160</v>
      </c>
      <c r="L19" s="572">
        <f>SUM(L20+L25)</f>
        <v>26000</v>
      </c>
      <c r="M19" s="572">
        <f>SUM(M20+M25)</f>
        <v>26000</v>
      </c>
      <c r="N19" s="572">
        <f>SUM(N20+N25)</f>
        <v>27000</v>
      </c>
    </row>
    <row r="20" spans="1:14" x14ac:dyDescent="0.2">
      <c r="A20" s="1383">
        <f t="shared" si="2"/>
        <v>14</v>
      </c>
      <c r="B20" s="150"/>
      <c r="C20" s="151"/>
      <c r="D20" s="133" t="s">
        <v>176</v>
      </c>
      <c r="E20" s="152"/>
      <c r="F20" s="153"/>
      <c r="G20" s="154">
        <f t="shared" ref="G20:N20" si="3">G21</f>
        <v>1240.5</v>
      </c>
      <c r="H20" s="2164">
        <f>H21</f>
        <v>16000</v>
      </c>
      <c r="I20" s="573">
        <f t="shared" si="3"/>
        <v>29674.9</v>
      </c>
      <c r="J20" s="573">
        <f>J21</f>
        <v>26000</v>
      </c>
      <c r="K20" s="573">
        <f t="shared" si="3"/>
        <v>35500</v>
      </c>
      <c r="L20" s="573">
        <f t="shared" si="3"/>
        <v>26000</v>
      </c>
      <c r="M20" s="573">
        <f t="shared" si="3"/>
        <v>26000</v>
      </c>
      <c r="N20" s="573">
        <f t="shared" si="3"/>
        <v>27000</v>
      </c>
    </row>
    <row r="21" spans="1:14" x14ac:dyDescent="0.2">
      <c r="A21" s="1383">
        <f t="shared" si="2"/>
        <v>15</v>
      </c>
      <c r="B21" s="183"/>
      <c r="C21" s="233" t="s">
        <v>337</v>
      </c>
      <c r="D21" s="158" t="s">
        <v>338</v>
      </c>
      <c r="E21" s="159"/>
      <c r="F21" s="160"/>
      <c r="G21" s="193">
        <f>SUM(G22:G23)</f>
        <v>1240.5</v>
      </c>
      <c r="H21" s="2168">
        <f t="shared" ref="H21:N21" si="4">SUM(H22:H24)</f>
        <v>16000</v>
      </c>
      <c r="I21" s="574">
        <f t="shared" si="4"/>
        <v>29674.9</v>
      </c>
      <c r="J21" s="574">
        <f t="shared" si="4"/>
        <v>26000</v>
      </c>
      <c r="K21" s="574">
        <f t="shared" si="4"/>
        <v>35500</v>
      </c>
      <c r="L21" s="574">
        <f t="shared" si="4"/>
        <v>26000</v>
      </c>
      <c r="M21" s="574">
        <f t="shared" si="4"/>
        <v>26000</v>
      </c>
      <c r="N21" s="574">
        <f t="shared" si="4"/>
        <v>27000</v>
      </c>
    </row>
    <row r="22" spans="1:14" x14ac:dyDescent="0.2">
      <c r="A22" s="1383">
        <f t="shared" si="2"/>
        <v>16</v>
      </c>
      <c r="B22" s="183"/>
      <c r="C22" s="214" t="s">
        <v>209</v>
      </c>
      <c r="D22" s="208" t="s">
        <v>210</v>
      </c>
      <c r="E22" s="166" t="s">
        <v>343</v>
      </c>
      <c r="F22" s="209"/>
      <c r="G22" s="382">
        <f>ROUND(M22/30.126,1)</f>
        <v>829.8</v>
      </c>
      <c r="H22" s="2169">
        <f>[1]výdavky!D333</f>
        <v>15000</v>
      </c>
      <c r="I22" s="891">
        <f>[1]výdavky!E333+[1]výdavky!E334</f>
        <v>29174.9</v>
      </c>
      <c r="J22" s="575">
        <f>[1]výdavky!F333</f>
        <v>25000</v>
      </c>
      <c r="K22" s="891">
        <f>[1]výdavky!G333</f>
        <v>35000</v>
      </c>
      <c r="L22" s="575">
        <f>[1]výdavky!H333</f>
        <v>25000</v>
      </c>
      <c r="M22" s="891">
        <f>[1]výdavky!I333</f>
        <v>25000</v>
      </c>
      <c r="N22" s="891">
        <f>[1]výdavky!J333</f>
        <v>26000</v>
      </c>
    </row>
    <row r="23" spans="1:14" x14ac:dyDescent="0.2">
      <c r="A23" s="1383">
        <f t="shared" si="2"/>
        <v>17</v>
      </c>
      <c r="B23" s="183"/>
      <c r="C23" s="212" t="s">
        <v>209</v>
      </c>
      <c r="D23" s="213" t="s">
        <v>212</v>
      </c>
      <c r="E23" s="175" t="s">
        <v>344</v>
      </c>
      <c r="F23" s="181"/>
      <c r="G23" s="383">
        <f>397.4+13.3</f>
        <v>410.7</v>
      </c>
      <c r="H23" s="2170">
        <f>[1]výdavky!D335</f>
        <v>1000</v>
      </c>
      <c r="I23" s="892">
        <f>[1]výdavky!E335</f>
        <v>500</v>
      </c>
      <c r="J23" s="576">
        <f>[1]výdavky!F335</f>
        <v>1000</v>
      </c>
      <c r="K23" s="892">
        <f>[1]výdavky!G335</f>
        <v>500</v>
      </c>
      <c r="L23" s="576">
        <f>[1]výdavky!H335</f>
        <v>1000</v>
      </c>
      <c r="M23" s="892">
        <f>[1]výdavky!I335</f>
        <v>1000</v>
      </c>
      <c r="N23" s="892">
        <f>[1]výdavky!J335</f>
        <v>1000</v>
      </c>
    </row>
    <row r="24" spans="1:14" x14ac:dyDescent="0.2">
      <c r="A24" s="1383">
        <f t="shared" si="2"/>
        <v>18</v>
      </c>
      <c r="B24" s="183"/>
      <c r="C24" s="212" t="s">
        <v>209</v>
      </c>
      <c r="D24" s="213" t="s">
        <v>223</v>
      </c>
      <c r="E24" s="175" t="s">
        <v>345</v>
      </c>
      <c r="F24" s="181"/>
      <c r="G24" s="383"/>
      <c r="H24" s="2170">
        <f>[1]výdavky!D331</f>
        <v>0</v>
      </c>
      <c r="I24" s="892">
        <f>[1]výdavky!E331</f>
        <v>0</v>
      </c>
      <c r="J24" s="576">
        <f>[1]výdavky!F336</f>
        <v>0</v>
      </c>
      <c r="K24" s="892">
        <f>[1]výdavky!G336</f>
        <v>0</v>
      </c>
      <c r="L24" s="576">
        <f>[1]výdavky!H336</f>
        <v>0</v>
      </c>
      <c r="M24" s="892">
        <f>[1]výdavky!I336</f>
        <v>0</v>
      </c>
      <c r="N24" s="892">
        <f>[1]výdavky!J336</f>
        <v>0</v>
      </c>
    </row>
    <row r="25" spans="1:14" x14ac:dyDescent="0.2">
      <c r="A25" s="1383">
        <f t="shared" si="2"/>
        <v>19</v>
      </c>
      <c r="B25" s="183"/>
      <c r="C25" s="212"/>
      <c r="D25" s="599" t="s">
        <v>178</v>
      </c>
      <c r="E25" s="602"/>
      <c r="F25" s="607"/>
      <c r="G25" s="684" t="e">
        <f t="shared" ref="G25:N25" si="5">G26</f>
        <v>#REF!</v>
      </c>
      <c r="H25" s="2171">
        <f>H26</f>
        <v>0</v>
      </c>
      <c r="I25" s="864">
        <f t="shared" si="5"/>
        <v>4996.3599999999997</v>
      </c>
      <c r="J25" s="864">
        <f>J26</f>
        <v>0</v>
      </c>
      <c r="K25" s="864">
        <f t="shared" si="5"/>
        <v>6660</v>
      </c>
      <c r="L25" s="864">
        <f t="shared" si="5"/>
        <v>0</v>
      </c>
      <c r="M25" s="864">
        <f t="shared" si="5"/>
        <v>0</v>
      </c>
      <c r="N25" s="864">
        <f t="shared" si="5"/>
        <v>0</v>
      </c>
    </row>
    <row r="26" spans="1:14" x14ac:dyDescent="0.2">
      <c r="A26" s="1383">
        <f t="shared" si="2"/>
        <v>20</v>
      </c>
      <c r="B26" s="183"/>
      <c r="C26" s="233" t="s">
        <v>337</v>
      </c>
      <c r="D26" s="158" t="s">
        <v>338</v>
      </c>
      <c r="E26" s="159"/>
      <c r="F26" s="160"/>
      <c r="G26" s="193" t="e">
        <f>SUM(#REF!)</f>
        <v>#REF!</v>
      </c>
      <c r="H26" s="2168">
        <f>H27</f>
        <v>0</v>
      </c>
      <c r="I26" s="574">
        <f>SUM(I27:I27)</f>
        <v>4996.3599999999997</v>
      </c>
      <c r="J26" s="574">
        <f>J27</f>
        <v>0</v>
      </c>
      <c r="K26" s="574">
        <f>SUM(K27:K27)</f>
        <v>6660</v>
      </c>
      <c r="L26" s="574">
        <f>SUM(L27:L27)</f>
        <v>0</v>
      </c>
      <c r="M26" s="574">
        <f>SUM(M27:M27)</f>
        <v>0</v>
      </c>
      <c r="N26" s="574">
        <f>SUM(N27:N27)</f>
        <v>0</v>
      </c>
    </row>
    <row r="27" spans="1:14" x14ac:dyDescent="0.2">
      <c r="A27" s="1383">
        <f t="shared" si="2"/>
        <v>21</v>
      </c>
      <c r="B27" s="183"/>
      <c r="C27" s="212" t="s">
        <v>286</v>
      </c>
      <c r="D27" s="213" t="s">
        <v>225</v>
      </c>
      <c r="E27" s="171" t="s">
        <v>1034</v>
      </c>
      <c r="F27" s="379"/>
      <c r="G27" s="202"/>
      <c r="H27" s="2172">
        <f>[1]výdavky!D752</f>
        <v>0</v>
      </c>
      <c r="I27" s="576">
        <f>[1]výdavky!E752</f>
        <v>4996.3599999999997</v>
      </c>
      <c r="J27" s="576">
        <f>[1]výdavky!F752</f>
        <v>0</v>
      </c>
      <c r="K27" s="576">
        <f>[1]výdavky!G752</f>
        <v>6660</v>
      </c>
      <c r="L27" s="576">
        <f>[1]výdavky!H752</f>
        <v>0</v>
      </c>
      <c r="M27" s="576">
        <f>[1]výdavky!I752</f>
        <v>0</v>
      </c>
      <c r="N27" s="576">
        <f>[1]výdavky!J752</f>
        <v>0</v>
      </c>
    </row>
    <row r="28" spans="1:14" x14ac:dyDescent="0.2">
      <c r="A28" s="1383">
        <v>22</v>
      </c>
      <c r="B28" s="135">
        <v>3</v>
      </c>
      <c r="C28" s="235" t="s">
        <v>346</v>
      </c>
      <c r="D28" s="137"/>
      <c r="E28" s="137"/>
      <c r="F28" s="138"/>
      <c r="G28" s="139">
        <f>G31+G67</f>
        <v>663.9</v>
      </c>
      <c r="H28" s="2163">
        <f>H29+H43+H47+H51</f>
        <v>63820</v>
      </c>
      <c r="I28" s="572">
        <f>SUM(I29,I43,I47)+I51</f>
        <v>49677.479999999996</v>
      </c>
      <c r="J28" s="572">
        <f>J29+J43+J47+J51</f>
        <v>54250</v>
      </c>
      <c r="K28" s="572">
        <f>SUM(K29,K43,K47)+K51</f>
        <v>72320</v>
      </c>
      <c r="L28" s="572">
        <f>SUM(L29,L43,L47)+L51</f>
        <v>65750</v>
      </c>
      <c r="M28" s="572">
        <f>SUM(M29,M43,M47)+M51</f>
        <v>55250</v>
      </c>
      <c r="N28" s="572">
        <f>SUM(N29,N43,N47)+N51</f>
        <v>55100</v>
      </c>
    </row>
    <row r="29" spans="1:14" x14ac:dyDescent="0.2">
      <c r="A29" s="1383">
        <f t="shared" ref="A29:A36" si="6">A28+1</f>
        <v>23</v>
      </c>
      <c r="B29" s="183"/>
      <c r="C29" s="143" t="s">
        <v>181</v>
      </c>
      <c r="D29" s="144" t="s">
        <v>347</v>
      </c>
      <c r="E29" s="145"/>
      <c r="F29" s="146"/>
      <c r="G29" s="147">
        <f>F85</f>
        <v>0</v>
      </c>
      <c r="H29" s="2173">
        <f>H30+H41</f>
        <v>48900</v>
      </c>
      <c r="I29" s="884">
        <f>SUM(I30+I41)</f>
        <v>37541.039999999994</v>
      </c>
      <c r="J29" s="884">
        <f>J30+J41</f>
        <v>41600</v>
      </c>
      <c r="K29" s="884">
        <f>SUM(K30+K41)</f>
        <v>59440</v>
      </c>
      <c r="L29" s="884">
        <f>SUM(L30+L41)</f>
        <v>53100</v>
      </c>
      <c r="M29" s="884">
        <f>SUM(M30+M41)</f>
        <v>42600</v>
      </c>
      <c r="N29" s="884">
        <f>SUM(N30+N41)</f>
        <v>42600</v>
      </c>
    </row>
    <row r="30" spans="1:14" x14ac:dyDescent="0.2">
      <c r="A30" s="1383">
        <f t="shared" si="6"/>
        <v>24</v>
      </c>
      <c r="B30" s="150"/>
      <c r="C30" s="151"/>
      <c r="D30" s="133" t="s">
        <v>176</v>
      </c>
      <c r="E30" s="152"/>
      <c r="F30" s="153"/>
      <c r="G30" s="154">
        <f>G31+G67</f>
        <v>663.9</v>
      </c>
      <c r="H30" s="2164">
        <f t="shared" ref="H30:N30" si="7">H31</f>
        <v>48900</v>
      </c>
      <c r="I30" s="573">
        <f t="shared" si="7"/>
        <v>37541.039999999994</v>
      </c>
      <c r="J30" s="573">
        <f t="shared" si="7"/>
        <v>41600</v>
      </c>
      <c r="K30" s="573">
        <f t="shared" si="7"/>
        <v>52550</v>
      </c>
      <c r="L30" s="573">
        <f t="shared" si="7"/>
        <v>53100</v>
      </c>
      <c r="M30" s="573">
        <f t="shared" si="7"/>
        <v>42600</v>
      </c>
      <c r="N30" s="573">
        <f t="shared" si="7"/>
        <v>42600</v>
      </c>
    </row>
    <row r="31" spans="1:14" x14ac:dyDescent="0.2">
      <c r="A31" s="1383">
        <f t="shared" si="6"/>
        <v>25</v>
      </c>
      <c r="B31" s="183"/>
      <c r="C31" s="233" t="s">
        <v>348</v>
      </c>
      <c r="D31" s="158" t="s">
        <v>347</v>
      </c>
      <c r="E31" s="159"/>
      <c r="F31" s="160"/>
      <c r="G31" s="193">
        <f>SUM(G32:G42)</f>
        <v>663.9</v>
      </c>
      <c r="H31" s="2168">
        <f t="shared" ref="H31:N31" si="8">SUM(H32:H40)</f>
        <v>48900</v>
      </c>
      <c r="I31" s="574">
        <f t="shared" si="8"/>
        <v>37541.039999999994</v>
      </c>
      <c r="J31" s="574">
        <f>SUM(J32:J40)</f>
        <v>41600</v>
      </c>
      <c r="K31" s="574">
        <f t="shared" si="8"/>
        <v>52550</v>
      </c>
      <c r="L31" s="574">
        <f t="shared" si="8"/>
        <v>53100</v>
      </c>
      <c r="M31" s="574">
        <f t="shared" si="8"/>
        <v>42600</v>
      </c>
      <c r="N31" s="574">
        <f t="shared" si="8"/>
        <v>42600</v>
      </c>
    </row>
    <row r="32" spans="1:14" x14ac:dyDescent="0.2">
      <c r="A32" s="1383">
        <f t="shared" si="6"/>
        <v>26</v>
      </c>
      <c r="B32" s="385"/>
      <c r="C32" s="194" t="s">
        <v>185</v>
      </c>
      <c r="D32" s="208" t="s">
        <v>210</v>
      </c>
      <c r="E32" s="234" t="s">
        <v>349</v>
      </c>
      <c r="F32" s="209"/>
      <c r="G32" s="215">
        <f>ROUND(M32/30.126,1)</f>
        <v>663.9</v>
      </c>
      <c r="H32" s="2174">
        <f>[1]výdavky!D339</f>
        <v>18500</v>
      </c>
      <c r="I32" s="575">
        <f>[1]výdavky!E339</f>
        <v>19284.48</v>
      </c>
      <c r="J32" s="575">
        <f>[1]výdavky!F339</f>
        <v>18800</v>
      </c>
      <c r="K32" s="575">
        <f>[1]výdavky!G339</f>
        <v>20000</v>
      </c>
      <c r="L32" s="575">
        <f>[1]výdavky!H339</f>
        <v>20000</v>
      </c>
      <c r="M32" s="575">
        <f>[1]výdavky!I339</f>
        <v>20000</v>
      </c>
      <c r="N32" s="575">
        <f>[1]výdavky!J339</f>
        <v>20000</v>
      </c>
    </row>
    <row r="33" spans="1:14" x14ac:dyDescent="0.2">
      <c r="A33" s="1383">
        <f t="shared" si="6"/>
        <v>27</v>
      </c>
      <c r="B33" s="385"/>
      <c r="C33" s="194" t="s">
        <v>187</v>
      </c>
      <c r="D33" s="213" t="s">
        <v>212</v>
      </c>
      <c r="E33" s="171" t="s">
        <v>188</v>
      </c>
      <c r="F33" s="181"/>
      <c r="G33" s="182"/>
      <c r="H33" s="2172">
        <f>[1]výdavky!D340</f>
        <v>7800</v>
      </c>
      <c r="I33" s="576">
        <f>[1]výdavky!E340</f>
        <v>7026.26</v>
      </c>
      <c r="J33" s="576">
        <f>[1]výdavky!F340</f>
        <v>6300</v>
      </c>
      <c r="K33" s="576">
        <f>[1]výdavky!G340</f>
        <v>6900</v>
      </c>
      <c r="L33" s="576">
        <f>[1]výdavky!H340</f>
        <v>8000</v>
      </c>
      <c r="M33" s="576">
        <f>[1]výdavky!I340</f>
        <v>8000</v>
      </c>
      <c r="N33" s="576">
        <f>[1]výdavky!J340</f>
        <v>8000</v>
      </c>
    </row>
    <row r="34" spans="1:14" x14ac:dyDescent="0.2">
      <c r="A34" s="1383">
        <f t="shared" si="6"/>
        <v>28</v>
      </c>
      <c r="B34" s="385"/>
      <c r="C34" s="194" t="s">
        <v>191</v>
      </c>
      <c r="D34" s="208" t="s">
        <v>223</v>
      </c>
      <c r="E34" s="234" t="s">
        <v>339</v>
      </c>
      <c r="F34" s="209"/>
      <c r="G34" s="215"/>
      <c r="H34" s="2174">
        <f>[1]výdavky!D343</f>
        <v>18000</v>
      </c>
      <c r="I34" s="575">
        <f>[1]výdavky!E343</f>
        <v>10504.83</v>
      </c>
      <c r="J34" s="575">
        <f>[1]výdavky!F343</f>
        <v>11000</v>
      </c>
      <c r="K34" s="575">
        <f>[1]výdavky!G343</f>
        <v>17000</v>
      </c>
      <c r="L34" s="575">
        <f>[1]výdavky!H343</f>
        <v>15000</v>
      </c>
      <c r="M34" s="575">
        <f>[1]výdavky!I343</f>
        <v>10000</v>
      </c>
      <c r="N34" s="575">
        <f>[1]výdavky!J343</f>
        <v>10000</v>
      </c>
    </row>
    <row r="35" spans="1:14" x14ac:dyDescent="0.2">
      <c r="A35" s="1383">
        <f t="shared" si="6"/>
        <v>29</v>
      </c>
      <c r="B35" s="385"/>
      <c r="C35" s="194" t="s">
        <v>193</v>
      </c>
      <c r="D35" s="213" t="s">
        <v>225</v>
      </c>
      <c r="E35" s="171" t="s">
        <v>350</v>
      </c>
      <c r="F35" s="181"/>
      <c r="G35" s="182"/>
      <c r="H35" s="2172">
        <f>[1]výdavky!D344+[1]výdavky!D345</f>
        <v>800</v>
      </c>
      <c r="I35" s="576">
        <f>[1]výdavky!E344+[1]výdavky!E342+[1]výdavky!E345</f>
        <v>513.77</v>
      </c>
      <c r="J35" s="576">
        <f>[1]výdavky!F344+[1]výdavky!F345</f>
        <v>500</v>
      </c>
      <c r="K35" s="576">
        <f>[1]výdavky!G344+[1]výdavky!G345</f>
        <v>850</v>
      </c>
      <c r="L35" s="576">
        <f>[1]výdavky!H344+[1]výdavky!H345</f>
        <v>800</v>
      </c>
      <c r="M35" s="576">
        <f>[1]výdavky!I344+[1]výdavky!I345</f>
        <v>800</v>
      </c>
      <c r="N35" s="576">
        <f>[1]výdavky!J344+[1]výdavky!I345</f>
        <v>800</v>
      </c>
    </row>
    <row r="36" spans="1:14" x14ac:dyDescent="0.2">
      <c r="A36" s="1383">
        <f t="shared" si="6"/>
        <v>30</v>
      </c>
      <c r="B36" s="385"/>
      <c r="C36" s="194" t="s">
        <v>193</v>
      </c>
      <c r="D36" s="208" t="s">
        <v>227</v>
      </c>
      <c r="E36" s="234" t="s">
        <v>351</v>
      </c>
      <c r="F36" s="209"/>
      <c r="G36" s="215"/>
      <c r="H36" s="2174">
        <f>[1]výdavky!D346</f>
        <v>500</v>
      </c>
      <c r="I36" s="575">
        <f>[1]výdavky!E346+[1]výdavky!E347</f>
        <v>25.7</v>
      </c>
      <c r="J36" s="575">
        <f>[1]výdavky!F346+[1]výdavky!F347+[1]výdavky!F348</f>
        <v>1500</v>
      </c>
      <c r="K36" s="575">
        <f>[1]výdavky!G346+[1]výdavky!G347+[1]výdavky!G348</f>
        <v>1500</v>
      </c>
      <c r="L36" s="575">
        <f>[1]výdavky!H346+[1]výdavky!H347+[1]výdavky!H348</f>
        <v>1500</v>
      </c>
      <c r="M36" s="575">
        <f>[1]výdavky!I346</f>
        <v>500</v>
      </c>
      <c r="N36" s="575">
        <f>[1]výdavky!J346</f>
        <v>500</v>
      </c>
    </row>
    <row r="37" spans="1:14" x14ac:dyDescent="0.2">
      <c r="A37" s="1383">
        <v>30</v>
      </c>
      <c r="B37" s="385"/>
      <c r="C37" s="194" t="s">
        <v>195</v>
      </c>
      <c r="D37" s="213" t="s">
        <v>231</v>
      </c>
      <c r="E37" s="171" t="s">
        <v>196</v>
      </c>
      <c r="F37" s="181"/>
      <c r="G37" s="182"/>
      <c r="H37" s="2172">
        <f>[1]výdavky!D351+[1]výdavky!D352+[1]výdavky!D342</f>
        <v>1800</v>
      </c>
      <c r="I37" s="576">
        <f>[1]výdavky!E351+[1]výdavky!E352</f>
        <v>0</v>
      </c>
      <c r="J37" s="576">
        <f>[1]výdavky!F351+[1]výdavky!F352+[1]výdavky!F342</f>
        <v>1800</v>
      </c>
      <c r="K37" s="576">
        <f>[1]výdavky!G351+[1]výdavky!G352+[1]výdavky!G342</f>
        <v>1800</v>
      </c>
      <c r="L37" s="576">
        <f>[1]výdavky!H351+[1]výdavky!H352+[1]výdavky!H342</f>
        <v>1800</v>
      </c>
      <c r="M37" s="576">
        <f>[1]výdavky!I351+[1]výdavky!I352+[1]výdavky!I342</f>
        <v>1800</v>
      </c>
      <c r="N37" s="576">
        <f>[1]výdavky!J351+[1]výdavky!J352+[1]výdavky!J342</f>
        <v>1800</v>
      </c>
    </row>
    <row r="38" spans="1:14" x14ac:dyDescent="0.2">
      <c r="A38" s="1383">
        <f t="shared" ref="A38:A46" si="9">A37+1</f>
        <v>31</v>
      </c>
      <c r="B38" s="385"/>
      <c r="C38" s="194" t="s">
        <v>197</v>
      </c>
      <c r="D38" s="208" t="s">
        <v>233</v>
      </c>
      <c r="E38" s="234" t="s">
        <v>273</v>
      </c>
      <c r="F38" s="209"/>
      <c r="G38" s="215"/>
      <c r="H38" s="2174">
        <f>[1]výdavky!D353</f>
        <v>1000</v>
      </c>
      <c r="I38" s="575">
        <f>[1]výdavky!E353</f>
        <v>0</v>
      </c>
      <c r="J38" s="575">
        <f>[1]výdavky!F353</f>
        <v>1000</v>
      </c>
      <c r="K38" s="575">
        <f>[1]výdavky!G353</f>
        <v>1000</v>
      </c>
      <c r="L38" s="575">
        <f>[1]výdavky!H353</f>
        <v>1000</v>
      </c>
      <c r="M38" s="575">
        <f>[1]výdavky!I353</f>
        <v>1000</v>
      </c>
      <c r="N38" s="575">
        <f>[1]výdavky!J353</f>
        <v>1000</v>
      </c>
    </row>
    <row r="39" spans="1:14" x14ac:dyDescent="0.2">
      <c r="A39" s="1383">
        <f t="shared" si="9"/>
        <v>32</v>
      </c>
      <c r="B39" s="385"/>
      <c r="C39" s="194" t="s">
        <v>201</v>
      </c>
      <c r="D39" s="213" t="s">
        <v>261</v>
      </c>
      <c r="E39" s="171" t="s">
        <v>202</v>
      </c>
      <c r="F39" s="181"/>
      <c r="G39" s="182"/>
      <c r="H39" s="2172">
        <f>[1]výdavky!D356</f>
        <v>500</v>
      </c>
      <c r="I39" s="576">
        <f>[1]výdavky!E356+[1]výdavky!E355</f>
        <v>186</v>
      </c>
      <c r="J39" s="576">
        <f>[1]výdavky!F355+[1]výdavky!F356</f>
        <v>700</v>
      </c>
      <c r="K39" s="576">
        <f>[1]výdavky!G356+[1]výdavky!G355</f>
        <v>3500</v>
      </c>
      <c r="L39" s="576">
        <f>[1]výdavky!H356+[1]výdavky!H355</f>
        <v>5000</v>
      </c>
      <c r="M39" s="576">
        <f>[1]výdavky!I356+[1]výdavky!I355</f>
        <v>500</v>
      </c>
      <c r="N39" s="576">
        <f>[1]výdavky!J356+[1]výdavky!J355</f>
        <v>500</v>
      </c>
    </row>
    <row r="40" spans="1:14" x14ac:dyDescent="0.2">
      <c r="A40" s="1383">
        <f t="shared" si="9"/>
        <v>33</v>
      </c>
      <c r="B40" s="385"/>
      <c r="C40" s="194" t="s">
        <v>209</v>
      </c>
      <c r="D40" s="213" t="s">
        <v>263</v>
      </c>
      <c r="E40" s="171" t="s">
        <v>921</v>
      </c>
      <c r="F40" s="181"/>
      <c r="G40" s="182"/>
      <c r="H40" s="2172"/>
      <c r="I40" s="576">
        <v>0</v>
      </c>
      <c r="J40" s="576">
        <v>0</v>
      </c>
      <c r="K40" s="576">
        <v>0</v>
      </c>
      <c r="L40" s="576">
        <v>0</v>
      </c>
      <c r="M40" s="576">
        <v>0</v>
      </c>
      <c r="N40" s="576">
        <v>0</v>
      </c>
    </row>
    <row r="41" spans="1:14" x14ac:dyDescent="0.2">
      <c r="A41" s="1383">
        <f t="shared" si="9"/>
        <v>34</v>
      </c>
      <c r="B41" s="188"/>
      <c r="C41" s="212"/>
      <c r="D41" s="599" t="s">
        <v>178</v>
      </c>
      <c r="E41" s="602"/>
      <c r="F41" s="607"/>
      <c r="G41" s="684">
        <f t="shared" ref="G41:N41" si="10">G42</f>
        <v>0</v>
      </c>
      <c r="H41" s="2171">
        <f>H42</f>
        <v>0</v>
      </c>
      <c r="I41" s="864">
        <f t="shared" si="10"/>
        <v>0</v>
      </c>
      <c r="J41" s="864">
        <f>J42</f>
        <v>0</v>
      </c>
      <c r="K41" s="864">
        <f t="shared" si="10"/>
        <v>6890</v>
      </c>
      <c r="L41" s="864">
        <f t="shared" si="10"/>
        <v>0</v>
      </c>
      <c r="M41" s="864">
        <f t="shared" si="10"/>
        <v>0</v>
      </c>
      <c r="N41" s="864">
        <f t="shared" si="10"/>
        <v>0</v>
      </c>
    </row>
    <row r="42" spans="1:14" x14ac:dyDescent="0.2">
      <c r="A42" s="1383">
        <f t="shared" si="9"/>
        <v>35</v>
      </c>
      <c r="B42" s="183"/>
      <c r="C42" s="214" t="s">
        <v>286</v>
      </c>
      <c r="D42" s="213" t="s">
        <v>265</v>
      </c>
      <c r="E42" s="297" t="s">
        <v>1035</v>
      </c>
      <c r="F42" s="181"/>
      <c r="G42" s="182">
        <f>ROUND(M42/30.126,1)</f>
        <v>0</v>
      </c>
      <c r="H42" s="2172">
        <f>[1]výdavky!D757</f>
        <v>0</v>
      </c>
      <c r="I42" s="576">
        <f>[1]výdavky!E759</f>
        <v>0</v>
      </c>
      <c r="J42" s="576">
        <f>[1]výdavky!F759</f>
        <v>0</v>
      </c>
      <c r="K42" s="576">
        <f>[1]výdavky!G759</f>
        <v>6890</v>
      </c>
      <c r="L42" s="576">
        <f>[1]výdavky!H758</f>
        <v>0</v>
      </c>
      <c r="M42" s="576">
        <f>[1]výdavky!I757</f>
        <v>0</v>
      </c>
      <c r="N42" s="576">
        <f>[1]výdavky!J757</f>
        <v>0</v>
      </c>
    </row>
    <row r="43" spans="1:14" x14ac:dyDescent="0.2">
      <c r="A43" s="1383">
        <f t="shared" si="9"/>
        <v>36</v>
      </c>
      <c r="B43" s="183"/>
      <c r="C43" s="143" t="s">
        <v>204</v>
      </c>
      <c r="D43" s="144" t="s">
        <v>352</v>
      </c>
      <c r="E43" s="145"/>
      <c r="F43" s="146"/>
      <c r="G43" s="147">
        <f>F97</f>
        <v>0</v>
      </c>
      <c r="H43" s="2173">
        <f>H44</f>
        <v>1470</v>
      </c>
      <c r="I43" s="884">
        <f t="shared" ref="I43:N45" si="11">I44</f>
        <v>1655.69</v>
      </c>
      <c r="J43" s="884">
        <f>J44</f>
        <v>1650</v>
      </c>
      <c r="K43" s="884">
        <f t="shared" si="11"/>
        <v>1650</v>
      </c>
      <c r="L43" s="884">
        <f t="shared" si="11"/>
        <v>1650</v>
      </c>
      <c r="M43" s="884">
        <f t="shared" si="11"/>
        <v>1650</v>
      </c>
      <c r="N43" s="884">
        <f t="shared" si="11"/>
        <v>1500</v>
      </c>
    </row>
    <row r="44" spans="1:14" x14ac:dyDescent="0.2">
      <c r="A44" s="1383">
        <f t="shared" si="9"/>
        <v>37</v>
      </c>
      <c r="B44" s="150"/>
      <c r="C44" s="151"/>
      <c r="D44" s="133" t="s">
        <v>176</v>
      </c>
      <c r="E44" s="152"/>
      <c r="F44" s="153"/>
      <c r="G44" s="154">
        <f>G45+G73</f>
        <v>3171.3999999999996</v>
      </c>
      <c r="H44" s="2164">
        <f>H45</f>
        <v>1470</v>
      </c>
      <c r="I44" s="573">
        <f t="shared" si="11"/>
        <v>1655.69</v>
      </c>
      <c r="J44" s="573">
        <f>J45</f>
        <v>1650</v>
      </c>
      <c r="K44" s="573">
        <f t="shared" si="11"/>
        <v>1650</v>
      </c>
      <c r="L44" s="573">
        <f t="shared" si="11"/>
        <v>1650</v>
      </c>
      <c r="M44" s="573">
        <f t="shared" si="11"/>
        <v>1650</v>
      </c>
      <c r="N44" s="573">
        <f t="shared" si="11"/>
        <v>1500</v>
      </c>
    </row>
    <row r="45" spans="1:14" x14ac:dyDescent="0.2">
      <c r="A45" s="1383">
        <f t="shared" si="9"/>
        <v>38</v>
      </c>
      <c r="B45" s="183"/>
      <c r="C45" s="233" t="s">
        <v>353</v>
      </c>
      <c r="D45" s="158" t="s">
        <v>354</v>
      </c>
      <c r="E45" s="159"/>
      <c r="F45" s="160"/>
      <c r="G45" s="193">
        <f>SUM(G46:G69)</f>
        <v>3104.9999999999995</v>
      </c>
      <c r="H45" s="2168">
        <f>H46</f>
        <v>1470</v>
      </c>
      <c r="I45" s="574">
        <f t="shared" si="11"/>
        <v>1655.69</v>
      </c>
      <c r="J45" s="574">
        <f>J46</f>
        <v>1650</v>
      </c>
      <c r="K45" s="574">
        <f t="shared" si="11"/>
        <v>1650</v>
      </c>
      <c r="L45" s="574">
        <f t="shared" si="11"/>
        <v>1650</v>
      </c>
      <c r="M45" s="574">
        <f t="shared" si="11"/>
        <v>1650</v>
      </c>
      <c r="N45" s="574">
        <f t="shared" si="11"/>
        <v>1500</v>
      </c>
    </row>
    <row r="46" spans="1:14" x14ac:dyDescent="0.2">
      <c r="A46" s="1383">
        <f t="shared" si="9"/>
        <v>39</v>
      </c>
      <c r="B46" s="183"/>
      <c r="C46" s="214" t="s">
        <v>221</v>
      </c>
      <c r="D46" s="213" t="s">
        <v>210</v>
      </c>
      <c r="E46" s="297" t="s">
        <v>356</v>
      </c>
      <c r="F46" s="181"/>
      <c r="G46" s="182"/>
      <c r="H46" s="2172">
        <f>[1]výdavky!D363</f>
        <v>1470</v>
      </c>
      <c r="I46" s="576">
        <f>[1]výdavky!E363</f>
        <v>1655.69</v>
      </c>
      <c r="J46" s="576">
        <f>[1]výdavky!F363</f>
        <v>1650</v>
      </c>
      <c r="K46" s="576">
        <f>[1]výdavky!G363</f>
        <v>1650</v>
      </c>
      <c r="L46" s="576">
        <f>[1]výdavky!H363</f>
        <v>1650</v>
      </c>
      <c r="M46" s="576">
        <f>[1]výdavky!I363</f>
        <v>1650</v>
      </c>
      <c r="N46" s="576">
        <f>[1]výdavky!J363</f>
        <v>1500</v>
      </c>
    </row>
    <row r="47" spans="1:14" x14ac:dyDescent="0.2">
      <c r="A47" s="1383">
        <v>40</v>
      </c>
      <c r="B47" s="183"/>
      <c r="C47" s="386" t="s">
        <v>357</v>
      </c>
      <c r="D47" s="2359" t="s">
        <v>358</v>
      </c>
      <c r="E47" s="2359"/>
      <c r="F47" s="387"/>
      <c r="G47" s="388"/>
      <c r="H47" s="2175">
        <f>H48</f>
        <v>1100</v>
      </c>
      <c r="I47" s="884">
        <f t="shared" ref="I47:N49" si="12">SUM(I48)</f>
        <v>866.1</v>
      </c>
      <c r="J47" s="884">
        <f>J48</f>
        <v>1000</v>
      </c>
      <c r="K47" s="884">
        <f t="shared" si="12"/>
        <v>1000</v>
      </c>
      <c r="L47" s="884">
        <f t="shared" si="12"/>
        <v>1000</v>
      </c>
      <c r="M47" s="884">
        <f t="shared" si="12"/>
        <v>1000</v>
      </c>
      <c r="N47" s="884">
        <f t="shared" si="12"/>
        <v>1000</v>
      </c>
    </row>
    <row r="48" spans="1:14" x14ac:dyDescent="0.2">
      <c r="A48" s="1383">
        <v>41</v>
      </c>
      <c r="B48" s="183"/>
      <c r="C48" s="212"/>
      <c r="D48" s="2364" t="s">
        <v>176</v>
      </c>
      <c r="E48" s="2364"/>
      <c r="F48" s="312"/>
      <c r="G48" s="313"/>
      <c r="H48" s="2176">
        <f>H49</f>
        <v>1100</v>
      </c>
      <c r="I48" s="873">
        <f t="shared" si="12"/>
        <v>866.1</v>
      </c>
      <c r="J48" s="873">
        <f>J49</f>
        <v>1000</v>
      </c>
      <c r="K48" s="873">
        <f t="shared" si="12"/>
        <v>1000</v>
      </c>
      <c r="L48" s="873">
        <f t="shared" si="12"/>
        <v>1000</v>
      </c>
      <c r="M48" s="873">
        <f t="shared" si="12"/>
        <v>1000</v>
      </c>
      <c r="N48" s="873">
        <f t="shared" si="12"/>
        <v>1000</v>
      </c>
    </row>
    <row r="49" spans="1:14" s="319" customFormat="1" x14ac:dyDescent="0.2">
      <c r="A49" s="1383">
        <v>42</v>
      </c>
      <c r="B49" s="390"/>
      <c r="C49" s="341" t="s">
        <v>359</v>
      </c>
      <c r="D49" s="2360" t="s">
        <v>360</v>
      </c>
      <c r="E49" s="2360"/>
      <c r="F49" s="192"/>
      <c r="G49" s="193"/>
      <c r="H49" s="2168">
        <f>H50</f>
        <v>1100</v>
      </c>
      <c r="I49" s="574">
        <f t="shared" si="12"/>
        <v>866.1</v>
      </c>
      <c r="J49" s="574">
        <f>J50</f>
        <v>1000</v>
      </c>
      <c r="K49" s="574">
        <f t="shared" si="12"/>
        <v>1000</v>
      </c>
      <c r="L49" s="574">
        <f t="shared" si="12"/>
        <v>1000</v>
      </c>
      <c r="M49" s="574">
        <f t="shared" si="12"/>
        <v>1000</v>
      </c>
      <c r="N49" s="574">
        <f t="shared" si="12"/>
        <v>1000</v>
      </c>
    </row>
    <row r="50" spans="1:14" x14ac:dyDescent="0.2">
      <c r="A50" s="1383">
        <v>43</v>
      </c>
      <c r="B50" s="183"/>
      <c r="C50" s="212" t="s">
        <v>201</v>
      </c>
      <c r="D50" s="391" t="s">
        <v>210</v>
      </c>
      <c r="E50" s="297" t="s">
        <v>362</v>
      </c>
      <c r="F50" s="181"/>
      <c r="G50" s="182"/>
      <c r="H50" s="2172">
        <f>[1]výdavky!D374</f>
        <v>1100</v>
      </c>
      <c r="I50" s="576">
        <f>[1]výdavky!E374</f>
        <v>866.1</v>
      </c>
      <c r="J50" s="576">
        <f>[1]výdavky!F374</f>
        <v>1000</v>
      </c>
      <c r="K50" s="576">
        <f>[1]výdavky!G374</f>
        <v>1000</v>
      </c>
      <c r="L50" s="576">
        <f>[1]výdavky!H374</f>
        <v>1000</v>
      </c>
      <c r="M50" s="576">
        <f>[1]výdavky!I374</f>
        <v>1000</v>
      </c>
      <c r="N50" s="576">
        <f>[1]výdavky!J374</f>
        <v>1000</v>
      </c>
    </row>
    <row r="51" spans="1:14" s="1473" customFormat="1" x14ac:dyDescent="0.2">
      <c r="A51" s="1383">
        <v>44</v>
      </c>
      <c r="B51" s="183"/>
      <c r="C51" s="386" t="s">
        <v>922</v>
      </c>
      <c r="D51" s="2359" t="s">
        <v>923</v>
      </c>
      <c r="E51" s="2359"/>
      <c r="F51" s="387"/>
      <c r="G51" s="215"/>
      <c r="H51" s="2177">
        <f t="shared" ref="H51:N52" si="13">H52</f>
        <v>12350</v>
      </c>
      <c r="I51" s="2178">
        <f t="shared" si="13"/>
        <v>9614.65</v>
      </c>
      <c r="J51" s="2178">
        <f t="shared" si="13"/>
        <v>10000</v>
      </c>
      <c r="K51" s="2178">
        <f t="shared" si="13"/>
        <v>10230</v>
      </c>
      <c r="L51" s="2178">
        <f t="shared" si="13"/>
        <v>10000</v>
      </c>
      <c r="M51" s="2178">
        <f t="shared" si="13"/>
        <v>10000</v>
      </c>
      <c r="N51" s="2178">
        <f t="shared" si="13"/>
        <v>10000</v>
      </c>
    </row>
    <row r="52" spans="1:14" s="1473" customFormat="1" x14ac:dyDescent="0.2">
      <c r="A52" s="1383">
        <v>45</v>
      </c>
      <c r="B52" s="183"/>
      <c r="C52" s="212"/>
      <c r="D52" s="2364" t="s">
        <v>176</v>
      </c>
      <c r="E52" s="2364"/>
      <c r="F52" s="312"/>
      <c r="G52" s="215"/>
      <c r="H52" s="2179">
        <f t="shared" si="13"/>
        <v>12350</v>
      </c>
      <c r="I52" s="2180">
        <f t="shared" si="13"/>
        <v>9614.65</v>
      </c>
      <c r="J52" s="2180">
        <f t="shared" si="13"/>
        <v>10000</v>
      </c>
      <c r="K52" s="2180">
        <f t="shared" si="13"/>
        <v>10230</v>
      </c>
      <c r="L52" s="2180">
        <f t="shared" si="13"/>
        <v>10000</v>
      </c>
      <c r="M52" s="2180">
        <f t="shared" si="13"/>
        <v>10000</v>
      </c>
      <c r="N52" s="2180">
        <f t="shared" si="13"/>
        <v>10000</v>
      </c>
    </row>
    <row r="53" spans="1:14" s="1473" customFormat="1" x14ac:dyDescent="0.2">
      <c r="A53" s="1383">
        <v>46</v>
      </c>
      <c r="B53" s="183"/>
      <c r="C53" s="341" t="s">
        <v>924</v>
      </c>
      <c r="D53" s="2368" t="s">
        <v>923</v>
      </c>
      <c r="E53" s="2360"/>
      <c r="F53" s="192"/>
      <c r="G53" s="215"/>
      <c r="H53" s="2181">
        <f t="shared" ref="H53:N53" si="14">H54+H55</f>
        <v>12350</v>
      </c>
      <c r="I53" s="2182">
        <f t="shared" si="14"/>
        <v>9614.65</v>
      </c>
      <c r="J53" s="2182">
        <f t="shared" si="14"/>
        <v>10000</v>
      </c>
      <c r="K53" s="2182">
        <f t="shared" si="14"/>
        <v>10230</v>
      </c>
      <c r="L53" s="2182">
        <f t="shared" si="14"/>
        <v>10000</v>
      </c>
      <c r="M53" s="2182">
        <f t="shared" si="14"/>
        <v>10000</v>
      </c>
      <c r="N53" s="2182">
        <f t="shared" si="14"/>
        <v>10000</v>
      </c>
    </row>
    <row r="54" spans="1:14" s="1473" customFormat="1" x14ac:dyDescent="0.2">
      <c r="A54" s="1383">
        <v>47</v>
      </c>
      <c r="B54" s="183"/>
      <c r="C54" s="212" t="s">
        <v>197</v>
      </c>
      <c r="D54" s="1480" t="s">
        <v>210</v>
      </c>
      <c r="E54" s="2369" t="s">
        <v>288</v>
      </c>
      <c r="F54" s="2370"/>
      <c r="G54" s="1476"/>
      <c r="H54" s="2183">
        <f>[1]výdavky!D377</f>
        <v>2350</v>
      </c>
      <c r="I54" s="1470">
        <f>[1]výdavky!E377</f>
        <v>0</v>
      </c>
      <c r="J54" s="1470">
        <f>[1]výdavky!F377</f>
        <v>0</v>
      </c>
      <c r="K54" s="1470">
        <f>[1]výdavky!G377</f>
        <v>230</v>
      </c>
      <c r="L54" s="1470">
        <f>[1]výdavky!H377</f>
        <v>0</v>
      </c>
      <c r="M54" s="1470">
        <f>[1]výdavky!I377</f>
        <v>0</v>
      </c>
      <c r="N54" s="1470">
        <f>[1]výdavky!J377</f>
        <v>0</v>
      </c>
    </row>
    <row r="55" spans="1:14" s="1473" customFormat="1" x14ac:dyDescent="0.2">
      <c r="A55" s="1383">
        <v>48</v>
      </c>
      <c r="B55" s="183"/>
      <c r="C55" s="212" t="s">
        <v>201</v>
      </c>
      <c r="D55" s="1479" t="s">
        <v>212</v>
      </c>
      <c r="E55" s="1479" t="s">
        <v>800</v>
      </c>
      <c r="F55" s="1477"/>
      <c r="G55" s="1478"/>
      <c r="H55" s="2184">
        <f>[1]výdavky!D378</f>
        <v>10000</v>
      </c>
      <c r="I55" s="580">
        <f>[1]výdavky!E378</f>
        <v>9614.65</v>
      </c>
      <c r="J55" s="580">
        <f>[1]výdavky!F378</f>
        <v>10000</v>
      </c>
      <c r="K55" s="580">
        <f>[1]výdavky!G378</f>
        <v>10000</v>
      </c>
      <c r="L55" s="580">
        <f>[1]výdavky!H378</f>
        <v>10000</v>
      </c>
      <c r="M55" s="580">
        <f>[1]výdavky!I378</f>
        <v>10000</v>
      </c>
      <c r="N55" s="580">
        <f>[1]výdavky!J378</f>
        <v>10000</v>
      </c>
    </row>
    <row r="56" spans="1:14" x14ac:dyDescent="0.2">
      <c r="A56" s="1383">
        <v>49</v>
      </c>
      <c r="B56" s="135">
        <v>4</v>
      </c>
      <c r="C56" s="235" t="s">
        <v>363</v>
      </c>
      <c r="D56" s="137"/>
      <c r="E56" s="137"/>
      <c r="F56" s="138"/>
      <c r="G56" s="139">
        <f>SUM(G58)</f>
        <v>775.8</v>
      </c>
      <c r="H56" s="2163">
        <f>H57+H62</f>
        <v>4500</v>
      </c>
      <c r="I56" s="572">
        <f>SUM(I57+I62)</f>
        <v>15334.619999999999</v>
      </c>
      <c r="J56" s="572">
        <f>J57+J62</f>
        <v>13500</v>
      </c>
      <c r="K56" s="572">
        <f>SUM(K57+K62)</f>
        <v>10659</v>
      </c>
      <c r="L56" s="572">
        <f>SUM(L57+L62)</f>
        <v>11500</v>
      </c>
      <c r="M56" s="572">
        <f>SUM(M57+M62)</f>
        <v>12500</v>
      </c>
      <c r="N56" s="572">
        <f>SUM(N57+N62)</f>
        <v>7500</v>
      </c>
    </row>
    <row r="57" spans="1:14" x14ac:dyDescent="0.2">
      <c r="A57" s="1383">
        <f>A56+1</f>
        <v>50</v>
      </c>
      <c r="B57" s="150"/>
      <c r="C57" s="151"/>
      <c r="D57" s="133" t="s">
        <v>176</v>
      </c>
      <c r="E57" s="152"/>
      <c r="F57" s="153"/>
      <c r="G57" s="154">
        <f t="shared" ref="G57:N57" si="15">G58</f>
        <v>775.8</v>
      </c>
      <c r="H57" s="2164">
        <f>H58</f>
        <v>4500</v>
      </c>
      <c r="I57" s="573">
        <f t="shared" si="15"/>
        <v>15334.619999999999</v>
      </c>
      <c r="J57" s="573">
        <f>J58</f>
        <v>13500</v>
      </c>
      <c r="K57" s="573">
        <f t="shared" si="15"/>
        <v>10659</v>
      </c>
      <c r="L57" s="573">
        <f t="shared" si="15"/>
        <v>11500</v>
      </c>
      <c r="M57" s="573">
        <f t="shared" si="15"/>
        <v>12500</v>
      </c>
      <c r="N57" s="573">
        <f t="shared" si="15"/>
        <v>7500</v>
      </c>
    </row>
    <row r="58" spans="1:14" x14ac:dyDescent="0.2">
      <c r="A58" s="1383">
        <f>A57+1</f>
        <v>51</v>
      </c>
      <c r="B58" s="183"/>
      <c r="C58" s="294" t="s">
        <v>348</v>
      </c>
      <c r="D58" s="158" t="s">
        <v>347</v>
      </c>
      <c r="E58" s="159"/>
      <c r="F58" s="160"/>
      <c r="G58" s="193">
        <f t="shared" ref="G58:N58" si="16">SUM(G59:G61)</f>
        <v>775.8</v>
      </c>
      <c r="H58" s="2168">
        <f>SUM(H59:H61)</f>
        <v>4500</v>
      </c>
      <c r="I58" s="574">
        <f t="shared" si="16"/>
        <v>15334.619999999999</v>
      </c>
      <c r="J58" s="574">
        <f>SUM(J59:J61)</f>
        <v>13500</v>
      </c>
      <c r="K58" s="574">
        <f t="shared" si="16"/>
        <v>10659</v>
      </c>
      <c r="L58" s="574">
        <f t="shared" si="16"/>
        <v>11500</v>
      </c>
      <c r="M58" s="574">
        <f t="shared" si="16"/>
        <v>12500</v>
      </c>
      <c r="N58" s="574">
        <f t="shared" si="16"/>
        <v>7500</v>
      </c>
    </row>
    <row r="59" spans="1:14" x14ac:dyDescent="0.2">
      <c r="A59" s="1383">
        <f>A58+1</f>
        <v>52</v>
      </c>
      <c r="B59" s="183"/>
      <c r="C59" s="214" t="s">
        <v>364</v>
      </c>
      <c r="D59" s="213" t="s">
        <v>210</v>
      </c>
      <c r="E59" s="175" t="s">
        <v>365</v>
      </c>
      <c r="F59" s="181"/>
      <c r="G59" s="383">
        <f>ROUND(M59/30.126,1)</f>
        <v>33.200000000000003</v>
      </c>
      <c r="H59" s="2170">
        <f>[1]výdavky!D349+[1]výdavky!D348+[1]výdavky!D355</f>
        <v>1000</v>
      </c>
      <c r="I59" s="892">
        <f>[1]výdavky!E349+[1]výdavky!E348</f>
        <v>1436.42</v>
      </c>
      <c r="J59" s="892">
        <f>[1]výdavky!F349</f>
        <v>0</v>
      </c>
      <c r="K59" s="892">
        <f>[1]výdavky!G349</f>
        <v>1069</v>
      </c>
      <c r="L59" s="576">
        <f>[1]výdavky!H349</f>
        <v>0</v>
      </c>
      <c r="M59" s="892">
        <f>[1]výdavky!I349+[1]výdavky!I348</f>
        <v>1000</v>
      </c>
      <c r="N59" s="892">
        <f>[1]výdavky!J349+[1]výdavky!J348</f>
        <v>1000</v>
      </c>
    </row>
    <row r="60" spans="1:14" x14ac:dyDescent="0.2">
      <c r="A60" s="1383">
        <f>A59+1</f>
        <v>53</v>
      </c>
      <c r="B60" s="183"/>
      <c r="C60" s="214" t="s">
        <v>364</v>
      </c>
      <c r="D60" s="213" t="s">
        <v>212</v>
      </c>
      <c r="E60" s="175" t="s">
        <v>366</v>
      </c>
      <c r="F60" s="181"/>
      <c r="G60" s="383">
        <f>ROUND(M60/30.126,1)</f>
        <v>331.9</v>
      </c>
      <c r="H60" s="2170">
        <f>[1]výdavky!D357</f>
        <v>3000</v>
      </c>
      <c r="I60" s="892">
        <f>[1]výdavky!E357</f>
        <v>13433.65</v>
      </c>
      <c r="J60" s="892">
        <f>[1]výdavky!F357+[1]výdavky!F359</f>
        <v>13000</v>
      </c>
      <c r="K60" s="892">
        <f>[1]výdavky!G357</f>
        <v>8000</v>
      </c>
      <c r="L60" s="576">
        <f>[1]výdavky!H357</f>
        <v>10000</v>
      </c>
      <c r="M60" s="892">
        <f>+[1]výdavky!I359+[1]výdavky!I357</f>
        <v>10000</v>
      </c>
      <c r="N60" s="892">
        <f>[1]výdavky!J357+[1]výdavky!J359</f>
        <v>5000</v>
      </c>
    </row>
    <row r="61" spans="1:14" x14ac:dyDescent="0.2">
      <c r="A61" s="1383">
        <f>A60+1</f>
        <v>54</v>
      </c>
      <c r="B61" s="183"/>
      <c r="C61" s="212" t="s">
        <v>209</v>
      </c>
      <c r="D61" s="213" t="s">
        <v>223</v>
      </c>
      <c r="E61" s="175" t="s">
        <v>563</v>
      </c>
      <c r="F61" s="181"/>
      <c r="G61" s="383">
        <f>397.4+13.3</f>
        <v>410.7</v>
      </c>
      <c r="H61" s="2170">
        <f>[1]výdavky!D360</f>
        <v>500</v>
      </c>
      <c r="I61" s="892">
        <f>[1]výdavky!E360</f>
        <v>464.55</v>
      </c>
      <c r="J61" s="892">
        <f>[1]výdavky!F360</f>
        <v>500</v>
      </c>
      <c r="K61" s="892">
        <f>[1]výdavky!G360</f>
        <v>1590</v>
      </c>
      <c r="L61" s="576">
        <f>[1]výdavky!H360</f>
        <v>1500</v>
      </c>
      <c r="M61" s="892">
        <f>[1]výdavky!I360</f>
        <v>1500</v>
      </c>
      <c r="N61" s="892">
        <f>[1]výdavky!J360</f>
        <v>1500</v>
      </c>
    </row>
    <row r="62" spans="1:14" x14ac:dyDescent="0.2">
      <c r="A62" s="1383">
        <v>55</v>
      </c>
      <c r="B62" s="188"/>
      <c r="C62" s="212"/>
      <c r="D62" s="599" t="s">
        <v>178</v>
      </c>
      <c r="E62" s="602"/>
      <c r="F62" s="607"/>
      <c r="G62" s="684">
        <f t="shared" ref="G62:N62" si="17">G63</f>
        <v>0</v>
      </c>
      <c r="H62" s="2171">
        <f>H63</f>
        <v>0</v>
      </c>
      <c r="I62" s="864">
        <f t="shared" si="17"/>
        <v>0</v>
      </c>
      <c r="J62" s="864">
        <f>J63</f>
        <v>0</v>
      </c>
      <c r="K62" s="864">
        <f t="shared" si="17"/>
        <v>0</v>
      </c>
      <c r="L62" s="864">
        <f t="shared" si="17"/>
        <v>0</v>
      </c>
      <c r="M62" s="864">
        <f t="shared" si="17"/>
        <v>0</v>
      </c>
      <c r="N62" s="864">
        <f t="shared" si="17"/>
        <v>0</v>
      </c>
    </row>
    <row r="63" spans="1:14" x14ac:dyDescent="0.2">
      <c r="A63" s="1383">
        <f>A62+1</f>
        <v>56</v>
      </c>
      <c r="B63" s="183"/>
      <c r="C63" s="294" t="s">
        <v>359</v>
      </c>
      <c r="D63" s="158" t="s">
        <v>360</v>
      </c>
      <c r="E63" s="159"/>
      <c r="F63" s="160"/>
      <c r="G63" s="193">
        <f t="shared" ref="G63:N63" si="18">SUM(G64:G64)</f>
        <v>0</v>
      </c>
      <c r="H63" s="2168">
        <f>H64</f>
        <v>0</v>
      </c>
      <c r="I63" s="574">
        <f t="shared" si="18"/>
        <v>0</v>
      </c>
      <c r="J63" s="574">
        <f>J64</f>
        <v>0</v>
      </c>
      <c r="K63" s="574">
        <f t="shared" si="18"/>
        <v>0</v>
      </c>
      <c r="L63" s="574">
        <f t="shared" si="18"/>
        <v>0</v>
      </c>
      <c r="M63" s="574">
        <f t="shared" si="18"/>
        <v>0</v>
      </c>
      <c r="N63" s="574">
        <f t="shared" si="18"/>
        <v>0</v>
      </c>
    </row>
    <row r="64" spans="1:14" x14ac:dyDescent="0.2">
      <c r="A64" s="1383">
        <f>A63+1</f>
        <v>57</v>
      </c>
      <c r="B64" s="183"/>
      <c r="C64" s="214" t="s">
        <v>286</v>
      </c>
      <c r="D64" s="213" t="s">
        <v>225</v>
      </c>
      <c r="E64" s="175" t="s">
        <v>920</v>
      </c>
      <c r="F64" s="181"/>
      <c r="G64" s="182"/>
      <c r="H64" s="2172">
        <f>[1]výdavky!D758</f>
        <v>0</v>
      </c>
      <c r="I64" s="576">
        <f>[1]výdavky!E758</f>
        <v>0</v>
      </c>
      <c r="J64" s="576">
        <f>[1]výdavky!F758</f>
        <v>0</v>
      </c>
      <c r="K64" s="576">
        <f>[1]výdavky!G758</f>
        <v>0</v>
      </c>
      <c r="L64" s="576">
        <f>[1]výdavky!H758</f>
        <v>0</v>
      </c>
      <c r="M64" s="576">
        <f>[1]výdavky!I758</f>
        <v>0</v>
      </c>
      <c r="N64" s="576">
        <f>[1]výdavky!J758</f>
        <v>0</v>
      </c>
    </row>
    <row r="65" spans="1:14" x14ac:dyDescent="0.2">
      <c r="A65" s="1383">
        <v>58</v>
      </c>
      <c r="B65" s="135">
        <v>5</v>
      </c>
      <c r="C65" s="235" t="s">
        <v>367</v>
      </c>
      <c r="D65" s="137"/>
      <c r="E65" s="137"/>
      <c r="F65" s="138"/>
      <c r="G65" s="139">
        <f>SUM(G68)</f>
        <v>0</v>
      </c>
      <c r="H65" s="2163">
        <f>H66</f>
        <v>5250</v>
      </c>
      <c r="I65" s="572">
        <f>I67</f>
        <v>1651</v>
      </c>
      <c r="J65" s="572">
        <f>J66</f>
        <v>0</v>
      </c>
      <c r="K65" s="572">
        <f>K67</f>
        <v>0</v>
      </c>
      <c r="L65" s="572">
        <f>L67</f>
        <v>0</v>
      </c>
      <c r="M65" s="572">
        <f>M67</f>
        <v>0</v>
      </c>
      <c r="N65" s="572">
        <f>N67</f>
        <v>0</v>
      </c>
    </row>
    <row r="66" spans="1:14" x14ac:dyDescent="0.2">
      <c r="A66" s="1383">
        <f t="shared" ref="A66:A74" si="19">A65+1</f>
        <v>59</v>
      </c>
      <c r="B66" s="150"/>
      <c r="C66" s="151"/>
      <c r="D66" s="133" t="s">
        <v>176</v>
      </c>
      <c r="E66" s="152"/>
      <c r="F66" s="153"/>
      <c r="G66" s="154">
        <f t="shared" ref="G66:N66" si="20">G67</f>
        <v>0</v>
      </c>
      <c r="H66" s="2164">
        <f>H67</f>
        <v>5250</v>
      </c>
      <c r="I66" s="573">
        <f t="shared" si="20"/>
        <v>1651</v>
      </c>
      <c r="J66" s="573">
        <f>J67</f>
        <v>0</v>
      </c>
      <c r="K66" s="573">
        <f t="shared" si="20"/>
        <v>0</v>
      </c>
      <c r="L66" s="573">
        <f t="shared" si="20"/>
        <v>0</v>
      </c>
      <c r="M66" s="573">
        <f t="shared" si="20"/>
        <v>0</v>
      </c>
      <c r="N66" s="573">
        <f t="shared" si="20"/>
        <v>0</v>
      </c>
    </row>
    <row r="67" spans="1:14" ht="12" customHeight="1" x14ac:dyDescent="0.2">
      <c r="A67" s="1383">
        <f t="shared" si="19"/>
        <v>60</v>
      </c>
      <c r="B67" s="188"/>
      <c r="C67" s="294" t="s">
        <v>368</v>
      </c>
      <c r="D67" s="158" t="s">
        <v>369</v>
      </c>
      <c r="E67" s="159"/>
      <c r="F67" s="160"/>
      <c r="G67" s="193">
        <f>SUM(G68:G68)</f>
        <v>0</v>
      </c>
      <c r="H67" s="2168">
        <f>H68+H69</f>
        <v>5250</v>
      </c>
      <c r="I67" s="574">
        <f>SUM(I68:I69)</f>
        <v>1651</v>
      </c>
      <c r="J67" s="574">
        <f>J68+J69</f>
        <v>0</v>
      </c>
      <c r="K67" s="574">
        <f>SUM(K68:K69)</f>
        <v>0</v>
      </c>
      <c r="L67" s="574">
        <f>SUM(L68:L69)</f>
        <v>0</v>
      </c>
      <c r="M67" s="574">
        <f>SUM(M68:M69)</f>
        <v>0</v>
      </c>
      <c r="N67" s="574">
        <f>SUM(N68:N69)</f>
        <v>0</v>
      </c>
    </row>
    <row r="68" spans="1:14" x14ac:dyDescent="0.2">
      <c r="A68" s="1383">
        <f t="shared" si="19"/>
        <v>61</v>
      </c>
      <c r="B68" s="188"/>
      <c r="C68" s="214" t="s">
        <v>364</v>
      </c>
      <c r="D68" s="213" t="s">
        <v>210</v>
      </c>
      <c r="E68" s="171" t="s">
        <v>370</v>
      </c>
      <c r="F68" s="201"/>
      <c r="G68" s="182">
        <f>ROUND(M68/30.126,1)</f>
        <v>0</v>
      </c>
      <c r="H68" s="2172">
        <v>0</v>
      </c>
      <c r="I68" s="576"/>
      <c r="J68" s="576">
        <v>0</v>
      </c>
      <c r="K68" s="576">
        <v>0</v>
      </c>
      <c r="L68" s="576">
        <v>0</v>
      </c>
      <c r="M68" s="576">
        <v>0</v>
      </c>
      <c r="N68" s="576">
        <v>0</v>
      </c>
    </row>
    <row r="69" spans="1:14" x14ac:dyDescent="0.2">
      <c r="A69" s="1383">
        <f t="shared" si="19"/>
        <v>62</v>
      </c>
      <c r="B69" s="183"/>
      <c r="C69" s="214" t="s">
        <v>364</v>
      </c>
      <c r="D69" s="213" t="s">
        <v>212</v>
      </c>
      <c r="E69" s="171" t="s">
        <v>371</v>
      </c>
      <c r="F69" s="201"/>
      <c r="G69" s="182">
        <v>1.8</v>
      </c>
      <c r="H69" s="2172">
        <f>[1]výdavky!D382</f>
        <v>5250</v>
      </c>
      <c r="I69" s="576">
        <f>[1]výdavky!E382</f>
        <v>1651</v>
      </c>
      <c r="J69" s="576">
        <f>[1]výdavky!F382</f>
        <v>0</v>
      </c>
      <c r="K69" s="576">
        <f>[1]výdavky!G382</f>
        <v>0</v>
      </c>
      <c r="L69" s="576">
        <f>[1]výdavky!H382</f>
        <v>0</v>
      </c>
      <c r="M69" s="576">
        <f>[1]výdavky!I382</f>
        <v>0</v>
      </c>
      <c r="N69" s="576">
        <f>[1]výdavky!J382</f>
        <v>0</v>
      </c>
    </row>
    <row r="70" spans="1:14" s="96" customFormat="1" x14ac:dyDescent="0.2">
      <c r="A70" s="1383">
        <f t="shared" si="19"/>
        <v>63</v>
      </c>
      <c r="B70" s="230">
        <v>6</v>
      </c>
      <c r="C70" s="231" t="s">
        <v>372</v>
      </c>
      <c r="D70" s="137"/>
      <c r="E70" s="137"/>
      <c r="F70" s="138"/>
      <c r="G70" s="139">
        <f>G72+F75</f>
        <v>99.600000000000009</v>
      </c>
      <c r="H70" s="2163">
        <f>H71</f>
        <v>4000</v>
      </c>
      <c r="I70" s="572">
        <f t="shared" ref="I70:N71" si="21">I71</f>
        <v>9494.7900000000009</v>
      </c>
      <c r="J70" s="572">
        <f>J71</f>
        <v>5000</v>
      </c>
      <c r="K70" s="572">
        <f>K71</f>
        <v>3500</v>
      </c>
      <c r="L70" s="572">
        <f>L71+L75</f>
        <v>53000</v>
      </c>
      <c r="M70" s="572">
        <f t="shared" si="21"/>
        <v>3000</v>
      </c>
      <c r="N70" s="572">
        <f t="shared" si="21"/>
        <v>3000</v>
      </c>
    </row>
    <row r="71" spans="1:14" x14ac:dyDescent="0.2">
      <c r="A71" s="1383">
        <f t="shared" si="19"/>
        <v>64</v>
      </c>
      <c r="B71" s="232"/>
      <c r="C71" s="2185"/>
      <c r="D71" s="132" t="s">
        <v>176</v>
      </c>
      <c r="E71" s="152"/>
      <c r="F71" s="153"/>
      <c r="G71" s="154">
        <f>G72+F75</f>
        <v>99.600000000000009</v>
      </c>
      <c r="H71" s="2164">
        <f>H72</f>
        <v>4000</v>
      </c>
      <c r="I71" s="573">
        <f t="shared" si="21"/>
        <v>9494.7900000000009</v>
      </c>
      <c r="J71" s="573">
        <f>J72</f>
        <v>5000</v>
      </c>
      <c r="K71" s="573">
        <f t="shared" si="21"/>
        <v>3500</v>
      </c>
      <c r="L71" s="573">
        <f t="shared" si="21"/>
        <v>3000</v>
      </c>
      <c r="M71" s="573">
        <f t="shared" si="21"/>
        <v>3000</v>
      </c>
      <c r="N71" s="573">
        <f t="shared" si="21"/>
        <v>3000</v>
      </c>
    </row>
    <row r="72" spans="1:14" x14ac:dyDescent="0.2">
      <c r="A72" s="1383">
        <f t="shared" si="19"/>
        <v>65</v>
      </c>
      <c r="B72" s="156"/>
      <c r="C72" s="2186" t="s">
        <v>368</v>
      </c>
      <c r="D72" s="159" t="s">
        <v>369</v>
      </c>
      <c r="E72" s="159"/>
      <c r="F72" s="160"/>
      <c r="G72" s="193">
        <f t="shared" ref="G72:N72" si="22">SUM(G73:G74)</f>
        <v>99.600000000000009</v>
      </c>
      <c r="H72" s="2168">
        <f>H73+H74</f>
        <v>4000</v>
      </c>
      <c r="I72" s="574">
        <f t="shared" si="22"/>
        <v>9494.7900000000009</v>
      </c>
      <c r="J72" s="574">
        <f>J73+J74</f>
        <v>5000</v>
      </c>
      <c r="K72" s="574">
        <f t="shared" si="22"/>
        <v>3500</v>
      </c>
      <c r="L72" s="574">
        <f t="shared" si="22"/>
        <v>3000</v>
      </c>
      <c r="M72" s="574">
        <f t="shared" si="22"/>
        <v>3000</v>
      </c>
      <c r="N72" s="574">
        <f t="shared" si="22"/>
        <v>3000</v>
      </c>
    </row>
    <row r="73" spans="1:14" x14ac:dyDescent="0.2">
      <c r="A73" s="1383">
        <f t="shared" si="19"/>
        <v>66</v>
      </c>
      <c r="B73" s="156"/>
      <c r="C73" s="2187" t="s">
        <v>191</v>
      </c>
      <c r="D73" s="2188" t="s">
        <v>210</v>
      </c>
      <c r="E73" s="175" t="s">
        <v>339</v>
      </c>
      <c r="F73" s="181"/>
      <c r="G73" s="182">
        <f>ROUND(M73/30.126,1)</f>
        <v>66.400000000000006</v>
      </c>
      <c r="H73" s="2172">
        <f>[1]výdavky!D380</f>
        <v>3000</v>
      </c>
      <c r="I73" s="576">
        <f>[1]výdavky!E380</f>
        <v>3324.79</v>
      </c>
      <c r="J73" s="576">
        <f>[1]výdavky!F380</f>
        <v>2000</v>
      </c>
      <c r="K73" s="576">
        <f>[1]výdavky!G380</f>
        <v>2000</v>
      </c>
      <c r="L73" s="576">
        <f>[1]výdavky!H380</f>
        <v>2000</v>
      </c>
      <c r="M73" s="576">
        <f>[1]výdavky!I380</f>
        <v>2000</v>
      </c>
      <c r="N73" s="576">
        <f>[1]výdavky!J380</f>
        <v>2000</v>
      </c>
    </row>
    <row r="74" spans="1:14" x14ac:dyDescent="0.2">
      <c r="A74" s="1383">
        <f t="shared" si="19"/>
        <v>67</v>
      </c>
      <c r="B74" s="156"/>
      <c r="C74" s="2187" t="s">
        <v>197</v>
      </c>
      <c r="D74" s="2189" t="s">
        <v>212</v>
      </c>
      <c r="E74" s="166" t="s">
        <v>372</v>
      </c>
      <c r="F74" s="209"/>
      <c r="G74" s="215">
        <f>ROUND(M74/30.126,1)</f>
        <v>33.200000000000003</v>
      </c>
      <c r="H74" s="2174">
        <f>[1]výdavky!D381</f>
        <v>1000</v>
      </c>
      <c r="I74" s="575">
        <f>[1]výdavky!E381</f>
        <v>6170</v>
      </c>
      <c r="J74" s="575">
        <f>[1]výdavky!F381</f>
        <v>3000</v>
      </c>
      <c r="K74" s="575">
        <f>[1]výdavky!G381</f>
        <v>1500</v>
      </c>
      <c r="L74" s="575">
        <f>[1]výdavky!H381</f>
        <v>1000</v>
      </c>
      <c r="M74" s="575">
        <f>[1]výdavky!H381</f>
        <v>1000</v>
      </c>
      <c r="N74" s="575">
        <f>[1]výdavky!J381</f>
        <v>1000</v>
      </c>
    </row>
    <row r="75" spans="1:14" x14ac:dyDescent="0.2">
      <c r="A75" s="1383">
        <v>68</v>
      </c>
      <c r="B75" s="96"/>
      <c r="C75" s="2190"/>
      <c r="D75" s="2365" t="s">
        <v>178</v>
      </c>
      <c r="E75" s="2365"/>
      <c r="F75" s="2366"/>
      <c r="G75" s="2191">
        <f t="shared" ref="G75:N75" si="23">G76</f>
        <v>0</v>
      </c>
      <c r="H75" s="2192">
        <f>H76</f>
        <v>0</v>
      </c>
      <c r="I75" s="2193">
        <f t="shared" si="23"/>
        <v>0</v>
      </c>
      <c r="J75" s="2193">
        <f>J76</f>
        <v>0</v>
      </c>
      <c r="K75" s="2193">
        <f t="shared" si="23"/>
        <v>0</v>
      </c>
      <c r="L75" s="2193">
        <f t="shared" si="23"/>
        <v>50000</v>
      </c>
      <c r="M75" s="2193">
        <f t="shared" si="23"/>
        <v>0</v>
      </c>
      <c r="N75" s="2193">
        <f t="shared" si="23"/>
        <v>0</v>
      </c>
    </row>
    <row r="76" spans="1:14" ht="13.5" thickBot="1" x14ac:dyDescent="0.25">
      <c r="A76" s="1385">
        <v>69</v>
      </c>
      <c r="B76" s="2194"/>
      <c r="C76" s="2195">
        <v>700</v>
      </c>
      <c r="D76" s="2196">
        <v>1</v>
      </c>
      <c r="E76" s="2367" t="s">
        <v>1468</v>
      </c>
      <c r="F76" s="2367"/>
      <c r="G76" s="2197"/>
      <c r="H76" s="2198"/>
      <c r="I76" s="2199"/>
      <c r="J76" s="2199"/>
      <c r="K76" s="2199"/>
      <c r="L76" s="2200">
        <f>[1]výdavky!H757</f>
        <v>50000</v>
      </c>
      <c r="M76" s="2199"/>
      <c r="N76" s="2201"/>
    </row>
    <row r="77" spans="1:14" x14ac:dyDescent="0.2">
      <c r="A77" s="1"/>
      <c r="B77"/>
      <c r="N77" s="392"/>
    </row>
    <row r="78" spans="1:14" x14ac:dyDescent="0.2">
      <c r="A78" s="1"/>
      <c r="B78"/>
      <c r="N78" s="392"/>
    </row>
    <row r="79" spans="1:14" x14ac:dyDescent="0.2">
      <c r="A79" s="1"/>
      <c r="B79"/>
      <c r="N79" s="392"/>
    </row>
    <row r="80" spans="1:14" x14ac:dyDescent="0.2">
      <c r="A80" s="1"/>
      <c r="B80"/>
      <c r="N80" s="392"/>
    </row>
    <row r="81" spans="1:14" x14ac:dyDescent="0.2">
      <c r="A81" s="1"/>
      <c r="B81"/>
      <c r="N81" s="392"/>
    </row>
    <row r="82" spans="1:14" x14ac:dyDescent="0.2">
      <c r="A82" s="1"/>
      <c r="B82"/>
      <c r="N82" s="392"/>
    </row>
    <row r="83" spans="1:14" x14ac:dyDescent="0.2">
      <c r="A83" s="1"/>
      <c r="B83"/>
      <c r="N83" s="392"/>
    </row>
    <row r="84" spans="1:14" x14ac:dyDescent="0.2">
      <c r="A84" s="1"/>
      <c r="B84"/>
      <c r="N84" s="392"/>
    </row>
    <row r="85" spans="1:14" x14ac:dyDescent="0.2">
      <c r="A85" s="1"/>
      <c r="B85"/>
      <c r="N85" s="392"/>
    </row>
    <row r="86" spans="1:14" x14ac:dyDescent="0.2">
      <c r="A86" s="1"/>
      <c r="B86"/>
      <c r="N86" s="392"/>
    </row>
    <row r="87" spans="1:14" x14ac:dyDescent="0.2">
      <c r="A87" s="1"/>
      <c r="B87"/>
      <c r="N87" s="392"/>
    </row>
    <row r="88" spans="1:14" x14ac:dyDescent="0.2">
      <c r="A88" s="1"/>
      <c r="B88"/>
      <c r="N88" s="392"/>
    </row>
    <row r="89" spans="1:14" x14ac:dyDescent="0.2">
      <c r="A89" s="1"/>
      <c r="B89"/>
      <c r="N89" s="392"/>
    </row>
    <row r="90" spans="1:14" x14ac:dyDescent="0.2">
      <c r="A90" s="1"/>
      <c r="B90"/>
      <c r="N90" s="392"/>
    </row>
    <row r="91" spans="1:14" x14ac:dyDescent="0.2">
      <c r="A91" s="1"/>
      <c r="B91"/>
      <c r="N91" s="392"/>
    </row>
    <row r="92" spans="1:14" x14ac:dyDescent="0.2">
      <c r="A92" s="1"/>
      <c r="B92"/>
      <c r="N92" s="392"/>
    </row>
    <row r="93" spans="1:14" x14ac:dyDescent="0.2">
      <c r="A93" s="1"/>
      <c r="B93"/>
      <c r="N93" s="392"/>
    </row>
    <row r="94" spans="1:14" x14ac:dyDescent="0.2">
      <c r="A94" s="1"/>
      <c r="B94"/>
      <c r="N94" s="392"/>
    </row>
    <row r="95" spans="1:14" x14ac:dyDescent="0.2">
      <c r="A95" s="1"/>
      <c r="B95"/>
      <c r="N95" s="392"/>
    </row>
    <row r="96" spans="1:14" x14ac:dyDescent="0.2">
      <c r="A96" s="1"/>
      <c r="B96"/>
      <c r="N96" s="392"/>
    </row>
    <row r="97" spans="1:14" x14ac:dyDescent="0.2">
      <c r="A97" s="1"/>
      <c r="B97"/>
      <c r="N97" s="392"/>
    </row>
    <row r="98" spans="1:14" x14ac:dyDescent="0.2">
      <c r="A98" s="1"/>
      <c r="B98"/>
      <c r="N98" s="392"/>
    </row>
    <row r="99" spans="1:14" x14ac:dyDescent="0.2">
      <c r="A99" s="1"/>
      <c r="B99"/>
      <c r="N99" s="392"/>
    </row>
    <row r="100" spans="1:14" x14ac:dyDescent="0.2">
      <c r="A100" s="1"/>
      <c r="B100"/>
      <c r="N100" s="392"/>
    </row>
    <row r="101" spans="1:14" x14ac:dyDescent="0.2">
      <c r="A101" s="1"/>
      <c r="B101"/>
      <c r="N101" s="392"/>
    </row>
    <row r="102" spans="1:14" x14ac:dyDescent="0.2">
      <c r="A102" s="1"/>
      <c r="B102"/>
      <c r="N102" s="392"/>
    </row>
    <row r="103" spans="1:14" x14ac:dyDescent="0.2">
      <c r="A103" s="1"/>
      <c r="B103"/>
      <c r="N103" s="392"/>
    </row>
    <row r="104" spans="1:14" x14ac:dyDescent="0.2">
      <c r="A104" s="1"/>
      <c r="B104"/>
      <c r="N104" s="392"/>
    </row>
    <row r="105" spans="1:14" x14ac:dyDescent="0.2">
      <c r="A105" s="1"/>
      <c r="B105"/>
      <c r="N105" s="392"/>
    </row>
    <row r="106" spans="1:14" x14ac:dyDescent="0.2">
      <c r="A106" s="1"/>
      <c r="B106"/>
      <c r="N106" s="392"/>
    </row>
  </sheetData>
  <mergeCells count="11">
    <mergeCell ref="D75:F75"/>
    <mergeCell ref="E76:F76"/>
    <mergeCell ref="D52:E52"/>
    <mergeCell ref="D53:E53"/>
    <mergeCell ref="E54:F54"/>
    <mergeCell ref="D51:E51"/>
    <mergeCell ref="D49:E49"/>
    <mergeCell ref="G3:N3"/>
    <mergeCell ref="D4:F6"/>
    <mergeCell ref="D47:E47"/>
    <mergeCell ref="D48:E48"/>
  </mergeCells>
  <phoneticPr fontId="43" type="noConversion"/>
  <pageMargins left="0.25" right="0.25" top="0.75" bottom="0.75" header="0.3" footer="0.3"/>
  <pageSetup paperSize="9" scale="7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79"/>
  <sheetViews>
    <sheetView topLeftCell="A154" workbookViewId="0">
      <selection activeCell="E171" sqref="E171"/>
    </sheetView>
  </sheetViews>
  <sheetFormatPr defaultRowHeight="12.75" x14ac:dyDescent="0.2"/>
  <sheetData>
    <row r="1" spans="1:9" ht="23.25" x14ac:dyDescent="0.2">
      <c r="A1" s="2332" t="s">
        <v>1255</v>
      </c>
      <c r="B1" s="2332"/>
      <c r="C1" s="2332"/>
      <c r="D1" s="2332" t="s">
        <v>1256</v>
      </c>
      <c r="E1" s="2332"/>
      <c r="F1" s="2332"/>
      <c r="G1" s="2332"/>
      <c r="H1" s="2332"/>
      <c r="I1" s="2332"/>
    </row>
    <row r="2" spans="1:9" x14ac:dyDescent="0.2">
      <c r="A2" s="2068"/>
      <c r="B2" s="2068"/>
      <c r="C2" s="2068"/>
      <c r="D2" s="2068"/>
      <c r="E2" s="2068"/>
      <c r="F2" s="2068"/>
      <c r="G2" s="2068"/>
      <c r="H2" s="2068"/>
      <c r="I2" s="2068"/>
    </row>
    <row r="3" spans="1:9" ht="15" customHeight="1" x14ac:dyDescent="0.2">
      <c r="A3" s="2371" t="s">
        <v>1257</v>
      </c>
      <c r="B3" s="2331"/>
      <c r="C3" s="2331"/>
      <c r="D3" s="2331"/>
      <c r="E3" s="2331"/>
      <c r="F3" s="2331"/>
      <c r="G3" s="2331"/>
      <c r="H3" s="2331"/>
      <c r="I3" s="2331"/>
    </row>
    <row r="4" spans="1:9" ht="30.75" customHeight="1" x14ac:dyDescent="0.2">
      <c r="A4" s="2353" t="s">
        <v>1258</v>
      </c>
      <c r="B4" s="2353"/>
      <c r="C4" s="2353"/>
      <c r="D4" s="2353"/>
      <c r="E4" s="2353"/>
      <c r="F4" s="2353"/>
      <c r="G4" s="2353"/>
      <c r="H4" s="2353"/>
      <c r="I4" s="2353"/>
    </row>
    <row r="5" spans="1:9" s="2058" customFormat="1" ht="15.75" x14ac:dyDescent="0.2">
      <c r="A5" s="2067"/>
      <c r="B5" s="2148"/>
      <c r="C5" s="2148"/>
      <c r="D5" s="2148"/>
      <c r="E5" s="2148"/>
      <c r="F5" s="2148"/>
      <c r="G5" s="2148"/>
      <c r="H5" s="2148"/>
      <c r="I5" s="2148"/>
    </row>
    <row r="6" spans="1:9" ht="18.75" x14ac:dyDescent="0.3">
      <c r="A6" s="2069" t="s">
        <v>1039</v>
      </c>
      <c r="B6" s="2148"/>
      <c r="C6" s="2148"/>
      <c r="D6" s="2148"/>
      <c r="E6" s="2148"/>
      <c r="F6" s="2148"/>
      <c r="G6" s="2148"/>
      <c r="H6" s="2148"/>
      <c r="I6" s="2148"/>
    </row>
    <row r="7" spans="1:9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  <c r="I7" s="2148"/>
    </row>
    <row r="8" spans="1:9" ht="15.75" x14ac:dyDescent="0.25">
      <c r="A8" s="2070" t="s">
        <v>170</v>
      </c>
      <c r="B8" s="1579">
        <f>'[1]Program 8'!H7</f>
        <v>123000</v>
      </c>
      <c r="C8" s="1579">
        <f>'[1]Program 8'!I7</f>
        <v>144332.4</v>
      </c>
      <c r="D8" s="1579">
        <f>'[1]Program 8'!J7</f>
        <v>122750</v>
      </c>
      <c r="E8" s="1579">
        <f>'[1]Program 8'!K7</f>
        <v>169739</v>
      </c>
      <c r="F8" s="2072">
        <f>'[1]Program 8'!L7</f>
        <v>183250</v>
      </c>
      <c r="G8" s="1579">
        <f>'[1]Program 8'!M7</f>
        <v>123750</v>
      </c>
      <c r="H8" s="1579">
        <f>'[1]Program 8'!N7</f>
        <v>119600</v>
      </c>
      <c r="I8" s="2148"/>
    </row>
    <row r="9" spans="1:9" x14ac:dyDescent="0.2">
      <c r="A9" s="2148"/>
      <c r="B9" s="2148"/>
      <c r="C9" s="2148"/>
      <c r="D9" s="2148"/>
      <c r="E9" s="2148"/>
      <c r="F9" s="2148"/>
      <c r="G9" s="2148"/>
      <c r="H9" s="2148"/>
      <c r="I9" s="2148"/>
    </row>
    <row r="10" spans="1:9" ht="15" customHeight="1" x14ac:dyDescent="0.25">
      <c r="A10" s="2307" t="s">
        <v>1259</v>
      </c>
      <c r="B10" s="2309"/>
      <c r="C10" s="2309"/>
      <c r="D10" s="2309"/>
      <c r="E10" s="2309"/>
      <c r="F10" s="2309"/>
      <c r="G10" s="2309"/>
      <c r="H10" s="2309"/>
      <c r="I10" s="2309"/>
    </row>
    <row r="11" spans="1:9" ht="71.25" customHeight="1" x14ac:dyDescent="0.2">
      <c r="A11" s="2308" t="s">
        <v>1260</v>
      </c>
      <c r="B11" s="2308"/>
      <c r="C11" s="2308"/>
      <c r="D11" s="2308"/>
      <c r="E11" s="2308"/>
      <c r="F11" s="2308"/>
      <c r="G11" s="2308"/>
      <c r="H11" s="2308"/>
      <c r="I11" s="2308"/>
    </row>
    <row r="12" spans="1:9" s="2058" customFormat="1" x14ac:dyDescent="0.2">
      <c r="A12" s="2148"/>
      <c r="B12" s="2148"/>
      <c r="C12" s="2148"/>
      <c r="D12" s="2148"/>
      <c r="E12" s="2148"/>
      <c r="F12" s="2148"/>
      <c r="G12" s="2148"/>
      <c r="H12" s="2148"/>
      <c r="I12" s="2148"/>
    </row>
    <row r="13" spans="1:9" ht="15" x14ac:dyDescent="0.25">
      <c r="A13" s="2306" t="s">
        <v>1261</v>
      </c>
      <c r="B13" s="2306"/>
      <c r="C13" s="2306"/>
      <c r="D13" s="2306" t="s">
        <v>336</v>
      </c>
      <c r="E13" s="2306"/>
      <c r="F13" s="2306"/>
      <c r="G13" s="2306"/>
      <c r="H13" s="2306"/>
      <c r="I13" s="2306"/>
    </row>
    <row r="14" spans="1:9" x14ac:dyDescent="0.2">
      <c r="A14" s="2148"/>
      <c r="B14" s="2148"/>
      <c r="C14" s="2148"/>
      <c r="D14" s="2148"/>
      <c r="E14" s="2148"/>
      <c r="F14" s="2148"/>
      <c r="G14" s="2148"/>
      <c r="H14" s="2148"/>
      <c r="I14" s="2148"/>
    </row>
    <row r="15" spans="1:9" ht="15" customHeight="1" x14ac:dyDescent="0.25">
      <c r="A15" s="2307" t="s">
        <v>1262</v>
      </c>
      <c r="B15" s="2307"/>
      <c r="C15" s="2307"/>
      <c r="D15" s="2307"/>
      <c r="E15" s="2307"/>
      <c r="F15" s="2307"/>
      <c r="G15" s="2307"/>
      <c r="H15" s="2307"/>
      <c r="I15" s="2307"/>
    </row>
    <row r="16" spans="1:9" ht="15" x14ac:dyDescent="0.2">
      <c r="A16" s="2105" t="s">
        <v>1263</v>
      </c>
      <c r="B16" s="2148"/>
      <c r="C16" s="2148"/>
      <c r="D16" s="2148"/>
      <c r="E16" s="2148"/>
      <c r="F16" s="2148"/>
      <c r="G16" s="2148"/>
      <c r="H16" s="2148"/>
      <c r="I16" s="2148"/>
    </row>
    <row r="17" spans="1:9" s="2058" customFormat="1" x14ac:dyDescent="0.2">
      <c r="A17" s="2148"/>
      <c r="B17" s="2148"/>
      <c r="C17" s="2148"/>
      <c r="D17" s="2148"/>
      <c r="E17" s="2148"/>
      <c r="F17" s="2148"/>
      <c r="G17" s="2148"/>
      <c r="H17" s="2148"/>
      <c r="I17" s="2148"/>
    </row>
    <row r="18" spans="1:9" ht="15" x14ac:dyDescent="0.25">
      <c r="A18" s="2076" t="s">
        <v>1039</v>
      </c>
      <c r="B18" s="2148"/>
      <c r="C18" s="2148"/>
      <c r="D18" s="2148"/>
      <c r="E18" s="2148"/>
      <c r="F18" s="2148"/>
      <c r="G18" s="2148"/>
      <c r="H18" s="2148"/>
      <c r="I18" s="2148"/>
    </row>
    <row r="19" spans="1:9" ht="15" x14ac:dyDescent="0.25">
      <c r="A19" s="2074" t="s">
        <v>1040</v>
      </c>
      <c r="B19" s="2074">
        <v>2022</v>
      </c>
      <c r="C19" s="2074">
        <v>2023</v>
      </c>
      <c r="D19" s="2074">
        <v>2024</v>
      </c>
      <c r="E19" s="2074" t="s">
        <v>984</v>
      </c>
      <c r="F19" s="2074">
        <v>2025</v>
      </c>
      <c r="G19" s="2074">
        <v>2026</v>
      </c>
      <c r="H19" s="2074">
        <v>2027</v>
      </c>
      <c r="I19" s="2148"/>
    </row>
    <row r="20" spans="1:9" ht="15" x14ac:dyDescent="0.25">
      <c r="A20" s="2075" t="s">
        <v>170</v>
      </c>
      <c r="B20" s="2077">
        <f>'[1]Program 8'!H11</f>
        <v>29430</v>
      </c>
      <c r="C20" s="2077">
        <f>'[1]Program 8'!I11</f>
        <v>33503.25</v>
      </c>
      <c r="D20" s="2077">
        <f>'[1]Program 8'!J11</f>
        <v>24000</v>
      </c>
      <c r="E20" s="2077">
        <f>'[1]Program 8'!K11</f>
        <v>41100</v>
      </c>
      <c r="F20" s="2078">
        <f>'[1]Program 8'!L11</f>
        <v>27000</v>
      </c>
      <c r="G20" s="2077">
        <f>'[1]Program 8'!M11</f>
        <v>27000</v>
      </c>
      <c r="H20" s="2077">
        <f>'[1]Program 8'!N11</f>
        <v>27000</v>
      </c>
      <c r="I20" s="2148"/>
    </row>
    <row r="21" spans="1:9" s="2058" customFormat="1" ht="15" x14ac:dyDescent="0.25">
      <c r="A21" s="2117"/>
      <c r="B21" s="2118"/>
      <c r="C21" s="2118"/>
      <c r="D21" s="2118"/>
      <c r="E21" s="2118"/>
      <c r="F21" s="2119"/>
      <c r="G21" s="2118"/>
      <c r="H21" s="2118"/>
      <c r="I21" s="2148"/>
    </row>
    <row r="22" spans="1:9" s="2058" customFormat="1" ht="12.75" customHeight="1" x14ac:dyDescent="0.2">
      <c r="A22" s="2316" t="s">
        <v>1264</v>
      </c>
      <c r="B22" s="2316"/>
      <c r="C22" s="2316"/>
      <c r="D22" s="2316"/>
      <c r="E22" s="2316"/>
      <c r="F22" s="2316"/>
      <c r="G22" s="2316"/>
      <c r="H22" s="2316"/>
      <c r="I22" s="2316"/>
    </row>
    <row r="23" spans="1:9" s="2058" customFormat="1" ht="69" customHeight="1" x14ac:dyDescent="0.2">
      <c r="A23" s="2308" t="s">
        <v>1265</v>
      </c>
      <c r="B23" s="2308"/>
      <c r="C23" s="2308"/>
      <c r="D23" s="2308"/>
      <c r="E23" s="2308"/>
      <c r="F23" s="2308"/>
      <c r="G23" s="2308"/>
      <c r="H23" s="2308"/>
      <c r="I23" s="2308"/>
    </row>
    <row r="24" spans="1:9" s="2058" customFormat="1" ht="15" x14ac:dyDescent="0.2">
      <c r="A24" s="2149"/>
      <c r="B24" s="2149"/>
      <c r="C24" s="2149"/>
      <c r="D24" s="2149"/>
      <c r="E24" s="2149"/>
      <c r="F24" s="2149"/>
      <c r="G24" s="2149"/>
      <c r="H24" s="2149"/>
      <c r="I24" s="2149"/>
    </row>
    <row r="25" spans="1:9" s="2058" customFormat="1" ht="15" x14ac:dyDescent="0.25">
      <c r="A25" s="2076" t="s">
        <v>1051</v>
      </c>
      <c r="B25" s="2148"/>
      <c r="C25" s="2148"/>
      <c r="D25" s="2148"/>
      <c r="E25" s="2148"/>
      <c r="F25" s="2148"/>
      <c r="G25" s="2148"/>
      <c r="H25" s="2080"/>
      <c r="I25" s="2080"/>
    </row>
    <row r="26" spans="1:9" s="2058" customFormat="1" ht="38.25" x14ac:dyDescent="0.2">
      <c r="A26" s="2310" t="s">
        <v>1052</v>
      </c>
      <c r="B26" s="2310"/>
      <c r="C26" s="2310"/>
      <c r="D26" s="2310" t="s">
        <v>1056</v>
      </c>
      <c r="E26" s="2310"/>
      <c r="F26" s="2310"/>
      <c r="G26" s="2087" t="s">
        <v>1054</v>
      </c>
      <c r="H26" s="2087" t="s">
        <v>1055</v>
      </c>
      <c r="I26" s="2087" t="s">
        <v>1053</v>
      </c>
    </row>
    <row r="27" spans="1:9" s="2058" customFormat="1" ht="25.5" customHeight="1" x14ac:dyDescent="0.2">
      <c r="A27" s="2320" t="s">
        <v>1268</v>
      </c>
      <c r="B27" s="2320"/>
      <c r="C27" s="2320"/>
      <c r="D27" s="2305" t="s">
        <v>1266</v>
      </c>
      <c r="E27" s="2305"/>
      <c r="F27" s="2305"/>
      <c r="G27" s="2090">
        <v>200</v>
      </c>
      <c r="H27" s="2090">
        <v>220</v>
      </c>
      <c r="I27" s="2090">
        <v>250</v>
      </c>
    </row>
    <row r="28" spans="1:9" s="2058" customFormat="1" ht="28.5" customHeight="1" x14ac:dyDescent="0.2">
      <c r="A28" s="2320"/>
      <c r="B28" s="2320"/>
      <c r="C28" s="2320"/>
      <c r="D28" s="2305" t="s">
        <v>1267</v>
      </c>
      <c r="E28" s="2305"/>
      <c r="F28" s="2305"/>
      <c r="G28" s="2090">
        <v>5</v>
      </c>
      <c r="H28" s="2090">
        <v>7</v>
      </c>
      <c r="I28" s="2090">
        <v>10</v>
      </c>
    </row>
    <row r="29" spans="1:9" s="2058" customFormat="1" ht="15" x14ac:dyDescent="0.25">
      <c r="A29" s="2117"/>
      <c r="B29" s="2118"/>
      <c r="C29" s="2118"/>
      <c r="D29" s="2118"/>
      <c r="E29" s="2118"/>
      <c r="F29" s="2119"/>
      <c r="G29" s="2118"/>
      <c r="H29" s="2118"/>
      <c r="I29" s="2148"/>
    </row>
    <row r="30" spans="1:9" s="2058" customFormat="1" ht="15" customHeight="1" x14ac:dyDescent="0.25">
      <c r="A30" s="2306" t="s">
        <v>1269</v>
      </c>
      <c r="B30" s="2306"/>
      <c r="C30" s="2306"/>
      <c r="D30" s="2306" t="s">
        <v>342</v>
      </c>
      <c r="E30" s="2306"/>
      <c r="F30" s="2306"/>
      <c r="G30" s="2306"/>
      <c r="H30" s="2306"/>
      <c r="I30" s="2306"/>
    </row>
    <row r="31" spans="1:9" s="2058" customFormat="1" x14ac:dyDescent="0.2">
      <c r="A31" s="2148"/>
      <c r="B31" s="2148"/>
      <c r="C31" s="2148"/>
      <c r="D31" s="2148"/>
      <c r="E31" s="2148"/>
      <c r="F31" s="2148"/>
      <c r="G31" s="2148"/>
      <c r="H31" s="2148"/>
      <c r="I31" s="2148"/>
    </row>
    <row r="32" spans="1:9" ht="12.75" customHeight="1" x14ac:dyDescent="0.25">
      <c r="A32" s="2307" t="s">
        <v>1262</v>
      </c>
      <c r="B32" s="2307"/>
      <c r="C32" s="2307"/>
      <c r="D32" s="2307"/>
      <c r="E32" s="2307"/>
      <c r="F32" s="2307"/>
      <c r="G32" s="2307"/>
      <c r="H32" s="2307"/>
      <c r="I32" s="2307"/>
    </row>
    <row r="33" spans="1:9" ht="15" x14ac:dyDescent="0.2">
      <c r="A33" s="2105" t="s">
        <v>1270</v>
      </c>
      <c r="B33" s="2148"/>
      <c r="C33" s="2148"/>
      <c r="D33" s="2148"/>
      <c r="E33" s="2148"/>
      <c r="F33" s="2148"/>
      <c r="G33" s="2148"/>
      <c r="H33" s="2148"/>
      <c r="I33" s="2148"/>
    </row>
    <row r="34" spans="1:9" ht="15" customHeight="1" x14ac:dyDescent="0.2">
      <c r="A34" s="2148"/>
      <c r="B34" s="2148"/>
      <c r="C34" s="2148"/>
      <c r="D34" s="2148"/>
      <c r="E34" s="2148"/>
      <c r="F34" s="2148"/>
      <c r="G34" s="2148"/>
      <c r="H34" s="2148"/>
      <c r="I34" s="2148"/>
    </row>
    <row r="35" spans="1:9" s="2058" customFormat="1" ht="15" x14ac:dyDescent="0.25">
      <c r="A35" s="2076" t="s">
        <v>1039</v>
      </c>
      <c r="B35" s="2148"/>
      <c r="C35" s="2148"/>
      <c r="D35" s="2148"/>
      <c r="E35" s="2148"/>
      <c r="F35" s="2148"/>
      <c r="G35" s="2148"/>
      <c r="H35" s="2148"/>
      <c r="I35" s="2148"/>
    </row>
    <row r="36" spans="1:9" ht="15" x14ac:dyDescent="0.25">
      <c r="A36" s="2074" t="s">
        <v>1040</v>
      </c>
      <c r="B36" s="2074">
        <v>2022</v>
      </c>
      <c r="C36" s="2074">
        <v>2023</v>
      </c>
      <c r="D36" s="2074">
        <v>2024</v>
      </c>
      <c r="E36" s="2074" t="s">
        <v>984</v>
      </c>
      <c r="F36" s="2120">
        <v>2025</v>
      </c>
      <c r="G36" s="2074">
        <v>2026</v>
      </c>
      <c r="H36" s="2074">
        <v>2027</v>
      </c>
      <c r="I36" s="2148"/>
    </row>
    <row r="37" spans="1:9" ht="15" customHeight="1" x14ac:dyDescent="0.25">
      <c r="A37" s="2075" t="s">
        <v>170</v>
      </c>
      <c r="B37" s="2077">
        <f>'[1]Program 8'!H19</f>
        <v>16000</v>
      </c>
      <c r="C37" s="2077">
        <f>'[1]Program 8'!I19</f>
        <v>34671.26</v>
      </c>
      <c r="D37" s="2077">
        <f>'[1]Program 8'!J19</f>
        <v>26000</v>
      </c>
      <c r="E37" s="2077">
        <f>'[1]Program 8'!K19</f>
        <v>42160</v>
      </c>
      <c r="F37" s="2078">
        <f>'[1]Program 8'!L19</f>
        <v>26000</v>
      </c>
      <c r="G37" s="2077">
        <f>'[1]Program 8'!M19</f>
        <v>26000</v>
      </c>
      <c r="H37" s="2077">
        <f>'[1]Program 8'!N19</f>
        <v>27000</v>
      </c>
      <c r="I37" s="2148"/>
    </row>
    <row r="38" spans="1:9" ht="15" x14ac:dyDescent="0.25">
      <c r="A38" s="2117"/>
      <c r="B38" s="2118"/>
      <c r="C38" s="2118"/>
      <c r="D38" s="2118"/>
      <c r="E38" s="2118"/>
      <c r="F38" s="2119"/>
      <c r="G38" s="2118"/>
      <c r="H38" s="2118"/>
      <c r="I38" s="2148"/>
    </row>
    <row r="39" spans="1:9" s="2058" customFormat="1" ht="15" x14ac:dyDescent="0.25">
      <c r="A39" s="2117"/>
      <c r="B39" s="2118"/>
      <c r="C39" s="2118"/>
      <c r="D39" s="2118"/>
      <c r="E39" s="2118"/>
      <c r="F39" s="2119"/>
      <c r="G39" s="2118"/>
      <c r="H39" s="2118"/>
      <c r="I39" s="2148"/>
    </row>
    <row r="40" spans="1:9" ht="12.75" customHeight="1" x14ac:dyDescent="0.2">
      <c r="A40" s="2316" t="s">
        <v>1264</v>
      </c>
      <c r="B40" s="2316"/>
      <c r="C40" s="2316"/>
      <c r="D40" s="2316"/>
      <c r="E40" s="2316"/>
      <c r="F40" s="2316"/>
      <c r="G40" s="2316"/>
      <c r="H40" s="2316"/>
      <c r="I40" s="2316"/>
    </row>
    <row r="41" spans="1:9" ht="46.5" customHeight="1" x14ac:dyDescent="0.2">
      <c r="A41" s="2308" t="s">
        <v>1271</v>
      </c>
      <c r="B41" s="2308"/>
      <c r="C41" s="2308"/>
      <c r="D41" s="2308"/>
      <c r="E41" s="2308"/>
      <c r="F41" s="2308"/>
      <c r="G41" s="2308"/>
      <c r="H41" s="2308"/>
      <c r="I41" s="2308"/>
    </row>
    <row r="42" spans="1:9" ht="15" x14ac:dyDescent="0.2">
      <c r="A42" s="2149"/>
      <c r="B42" s="2149"/>
      <c r="C42" s="2149"/>
      <c r="D42" s="2149"/>
      <c r="E42" s="2149"/>
      <c r="F42" s="2149"/>
      <c r="G42" s="2149"/>
      <c r="H42" s="2149"/>
      <c r="I42" s="2149"/>
    </row>
    <row r="43" spans="1:9" ht="15" x14ac:dyDescent="0.25">
      <c r="A43" s="2076" t="s">
        <v>1051</v>
      </c>
      <c r="B43" s="2148"/>
      <c r="C43" s="2148"/>
      <c r="D43" s="2148"/>
      <c r="E43" s="2148"/>
      <c r="F43" s="2148"/>
      <c r="G43" s="2148"/>
      <c r="H43" s="2080"/>
      <c r="I43" s="2080"/>
    </row>
    <row r="44" spans="1:9" ht="38.25" x14ac:dyDescent="0.2">
      <c r="A44" s="2310" t="s">
        <v>1052</v>
      </c>
      <c r="B44" s="2310"/>
      <c r="C44" s="2310"/>
      <c r="D44" s="2310" t="s">
        <v>1056</v>
      </c>
      <c r="E44" s="2310"/>
      <c r="F44" s="2310"/>
      <c r="G44" s="2087" t="s">
        <v>1054</v>
      </c>
      <c r="H44" s="2087" t="s">
        <v>1055</v>
      </c>
      <c r="I44" s="2087" t="s">
        <v>1053</v>
      </c>
    </row>
    <row r="45" spans="1:9" ht="25.5" customHeight="1" x14ac:dyDescent="0.2">
      <c r="A45" s="2311" t="s">
        <v>1274</v>
      </c>
      <c r="B45" s="2311"/>
      <c r="C45" s="2311"/>
      <c r="D45" s="2305" t="s">
        <v>1272</v>
      </c>
      <c r="E45" s="2305"/>
      <c r="F45" s="2305"/>
      <c r="G45" s="2090">
        <v>2</v>
      </c>
      <c r="H45" s="2090">
        <v>3</v>
      </c>
      <c r="I45" s="2090">
        <v>3</v>
      </c>
    </row>
    <row r="46" spans="1:9" ht="27.75" customHeight="1" x14ac:dyDescent="0.2">
      <c r="A46" s="2311"/>
      <c r="B46" s="2311"/>
      <c r="C46" s="2311"/>
      <c r="D46" s="2305" t="s">
        <v>1273</v>
      </c>
      <c r="E46" s="2305"/>
      <c r="F46" s="2305"/>
      <c r="G46" s="2090">
        <v>5</v>
      </c>
      <c r="H46" s="2090">
        <v>10</v>
      </c>
      <c r="I46" s="2090">
        <v>10</v>
      </c>
    </row>
    <row r="47" spans="1:9" x14ac:dyDescent="0.2">
      <c r="A47" s="2148"/>
      <c r="B47" s="2148"/>
      <c r="C47" s="2148"/>
      <c r="D47" s="2148"/>
      <c r="E47" s="2148"/>
      <c r="F47" s="2148"/>
      <c r="G47" s="2148"/>
      <c r="H47" s="2148"/>
      <c r="I47" s="2148"/>
    </row>
    <row r="48" spans="1:9" ht="15" x14ac:dyDescent="0.25">
      <c r="A48" s="2306" t="s">
        <v>1275</v>
      </c>
      <c r="B48" s="2306"/>
      <c r="C48" s="2306"/>
      <c r="D48" s="2306" t="s">
        <v>1276</v>
      </c>
      <c r="E48" s="2306"/>
      <c r="F48" s="2306"/>
      <c r="G48" s="2306"/>
      <c r="H48" s="2306"/>
      <c r="I48" s="2306"/>
    </row>
    <row r="49" spans="1:9" x14ac:dyDescent="0.2">
      <c r="A49" s="2148"/>
      <c r="B49" s="2148"/>
      <c r="C49" s="2148"/>
      <c r="D49" s="2148"/>
      <c r="E49" s="2148"/>
      <c r="F49" s="2148"/>
      <c r="G49" s="2148"/>
      <c r="H49" s="2148"/>
      <c r="I49" s="2148"/>
    </row>
    <row r="50" spans="1:9" ht="15" customHeight="1" x14ac:dyDescent="0.25">
      <c r="A50" s="2307" t="s">
        <v>1262</v>
      </c>
      <c r="B50" s="2307"/>
      <c r="C50" s="2307"/>
      <c r="D50" s="2307"/>
      <c r="E50" s="2307"/>
      <c r="F50" s="2307"/>
      <c r="G50" s="2307"/>
      <c r="H50" s="2307"/>
      <c r="I50" s="2307"/>
    </row>
    <row r="51" spans="1:9" ht="15" x14ac:dyDescent="0.25">
      <c r="A51" s="2122" t="s">
        <v>1277</v>
      </c>
      <c r="B51" s="2148"/>
      <c r="C51" s="2148"/>
      <c r="D51" s="2148"/>
      <c r="E51" s="2148"/>
      <c r="F51" s="2148"/>
      <c r="G51" s="2148"/>
      <c r="H51" s="2148"/>
      <c r="I51" s="2148"/>
    </row>
    <row r="52" spans="1:9" x14ac:dyDescent="0.2">
      <c r="A52" s="2148"/>
      <c r="B52" s="2148"/>
      <c r="C52" s="2148"/>
      <c r="D52" s="2148"/>
      <c r="E52" s="2148"/>
      <c r="F52" s="2148"/>
      <c r="G52" s="2148"/>
      <c r="H52" s="2148"/>
      <c r="I52" s="2148"/>
    </row>
    <row r="53" spans="1:9" ht="15" x14ac:dyDescent="0.25">
      <c r="A53" s="2076" t="s">
        <v>1039</v>
      </c>
      <c r="B53" s="2148"/>
      <c r="C53" s="2148"/>
      <c r="D53" s="2148"/>
      <c r="E53" s="2148"/>
      <c r="F53" s="2148"/>
      <c r="G53" s="2148"/>
      <c r="H53" s="2148"/>
      <c r="I53" s="2148"/>
    </row>
    <row r="54" spans="1:9" ht="15" x14ac:dyDescent="0.25">
      <c r="A54" s="2074" t="s">
        <v>1040</v>
      </c>
      <c r="B54" s="2074">
        <v>2022</v>
      </c>
      <c r="C54" s="2074">
        <v>2023</v>
      </c>
      <c r="D54" s="2074">
        <v>2024</v>
      </c>
      <c r="E54" s="2074" t="s">
        <v>984</v>
      </c>
      <c r="F54" s="2120">
        <v>2025</v>
      </c>
      <c r="G54" s="2074">
        <v>2026</v>
      </c>
      <c r="H54" s="2074">
        <v>2027</v>
      </c>
      <c r="I54" s="2148"/>
    </row>
    <row r="55" spans="1:9" ht="15" x14ac:dyDescent="0.25">
      <c r="A55" s="2075" t="s">
        <v>170</v>
      </c>
      <c r="B55" s="2077">
        <f>'[1]Program 8'!H28</f>
        <v>63820</v>
      </c>
      <c r="C55" s="2077">
        <f>'[1]Program 8'!I28</f>
        <v>49677.479999999996</v>
      </c>
      <c r="D55" s="2077">
        <f>'[1]Program 8'!J28</f>
        <v>54250</v>
      </c>
      <c r="E55" s="2077">
        <f>'[1]Program 8'!K28</f>
        <v>72320</v>
      </c>
      <c r="F55" s="2078">
        <f>'[1]Program 8'!L28</f>
        <v>65750</v>
      </c>
      <c r="G55" s="2077">
        <f>'[1]Program 8'!M28</f>
        <v>55250</v>
      </c>
      <c r="H55" s="2077">
        <f>'[1]Program 8'!N28</f>
        <v>55100</v>
      </c>
      <c r="I55" s="2148"/>
    </row>
    <row r="56" spans="1:9" ht="15" x14ac:dyDescent="0.25">
      <c r="A56" s="2117"/>
      <c r="B56" s="2118"/>
      <c r="C56" s="2118"/>
      <c r="D56" s="2118"/>
      <c r="E56" s="2118"/>
      <c r="F56" s="2119"/>
      <c r="G56" s="2118"/>
      <c r="H56" s="2118"/>
      <c r="I56" s="2148"/>
    </row>
    <row r="57" spans="1:9" ht="12.75" customHeight="1" x14ac:dyDescent="0.2">
      <c r="A57" s="2316" t="s">
        <v>1264</v>
      </c>
      <c r="B57" s="2316"/>
      <c r="C57" s="2316"/>
      <c r="D57" s="2316"/>
      <c r="E57" s="2316"/>
      <c r="F57" s="2316"/>
      <c r="G57" s="2316"/>
      <c r="H57" s="2316"/>
      <c r="I57" s="2316"/>
    </row>
    <row r="58" spans="1:9" ht="75" customHeight="1" x14ac:dyDescent="0.2">
      <c r="A58" s="2308" t="s">
        <v>1278</v>
      </c>
      <c r="B58" s="2308"/>
      <c r="C58" s="2308"/>
      <c r="D58" s="2308"/>
      <c r="E58" s="2308"/>
      <c r="F58" s="2308"/>
      <c r="G58" s="2308"/>
      <c r="H58" s="2308"/>
      <c r="I58" s="2308"/>
    </row>
    <row r="59" spans="1:9" x14ac:dyDescent="0.2">
      <c r="A59" s="2099"/>
      <c r="B59" s="2099"/>
      <c r="C59" s="2099"/>
      <c r="D59" s="2098"/>
      <c r="E59" s="2098"/>
      <c r="F59" s="2098"/>
      <c r="G59" s="2101"/>
      <c r="H59" s="2101"/>
      <c r="I59" s="2101"/>
    </row>
    <row r="60" spans="1:9" ht="15" x14ac:dyDescent="0.25">
      <c r="A60" s="2317" t="s">
        <v>1045</v>
      </c>
      <c r="B60" s="2317"/>
      <c r="C60" s="2317"/>
      <c r="D60" s="2317" t="s">
        <v>347</v>
      </c>
      <c r="E60" s="2317"/>
      <c r="F60" s="2317"/>
      <c r="G60" s="2317"/>
      <c r="H60" s="2317"/>
      <c r="I60" s="2317"/>
    </row>
    <row r="61" spans="1:9" ht="15" customHeight="1" x14ac:dyDescent="0.25">
      <c r="A61" s="2318" t="s">
        <v>1046</v>
      </c>
      <c r="B61" s="2318"/>
      <c r="C61" s="2318"/>
      <c r="D61" s="2375" t="s">
        <v>1279</v>
      </c>
      <c r="E61" s="2375"/>
      <c r="F61" s="2375"/>
      <c r="G61" s="2375"/>
      <c r="H61" s="2375"/>
      <c r="I61" s="2375"/>
    </row>
    <row r="62" spans="1:9" x14ac:dyDescent="0.2">
      <c r="A62" s="2205" t="s">
        <v>1048</v>
      </c>
      <c r="B62" s="2205"/>
      <c r="C62" s="2205"/>
      <c r="D62" s="2205" t="s">
        <v>1280</v>
      </c>
      <c r="E62" s="2205"/>
      <c r="F62" s="2205"/>
      <c r="G62" s="2205"/>
      <c r="H62" s="2205"/>
      <c r="I62" s="2205"/>
    </row>
    <row r="63" spans="1:9" x14ac:dyDescent="0.2">
      <c r="A63" s="2148"/>
      <c r="B63" s="2148"/>
      <c r="C63" s="2148"/>
      <c r="D63" s="2148"/>
      <c r="E63" s="2148"/>
      <c r="F63" s="2148"/>
      <c r="G63" s="2148"/>
      <c r="H63" s="2148"/>
      <c r="I63" s="2148"/>
    </row>
    <row r="64" spans="1:9" ht="15" x14ac:dyDescent="0.25">
      <c r="A64" s="2076" t="s">
        <v>1050</v>
      </c>
      <c r="B64" s="2148"/>
      <c r="C64" s="2148"/>
      <c r="D64" s="2148"/>
      <c r="E64" s="2148"/>
      <c r="F64" s="2148"/>
      <c r="G64" s="2148"/>
      <c r="H64" s="2148"/>
      <c r="I64" s="2148"/>
    </row>
    <row r="65" spans="1:9" ht="15" x14ac:dyDescent="0.25">
      <c r="A65" s="2079" t="s">
        <v>1040</v>
      </c>
      <c r="B65" s="2079">
        <v>2022</v>
      </c>
      <c r="C65" s="2079">
        <v>2023</v>
      </c>
      <c r="D65" s="2079">
        <v>2024</v>
      </c>
      <c r="E65" s="2079" t="s">
        <v>984</v>
      </c>
      <c r="F65" s="2079">
        <v>2025</v>
      </c>
      <c r="G65" s="2079">
        <v>2026</v>
      </c>
      <c r="H65" s="2079">
        <v>2027</v>
      </c>
      <c r="I65" s="2148"/>
    </row>
    <row r="66" spans="1:9" ht="15" x14ac:dyDescent="0.25">
      <c r="A66" s="2075" t="s">
        <v>170</v>
      </c>
      <c r="B66" s="2077">
        <f>'[1]Program 8'!H29</f>
        <v>48900</v>
      </c>
      <c r="C66" s="2077">
        <f>'[1]Program 8'!I29</f>
        <v>37541.039999999994</v>
      </c>
      <c r="D66" s="2077">
        <f>'[1]Program 8'!J29</f>
        <v>41600</v>
      </c>
      <c r="E66" s="2077">
        <f>'[1]Program 8'!K29</f>
        <v>59440</v>
      </c>
      <c r="F66" s="2078">
        <f>'[1]Program 8'!L29</f>
        <v>53100</v>
      </c>
      <c r="G66" s="2077">
        <f>'[1]Program 8'!M29</f>
        <v>42600</v>
      </c>
      <c r="H66" s="2077">
        <f>'[1]Program 8'!N29</f>
        <v>42600</v>
      </c>
      <c r="I66" s="2148"/>
    </row>
    <row r="67" spans="1:9" x14ac:dyDescent="0.2">
      <c r="A67" s="2148"/>
      <c r="B67" s="2148"/>
      <c r="C67" s="2148"/>
      <c r="D67" s="2148"/>
      <c r="E67" s="2148"/>
      <c r="F67" s="2148"/>
      <c r="G67" s="2148"/>
      <c r="H67" s="2148"/>
      <c r="I67" s="2148"/>
    </row>
    <row r="68" spans="1:9" s="2058" customFormat="1" ht="15" x14ac:dyDescent="0.25">
      <c r="A68" s="2076" t="s">
        <v>1281</v>
      </c>
      <c r="B68" s="2148"/>
      <c r="C68" s="2148"/>
      <c r="D68" s="2148"/>
      <c r="E68" s="2148"/>
      <c r="F68" s="2148"/>
      <c r="G68" s="2148"/>
      <c r="H68" s="2148"/>
      <c r="I68" s="2148"/>
    </row>
    <row r="69" spans="1:9" s="2058" customFormat="1" ht="52.5" customHeight="1" x14ac:dyDescent="0.2">
      <c r="A69" s="2308" t="s">
        <v>1282</v>
      </c>
      <c r="B69" s="2308"/>
      <c r="C69" s="2308"/>
      <c r="D69" s="2308"/>
      <c r="E69" s="2308"/>
      <c r="F69" s="2308"/>
      <c r="G69" s="2308"/>
      <c r="H69" s="2308"/>
      <c r="I69" s="2308"/>
    </row>
    <row r="70" spans="1:9" s="2058" customFormat="1" x14ac:dyDescent="0.2">
      <c r="A70" s="2148"/>
      <c r="B70" s="2148"/>
      <c r="C70" s="2148"/>
      <c r="D70" s="2148"/>
      <c r="E70" s="2148"/>
      <c r="F70" s="2148"/>
      <c r="G70" s="2148"/>
      <c r="H70" s="2148"/>
      <c r="I70" s="2148"/>
    </row>
    <row r="71" spans="1:9" ht="15" x14ac:dyDescent="0.25">
      <c r="A71" s="2076" t="s">
        <v>1051</v>
      </c>
      <c r="B71" s="2148"/>
      <c r="C71" s="2148"/>
      <c r="D71" s="2148"/>
      <c r="E71" s="2148"/>
      <c r="F71" s="2148"/>
      <c r="G71" s="2148"/>
      <c r="H71" s="2080"/>
      <c r="I71" s="2080"/>
    </row>
    <row r="72" spans="1:9" ht="38.25" x14ac:dyDescent="0.2">
      <c r="A72" s="2310" t="s">
        <v>1052</v>
      </c>
      <c r="B72" s="2310"/>
      <c r="C72" s="2310"/>
      <c r="D72" s="2310" t="s">
        <v>1056</v>
      </c>
      <c r="E72" s="2310"/>
      <c r="F72" s="2310"/>
      <c r="G72" s="2087" t="s">
        <v>1054</v>
      </c>
      <c r="H72" s="2087" t="s">
        <v>1055</v>
      </c>
      <c r="I72" s="2087" t="s">
        <v>1053</v>
      </c>
    </row>
    <row r="73" spans="1:9" ht="24.75" customHeight="1" x14ac:dyDescent="0.2">
      <c r="A73" s="2311" t="s">
        <v>1285</v>
      </c>
      <c r="B73" s="2311"/>
      <c r="C73" s="2311"/>
      <c r="D73" s="2305" t="s">
        <v>1283</v>
      </c>
      <c r="E73" s="2305"/>
      <c r="F73" s="2305"/>
      <c r="G73" s="2090">
        <v>20</v>
      </c>
      <c r="H73" s="2090">
        <v>20</v>
      </c>
      <c r="I73" s="2090">
        <v>20</v>
      </c>
    </row>
    <row r="74" spans="1:9" ht="12.75" customHeight="1" x14ac:dyDescent="0.2">
      <c r="A74" s="2311"/>
      <c r="B74" s="2311"/>
      <c r="C74" s="2311"/>
      <c r="D74" s="2205" t="s">
        <v>1284</v>
      </c>
      <c r="E74" s="2205"/>
      <c r="F74" s="2205"/>
      <c r="G74" s="2090">
        <v>1200</v>
      </c>
      <c r="H74" s="2090">
        <v>1400</v>
      </c>
      <c r="I74" s="2090">
        <v>1500</v>
      </c>
    </row>
    <row r="75" spans="1:9" s="2103" customFormat="1" ht="12.75" customHeight="1" x14ac:dyDescent="0.2">
      <c r="A75" s="2133"/>
      <c r="B75" s="2133"/>
      <c r="C75" s="2133"/>
      <c r="D75" s="2123"/>
      <c r="E75" s="2123"/>
      <c r="F75" s="2123"/>
      <c r="G75" s="2124"/>
      <c r="H75" s="2124"/>
      <c r="I75" s="2124"/>
    </row>
    <row r="76" spans="1:9" s="2103" customFormat="1" ht="12.75" customHeight="1" x14ac:dyDescent="0.2">
      <c r="A76" s="2133"/>
      <c r="B76" s="2133"/>
      <c r="C76" s="2133"/>
      <c r="D76" s="2123"/>
      <c r="E76" s="2123"/>
      <c r="F76" s="2123"/>
      <c r="G76" s="2124"/>
      <c r="H76" s="2124"/>
      <c r="I76" s="2124"/>
    </row>
    <row r="77" spans="1:9" x14ac:dyDescent="0.2">
      <c r="A77" s="2148"/>
      <c r="B77" s="2148"/>
      <c r="C77" s="2148"/>
      <c r="D77" s="2148"/>
      <c r="E77" s="2148"/>
      <c r="F77" s="2148"/>
      <c r="G77" s="2148"/>
      <c r="H77" s="2148"/>
      <c r="I77" s="2148"/>
    </row>
    <row r="78" spans="1:9" s="2058" customFormat="1" ht="15" x14ac:dyDescent="0.25">
      <c r="A78" s="2317" t="s">
        <v>1074</v>
      </c>
      <c r="B78" s="2317"/>
      <c r="C78" s="2317"/>
      <c r="D78" s="2317" t="s">
        <v>352</v>
      </c>
      <c r="E78" s="2317"/>
      <c r="F78" s="2317"/>
      <c r="G78" s="2317"/>
      <c r="H78" s="2317"/>
      <c r="I78" s="2317"/>
    </row>
    <row r="79" spans="1:9" s="2058" customFormat="1" ht="15" x14ac:dyDescent="0.25">
      <c r="A79" s="2318" t="s">
        <v>1046</v>
      </c>
      <c r="B79" s="2318"/>
      <c r="C79" s="2318"/>
      <c r="D79" s="2375" t="s">
        <v>1286</v>
      </c>
      <c r="E79" s="2375"/>
      <c r="F79" s="2375"/>
      <c r="G79" s="2375"/>
      <c r="H79" s="2375"/>
      <c r="I79" s="2375"/>
    </row>
    <row r="80" spans="1:9" s="2058" customFormat="1" x14ac:dyDescent="0.2">
      <c r="A80" s="2205" t="s">
        <v>1048</v>
      </c>
      <c r="B80" s="2205"/>
      <c r="C80" s="2205"/>
      <c r="D80" s="2205" t="s">
        <v>1280</v>
      </c>
      <c r="E80" s="2205"/>
      <c r="F80" s="2205"/>
      <c r="G80" s="2205"/>
      <c r="H80" s="2205"/>
      <c r="I80" s="2205"/>
    </row>
    <row r="81" spans="1:9" s="2058" customFormat="1" x14ac:dyDescent="0.2">
      <c r="A81" s="2148"/>
      <c r="B81" s="2148"/>
      <c r="C81" s="2148"/>
      <c r="D81" s="2148"/>
      <c r="E81" s="2148"/>
      <c r="F81" s="2148"/>
      <c r="G81" s="2148"/>
      <c r="H81" s="2148"/>
      <c r="I81" s="2148"/>
    </row>
    <row r="82" spans="1:9" ht="15" x14ac:dyDescent="0.25">
      <c r="A82" s="2076" t="s">
        <v>1050</v>
      </c>
      <c r="B82" s="2148"/>
      <c r="C82" s="2148"/>
      <c r="D82" s="2148"/>
      <c r="E82" s="2148"/>
      <c r="F82" s="2148"/>
      <c r="G82" s="2148"/>
      <c r="H82" s="2148"/>
      <c r="I82" s="2148"/>
    </row>
    <row r="83" spans="1:9" ht="15" x14ac:dyDescent="0.25">
      <c r="A83" s="2079" t="s">
        <v>1040</v>
      </c>
      <c r="B83" s="2079">
        <v>2022</v>
      </c>
      <c r="C83" s="2079">
        <v>2023</v>
      </c>
      <c r="D83" s="2079">
        <v>2024</v>
      </c>
      <c r="E83" s="2079" t="s">
        <v>984</v>
      </c>
      <c r="F83" s="2079">
        <v>2025</v>
      </c>
      <c r="G83" s="2079">
        <v>2026</v>
      </c>
      <c r="H83" s="2079">
        <v>2027</v>
      </c>
      <c r="I83" s="2148"/>
    </row>
    <row r="84" spans="1:9" ht="15" customHeight="1" x14ac:dyDescent="0.25">
      <c r="A84" s="2075" t="s">
        <v>170</v>
      </c>
      <c r="B84" s="2077">
        <f>'[1]Program 8'!H43</f>
        <v>1470</v>
      </c>
      <c r="C84" s="2077">
        <f>'[1]Program 8'!I43</f>
        <v>1655.69</v>
      </c>
      <c r="D84" s="2077">
        <f>'[1]Program 8'!J43</f>
        <v>1650</v>
      </c>
      <c r="E84" s="2077">
        <f>'[1]Program 8'!K43</f>
        <v>1650</v>
      </c>
      <c r="F84" s="2078">
        <f>'[1]Program 8'!L43</f>
        <v>1650</v>
      </c>
      <c r="G84" s="2077">
        <f>'[1]Program 8'!M43</f>
        <v>1650</v>
      </c>
      <c r="H84" s="2077">
        <f>'[1]Program 8'!N43</f>
        <v>1500</v>
      </c>
      <c r="I84" s="2148"/>
    </row>
    <row r="85" spans="1:9" ht="15" customHeight="1" x14ac:dyDescent="0.2">
      <c r="A85" s="2148"/>
      <c r="B85" s="2148"/>
      <c r="C85" s="2148"/>
      <c r="D85" s="2148"/>
      <c r="E85" s="2148"/>
      <c r="F85" s="2148"/>
      <c r="G85" s="2148"/>
      <c r="H85" s="2148"/>
      <c r="I85" s="2148"/>
    </row>
    <row r="86" spans="1:9" ht="15" x14ac:dyDescent="0.25">
      <c r="A86" s="2076" t="s">
        <v>1281</v>
      </c>
      <c r="B86" s="2148"/>
      <c r="C86" s="2148"/>
      <c r="D86" s="2148"/>
      <c r="E86" s="2148"/>
      <c r="F86" s="2148"/>
      <c r="G86" s="2148"/>
      <c r="H86" s="2148"/>
      <c r="I86" s="2148"/>
    </row>
    <row r="87" spans="1:9" ht="48" customHeight="1" x14ac:dyDescent="0.2">
      <c r="A87" s="2308" t="s">
        <v>1287</v>
      </c>
      <c r="B87" s="2308"/>
      <c r="C87" s="2308"/>
      <c r="D87" s="2308"/>
      <c r="E87" s="2308"/>
      <c r="F87" s="2308"/>
      <c r="G87" s="2308"/>
      <c r="H87" s="2308"/>
      <c r="I87" s="2308"/>
    </row>
    <row r="88" spans="1:9" x14ac:dyDescent="0.2">
      <c r="A88" s="2148"/>
      <c r="B88" s="2148"/>
      <c r="C88" s="2148"/>
      <c r="D88" s="2148"/>
      <c r="E88" s="2148"/>
      <c r="F88" s="2148"/>
      <c r="G88" s="2148"/>
      <c r="H88" s="2148"/>
      <c r="I88" s="2148"/>
    </row>
    <row r="89" spans="1:9" ht="15" x14ac:dyDescent="0.25">
      <c r="A89" s="2076" t="s">
        <v>1051</v>
      </c>
      <c r="B89" s="2148"/>
      <c r="C89" s="2148"/>
      <c r="D89" s="2148"/>
      <c r="E89" s="2148"/>
      <c r="F89" s="2148"/>
      <c r="G89" s="2148"/>
      <c r="H89" s="2080"/>
      <c r="I89" s="2080"/>
    </row>
    <row r="90" spans="1:9" ht="12.75" customHeight="1" x14ac:dyDescent="0.2">
      <c r="A90" s="2310" t="s">
        <v>1052</v>
      </c>
      <c r="B90" s="2310"/>
      <c r="C90" s="2310"/>
      <c r="D90" s="2310" t="s">
        <v>1056</v>
      </c>
      <c r="E90" s="2310"/>
      <c r="F90" s="2310"/>
      <c r="G90" s="2087" t="s">
        <v>1054</v>
      </c>
      <c r="H90" s="2087" t="s">
        <v>1055</v>
      </c>
      <c r="I90" s="2087" t="s">
        <v>1053</v>
      </c>
    </row>
    <row r="91" spans="1:9" ht="42" customHeight="1" x14ac:dyDescent="0.2">
      <c r="A91" s="2314" t="s">
        <v>1291</v>
      </c>
      <c r="B91" s="2314"/>
      <c r="C91" s="2315"/>
      <c r="D91" s="2372" t="s">
        <v>1288</v>
      </c>
      <c r="E91" s="2373"/>
      <c r="F91" s="2374"/>
      <c r="G91" s="2090">
        <v>150</v>
      </c>
      <c r="H91" s="2090">
        <v>150</v>
      </c>
      <c r="I91" s="2090">
        <v>150</v>
      </c>
    </row>
    <row r="92" spans="1:9" ht="25.5" customHeight="1" x14ac:dyDescent="0.2">
      <c r="A92" s="2311" t="s">
        <v>1292</v>
      </c>
      <c r="B92" s="2311"/>
      <c r="C92" s="2311"/>
      <c r="D92" s="2311" t="s">
        <v>1289</v>
      </c>
      <c r="E92" s="2311"/>
      <c r="F92" s="2311"/>
      <c r="G92" s="2090">
        <v>4</v>
      </c>
      <c r="H92" s="2090">
        <v>4</v>
      </c>
      <c r="I92" s="2090">
        <v>4</v>
      </c>
    </row>
    <row r="93" spans="1:9" s="2058" customFormat="1" ht="21.75" customHeight="1" x14ac:dyDescent="0.2">
      <c r="A93" s="2311"/>
      <c r="B93" s="2311"/>
      <c r="C93" s="2311"/>
      <c r="D93" s="2305" t="s">
        <v>1290</v>
      </c>
      <c r="E93" s="2305"/>
      <c r="F93" s="2305"/>
      <c r="G93" s="2090">
        <v>340</v>
      </c>
      <c r="H93" s="2090">
        <v>340</v>
      </c>
      <c r="I93" s="2090">
        <v>340</v>
      </c>
    </row>
    <row r="94" spans="1:9" s="2058" customFormat="1" ht="35.25" customHeight="1" x14ac:dyDescent="0.2">
      <c r="A94" s="2311" t="s">
        <v>1294</v>
      </c>
      <c r="B94" s="2311"/>
      <c r="C94" s="2311"/>
      <c r="D94" s="2341" t="s">
        <v>1293</v>
      </c>
      <c r="E94" s="2341"/>
      <c r="F94" s="2341"/>
      <c r="G94" s="2090">
        <v>3</v>
      </c>
      <c r="H94" s="2090">
        <v>3</v>
      </c>
      <c r="I94" s="2090">
        <v>3</v>
      </c>
    </row>
    <row r="95" spans="1:9" s="2058" customFormat="1" x14ac:dyDescent="0.2">
      <c r="A95" s="2099"/>
      <c r="B95" s="2099"/>
      <c r="C95" s="2099"/>
      <c r="D95" s="2123"/>
      <c r="E95" s="2123"/>
      <c r="F95" s="2123"/>
      <c r="G95" s="2124"/>
      <c r="H95" s="2124"/>
      <c r="I95" s="2124"/>
    </row>
    <row r="96" spans="1:9" ht="15" x14ac:dyDescent="0.25">
      <c r="A96" s="2317" t="s">
        <v>1295</v>
      </c>
      <c r="B96" s="2317"/>
      <c r="C96" s="2317"/>
      <c r="D96" s="2317" t="s">
        <v>358</v>
      </c>
      <c r="E96" s="2317"/>
      <c r="F96" s="2317"/>
      <c r="G96" s="2317"/>
      <c r="H96" s="2317"/>
      <c r="I96" s="2317"/>
    </row>
    <row r="97" spans="1:9" ht="30" customHeight="1" x14ac:dyDescent="0.25">
      <c r="A97" s="2318" t="s">
        <v>1046</v>
      </c>
      <c r="B97" s="2318"/>
      <c r="C97" s="2318"/>
      <c r="D97" s="2376" t="s">
        <v>1296</v>
      </c>
      <c r="E97" s="2377"/>
      <c r="F97" s="2377"/>
      <c r="G97" s="2377"/>
      <c r="H97" s="2377"/>
      <c r="I97" s="2378"/>
    </row>
    <row r="98" spans="1:9" x14ac:dyDescent="0.2">
      <c r="A98" s="2205" t="s">
        <v>1048</v>
      </c>
      <c r="B98" s="2205"/>
      <c r="C98" s="2205"/>
      <c r="D98" s="2205" t="s">
        <v>1297</v>
      </c>
      <c r="E98" s="2205"/>
      <c r="F98" s="2205"/>
      <c r="G98" s="2205"/>
      <c r="H98" s="2205"/>
      <c r="I98" s="2205"/>
    </row>
    <row r="99" spans="1:9" x14ac:dyDescent="0.2">
      <c r="A99" s="2148"/>
      <c r="B99" s="2148"/>
      <c r="C99" s="2148"/>
      <c r="D99" s="2148"/>
      <c r="E99" s="2148"/>
      <c r="F99" s="2148"/>
      <c r="G99" s="2148"/>
      <c r="H99" s="2148"/>
      <c r="I99" s="2148"/>
    </row>
    <row r="100" spans="1:9" ht="15" x14ac:dyDescent="0.25">
      <c r="A100" s="2076" t="s">
        <v>1050</v>
      </c>
      <c r="B100" s="2148"/>
      <c r="C100" s="2148"/>
      <c r="D100" s="2148"/>
      <c r="E100" s="2148"/>
      <c r="F100" s="2148"/>
      <c r="G100" s="2148"/>
      <c r="H100" s="2148"/>
      <c r="I100" s="2148"/>
    </row>
    <row r="101" spans="1:9" s="2058" customFormat="1" ht="15" x14ac:dyDescent="0.25">
      <c r="A101" s="2079" t="s">
        <v>1040</v>
      </c>
      <c r="B101" s="2079">
        <v>2022</v>
      </c>
      <c r="C101" s="2079">
        <v>2023</v>
      </c>
      <c r="D101" s="2079">
        <v>2024</v>
      </c>
      <c r="E101" s="2079" t="s">
        <v>984</v>
      </c>
      <c r="F101" s="2079">
        <v>2025</v>
      </c>
      <c r="G101" s="2079">
        <v>2026</v>
      </c>
      <c r="H101" s="2079">
        <v>2027</v>
      </c>
      <c r="I101" s="2148"/>
    </row>
    <row r="102" spans="1:9" s="2058" customFormat="1" ht="15" x14ac:dyDescent="0.25">
      <c r="A102" s="2075" t="s">
        <v>170</v>
      </c>
      <c r="B102" s="2077">
        <f>'[1]Program 8'!H47</f>
        <v>1100</v>
      </c>
      <c r="C102" s="2077">
        <f>'[1]Program 8'!I47</f>
        <v>866.1</v>
      </c>
      <c r="D102" s="2077">
        <f>'[1]Program 8'!J47</f>
        <v>1000</v>
      </c>
      <c r="E102" s="2077">
        <f>'[1]Program 8'!K47</f>
        <v>1000</v>
      </c>
      <c r="F102" s="2078">
        <f>'[1]Program 8'!L47</f>
        <v>1000</v>
      </c>
      <c r="G102" s="2077">
        <f>'[1]Program 8'!M47</f>
        <v>1000</v>
      </c>
      <c r="H102" s="2077">
        <f>'[1]Program 8'!N47</f>
        <v>1000</v>
      </c>
      <c r="I102" s="2148"/>
    </row>
    <row r="103" spans="1:9" s="2058" customFormat="1" x14ac:dyDescent="0.2">
      <c r="A103" s="2148"/>
      <c r="B103" s="2148"/>
      <c r="C103" s="2148"/>
      <c r="D103" s="2148"/>
      <c r="E103" s="2148"/>
      <c r="F103" s="2148"/>
      <c r="G103" s="2148"/>
      <c r="H103" s="2148"/>
      <c r="I103" s="2148"/>
    </row>
    <row r="104" spans="1:9" ht="15" x14ac:dyDescent="0.25">
      <c r="A104" s="2076" t="s">
        <v>1281</v>
      </c>
      <c r="B104" s="2148"/>
      <c r="C104" s="2148"/>
      <c r="D104" s="2148"/>
      <c r="E104" s="2148"/>
      <c r="F104" s="2148"/>
      <c r="G104" s="2148"/>
      <c r="H104" s="2148"/>
      <c r="I104" s="2148"/>
    </row>
    <row r="105" spans="1:9" ht="30" customHeight="1" x14ac:dyDescent="0.25">
      <c r="A105" s="2309" t="s">
        <v>1298</v>
      </c>
      <c r="B105" s="2309"/>
      <c r="C105" s="2309"/>
      <c r="D105" s="2309"/>
      <c r="E105" s="2309"/>
      <c r="F105" s="2309"/>
      <c r="G105" s="2309"/>
      <c r="H105" s="2309"/>
      <c r="I105" s="2309"/>
    </row>
    <row r="106" spans="1:9" ht="15" customHeight="1" x14ac:dyDescent="0.2">
      <c r="A106" s="2148"/>
      <c r="B106" s="2148"/>
      <c r="C106" s="2148"/>
      <c r="D106" s="2148"/>
      <c r="E106" s="2148"/>
      <c r="F106" s="2148"/>
      <c r="G106" s="2148"/>
      <c r="H106" s="2148"/>
      <c r="I106" s="2148"/>
    </row>
    <row r="107" spans="1:9" ht="15" customHeight="1" x14ac:dyDescent="0.25">
      <c r="A107" s="2076" t="s">
        <v>1051</v>
      </c>
      <c r="B107" s="2148"/>
      <c r="C107" s="2148"/>
      <c r="D107" s="2148"/>
      <c r="E107" s="2148"/>
      <c r="F107" s="2148"/>
      <c r="G107" s="2148"/>
      <c r="H107" s="2080"/>
      <c r="I107" s="2080"/>
    </row>
    <row r="108" spans="1:9" ht="38.25" x14ac:dyDescent="0.2">
      <c r="A108" s="2310" t="s">
        <v>1052</v>
      </c>
      <c r="B108" s="2310"/>
      <c r="C108" s="2310"/>
      <c r="D108" s="2310" t="s">
        <v>1056</v>
      </c>
      <c r="E108" s="2310"/>
      <c r="F108" s="2310"/>
      <c r="G108" s="2087" t="s">
        <v>1054</v>
      </c>
      <c r="H108" s="2087" t="s">
        <v>1055</v>
      </c>
      <c r="I108" s="2087" t="s">
        <v>1053</v>
      </c>
    </row>
    <row r="109" spans="1:9" ht="31.5" customHeight="1" x14ac:dyDescent="0.2">
      <c r="A109" s="2379" t="s">
        <v>1296</v>
      </c>
      <c r="B109" s="2379"/>
      <c r="C109" s="2379"/>
      <c r="D109" s="2305" t="s">
        <v>1299</v>
      </c>
      <c r="E109" s="2305"/>
      <c r="F109" s="2305"/>
      <c r="G109" s="2090">
        <v>50</v>
      </c>
      <c r="H109" s="2090">
        <v>50</v>
      </c>
      <c r="I109" s="2090">
        <v>50</v>
      </c>
    </row>
    <row r="110" spans="1:9" ht="12.75" customHeight="1" x14ac:dyDescent="0.2">
      <c r="A110" s="2099"/>
      <c r="B110" s="2099"/>
      <c r="C110" s="2099"/>
      <c r="D110" s="2099"/>
      <c r="E110" s="2099"/>
      <c r="F110" s="2099"/>
      <c r="G110" s="2124"/>
      <c r="H110" s="2124"/>
      <c r="I110" s="2124"/>
    </row>
    <row r="111" spans="1:9" ht="12.75" customHeight="1" x14ac:dyDescent="0.25">
      <c r="A111" s="2317" t="s">
        <v>1300</v>
      </c>
      <c r="B111" s="2317"/>
      <c r="C111" s="2317"/>
      <c r="D111" s="2317" t="s">
        <v>923</v>
      </c>
      <c r="E111" s="2317"/>
      <c r="F111" s="2317"/>
      <c r="G111" s="2317"/>
      <c r="H111" s="2317"/>
      <c r="I111" s="2317"/>
    </row>
    <row r="112" spans="1:9" ht="12.75" customHeight="1" x14ac:dyDescent="0.25">
      <c r="A112" s="2318" t="s">
        <v>1046</v>
      </c>
      <c r="B112" s="2318"/>
      <c r="C112" s="2318"/>
      <c r="D112" s="2122" t="s">
        <v>1301</v>
      </c>
      <c r="E112" s="2125"/>
      <c r="F112" s="2125"/>
      <c r="G112" s="2125"/>
      <c r="H112" s="2125"/>
      <c r="I112" s="2126"/>
    </row>
    <row r="113" spans="1:9" x14ac:dyDescent="0.2">
      <c r="A113" s="2205" t="s">
        <v>1048</v>
      </c>
      <c r="B113" s="2205"/>
      <c r="C113" s="2205"/>
      <c r="D113" s="2205" t="s">
        <v>1297</v>
      </c>
      <c r="E113" s="2205"/>
      <c r="F113" s="2205"/>
      <c r="G113" s="2205"/>
      <c r="H113" s="2205"/>
      <c r="I113" s="2205"/>
    </row>
    <row r="114" spans="1:9" ht="15" customHeight="1" x14ac:dyDescent="0.2">
      <c r="A114" s="2148"/>
      <c r="B114" s="2148"/>
      <c r="C114" s="2148"/>
      <c r="D114" s="2148"/>
      <c r="E114" s="2148"/>
      <c r="F114" s="2148"/>
      <c r="G114" s="2148"/>
      <c r="H114" s="2148"/>
      <c r="I114" s="2148"/>
    </row>
    <row r="115" spans="1:9" ht="15" x14ac:dyDescent="0.25">
      <c r="A115" s="2076" t="s">
        <v>1050</v>
      </c>
      <c r="B115" s="2148"/>
      <c r="C115" s="2148"/>
      <c r="D115" s="2148"/>
      <c r="E115" s="2148"/>
      <c r="F115" s="2148"/>
      <c r="G115" s="2148"/>
      <c r="H115" s="2148"/>
      <c r="I115" s="2148"/>
    </row>
    <row r="116" spans="1:9" ht="15" x14ac:dyDescent="0.25">
      <c r="A116" s="2079" t="s">
        <v>1040</v>
      </c>
      <c r="B116" s="2079">
        <v>2022</v>
      </c>
      <c r="C116" s="2079">
        <v>2023</v>
      </c>
      <c r="D116" s="2079">
        <v>2024</v>
      </c>
      <c r="E116" s="2079" t="s">
        <v>984</v>
      </c>
      <c r="F116" s="2079">
        <v>2025</v>
      </c>
      <c r="G116" s="2079">
        <v>2026</v>
      </c>
      <c r="H116" s="2079">
        <v>2027</v>
      </c>
      <c r="I116" s="2148"/>
    </row>
    <row r="117" spans="1:9" ht="15" x14ac:dyDescent="0.25">
      <c r="A117" s="2075" t="s">
        <v>170</v>
      </c>
      <c r="B117" s="2077">
        <f>'[1]Program 8'!H51</f>
        <v>12350</v>
      </c>
      <c r="C117" s="2077">
        <f>'[1]Program 8'!I51</f>
        <v>9614.65</v>
      </c>
      <c r="D117" s="2077">
        <f>'[1]Program 8'!J51</f>
        <v>10000</v>
      </c>
      <c r="E117" s="2077">
        <f>'[1]Program 8'!K51</f>
        <v>10230</v>
      </c>
      <c r="F117" s="2078">
        <f>'[1]Program 8'!L51</f>
        <v>10000</v>
      </c>
      <c r="G117" s="2077">
        <f>'[1]Program 8'!M51</f>
        <v>10000</v>
      </c>
      <c r="H117" s="2077">
        <f>'[1]Program 8'!N51</f>
        <v>10000</v>
      </c>
      <c r="I117" s="2148"/>
    </row>
    <row r="118" spans="1:9" ht="12.75" customHeight="1" x14ac:dyDescent="0.2">
      <c r="A118" s="2148"/>
      <c r="B118" s="2148"/>
      <c r="C118" s="2148"/>
      <c r="D118" s="2148"/>
      <c r="E118" s="2148"/>
      <c r="F118" s="2148"/>
      <c r="G118" s="2148"/>
      <c r="H118" s="2148"/>
      <c r="I118" s="2148"/>
    </row>
    <row r="119" spans="1:9" s="2058" customFormat="1" ht="12.75" customHeight="1" x14ac:dyDescent="0.2">
      <c r="A119" s="2148"/>
      <c r="B119" s="2148"/>
      <c r="C119" s="2148"/>
      <c r="D119" s="2148"/>
      <c r="E119" s="2148"/>
      <c r="F119" s="2148"/>
      <c r="G119" s="2148"/>
      <c r="H119" s="2148"/>
      <c r="I119" s="2148"/>
    </row>
    <row r="120" spans="1:9" ht="12.75" customHeight="1" x14ac:dyDescent="0.25">
      <c r="A120" s="2076" t="s">
        <v>1281</v>
      </c>
      <c r="B120" s="2148"/>
      <c r="C120" s="2148"/>
      <c r="D120" s="2148"/>
      <c r="E120" s="2148"/>
      <c r="F120" s="2148"/>
      <c r="G120" s="2148"/>
      <c r="H120" s="2148"/>
      <c r="I120" s="2148"/>
    </row>
    <row r="121" spans="1:9" ht="27" customHeight="1" x14ac:dyDescent="0.2">
      <c r="A121" s="2308" t="s">
        <v>1302</v>
      </c>
      <c r="B121" s="2308"/>
      <c r="C121" s="2308"/>
      <c r="D121" s="2308"/>
      <c r="E121" s="2308"/>
      <c r="F121" s="2308"/>
      <c r="G121" s="2308"/>
      <c r="H121" s="2308"/>
      <c r="I121" s="2308"/>
    </row>
    <row r="122" spans="1:9" x14ac:dyDescent="0.2">
      <c r="A122" s="2148"/>
      <c r="B122" s="2148"/>
      <c r="C122" s="2148"/>
      <c r="D122" s="2148"/>
      <c r="E122" s="2148"/>
      <c r="F122" s="2148"/>
      <c r="G122" s="2148"/>
      <c r="H122" s="2148"/>
      <c r="I122" s="2148"/>
    </row>
    <row r="123" spans="1:9" ht="15" x14ac:dyDescent="0.25">
      <c r="A123" s="2076" t="s">
        <v>1051</v>
      </c>
      <c r="B123" s="2148"/>
      <c r="C123" s="2148"/>
      <c r="D123" s="2148"/>
      <c r="E123" s="2148"/>
      <c r="F123" s="2148"/>
      <c r="G123" s="2148"/>
      <c r="H123" s="2080"/>
      <c r="I123" s="2080"/>
    </row>
    <row r="124" spans="1:9" ht="38.25" x14ac:dyDescent="0.2">
      <c r="A124" s="2310" t="s">
        <v>1052</v>
      </c>
      <c r="B124" s="2310"/>
      <c r="C124" s="2310"/>
      <c r="D124" s="2310" t="s">
        <v>1056</v>
      </c>
      <c r="E124" s="2310"/>
      <c r="F124" s="2310"/>
      <c r="G124" s="2087" t="s">
        <v>1054</v>
      </c>
      <c r="H124" s="2087" t="s">
        <v>1055</v>
      </c>
      <c r="I124" s="2087" t="s">
        <v>1053</v>
      </c>
    </row>
    <row r="125" spans="1:9" ht="29.25" customHeight="1" x14ac:dyDescent="0.2">
      <c r="A125" s="2305" t="s">
        <v>1304</v>
      </c>
      <c r="B125" s="2305"/>
      <c r="C125" s="2305"/>
      <c r="D125" s="2305" t="s">
        <v>1303</v>
      </c>
      <c r="E125" s="2305"/>
      <c r="F125" s="2305"/>
      <c r="G125" s="2090">
        <v>15</v>
      </c>
      <c r="H125" s="2090">
        <v>15</v>
      </c>
      <c r="I125" s="2090">
        <v>15</v>
      </c>
    </row>
    <row r="126" spans="1:9" ht="15" x14ac:dyDescent="0.2">
      <c r="A126" s="2089"/>
      <c r="B126" s="2089"/>
      <c r="C126" s="2089"/>
      <c r="D126" s="2089"/>
      <c r="E126" s="2089"/>
      <c r="F126" s="2089"/>
      <c r="G126" s="2089"/>
      <c r="H126" s="2089"/>
      <c r="I126" s="2089"/>
    </row>
    <row r="127" spans="1:9" ht="15" x14ac:dyDescent="0.25">
      <c r="A127" s="2306" t="s">
        <v>1305</v>
      </c>
      <c r="B127" s="2306"/>
      <c r="C127" s="2306"/>
      <c r="D127" s="2306" t="s">
        <v>363</v>
      </c>
      <c r="E127" s="2306"/>
      <c r="F127" s="2306"/>
      <c r="G127" s="2306"/>
      <c r="H127" s="2306"/>
      <c r="I127" s="2306"/>
    </row>
    <row r="128" spans="1:9" s="2058" customFormat="1" x14ac:dyDescent="0.2">
      <c r="A128" s="2148"/>
      <c r="B128" s="2148"/>
      <c r="C128" s="2148"/>
      <c r="D128" s="2148"/>
      <c r="E128" s="2148"/>
      <c r="F128" s="2148"/>
      <c r="G128" s="2148"/>
      <c r="H128" s="2148"/>
      <c r="I128" s="2148"/>
    </row>
    <row r="129" spans="1:9" s="2058" customFormat="1" ht="15" customHeight="1" x14ac:dyDescent="0.25">
      <c r="A129" s="2307" t="s">
        <v>1043</v>
      </c>
      <c r="B129" s="2307"/>
      <c r="C129" s="2307"/>
      <c r="D129" s="2307"/>
      <c r="E129" s="2307"/>
      <c r="F129" s="2307"/>
      <c r="G129" s="2307"/>
      <c r="H129" s="2307"/>
      <c r="I129" s="2307"/>
    </row>
    <row r="130" spans="1:9" ht="15" customHeight="1" x14ac:dyDescent="0.2">
      <c r="A130" s="2105" t="s">
        <v>1306</v>
      </c>
      <c r="B130" s="2089"/>
      <c r="C130" s="2089"/>
      <c r="D130" s="2089"/>
      <c r="E130" s="2089"/>
      <c r="F130" s="2089"/>
      <c r="G130" s="2089"/>
      <c r="H130" s="2089"/>
      <c r="I130" s="2089"/>
    </row>
    <row r="131" spans="1:9" ht="15" x14ac:dyDescent="0.2">
      <c r="A131" s="2149"/>
      <c r="B131" s="2149"/>
      <c r="C131" s="2149"/>
      <c r="D131" s="2149"/>
      <c r="E131" s="2149"/>
      <c r="F131" s="2149"/>
      <c r="G131" s="2149"/>
      <c r="H131" s="2149"/>
      <c r="I131" s="2149"/>
    </row>
    <row r="132" spans="1:9" ht="15" x14ac:dyDescent="0.25">
      <c r="A132" s="2076" t="s">
        <v>1039</v>
      </c>
      <c r="B132" s="2068"/>
      <c r="C132" s="2148"/>
      <c r="D132" s="2148"/>
      <c r="E132" s="2148"/>
      <c r="F132" s="2148"/>
      <c r="G132" s="2148"/>
      <c r="H132" s="2148"/>
      <c r="I132" s="2148"/>
    </row>
    <row r="133" spans="1:9" ht="15" x14ac:dyDescent="0.25">
      <c r="A133" s="2074" t="s">
        <v>1040</v>
      </c>
      <c r="B133" s="2074">
        <v>2022</v>
      </c>
      <c r="C133" s="2074">
        <v>2023</v>
      </c>
      <c r="D133" s="2074">
        <v>2024</v>
      </c>
      <c r="E133" s="2074" t="s">
        <v>984</v>
      </c>
      <c r="F133" s="2074">
        <v>2025</v>
      </c>
      <c r="G133" s="2074">
        <v>2026</v>
      </c>
      <c r="H133" s="2074">
        <v>2027</v>
      </c>
      <c r="I133" s="2148"/>
    </row>
    <row r="134" spans="1:9" ht="15" x14ac:dyDescent="0.25">
      <c r="A134" s="2075" t="s">
        <v>170</v>
      </c>
      <c r="B134" s="2077">
        <f>'[1]Program 8'!H56</f>
        <v>4500</v>
      </c>
      <c r="C134" s="2077">
        <f>'[1]Program 8'!I56</f>
        <v>15334.619999999999</v>
      </c>
      <c r="D134" s="2077">
        <f>'[1]Program 8'!J56</f>
        <v>13500</v>
      </c>
      <c r="E134" s="2077">
        <f>'[1]Program 8'!K56</f>
        <v>10659</v>
      </c>
      <c r="F134" s="2078">
        <f>'[1]Program 8'!L56</f>
        <v>11500</v>
      </c>
      <c r="G134" s="2077">
        <f>'[1]Program 8'!M56</f>
        <v>12500</v>
      </c>
      <c r="H134" s="2077">
        <f>'[1]Program 8'!N56</f>
        <v>7500</v>
      </c>
      <c r="I134" s="2148"/>
    </row>
    <row r="135" spans="1:9" ht="15" customHeight="1" x14ac:dyDescent="0.2">
      <c r="A135" s="2148"/>
      <c r="B135" s="2148"/>
      <c r="C135" s="2148"/>
      <c r="D135" s="2148"/>
      <c r="E135" s="2148"/>
      <c r="F135" s="2148"/>
      <c r="G135" s="2148"/>
      <c r="H135" s="2148"/>
      <c r="I135" s="2148"/>
    </row>
    <row r="136" spans="1:9" ht="15" x14ac:dyDescent="0.2">
      <c r="A136" s="2092" t="s">
        <v>1088</v>
      </c>
      <c r="B136" s="2148"/>
      <c r="C136" s="2148"/>
      <c r="D136" s="2148"/>
      <c r="E136" s="2148"/>
      <c r="F136" s="2148"/>
      <c r="G136" s="2148"/>
      <c r="H136" s="2148"/>
      <c r="I136" s="2148"/>
    </row>
    <row r="137" spans="1:9" ht="15" customHeight="1" x14ac:dyDescent="0.2">
      <c r="A137" s="2380" t="s">
        <v>1307</v>
      </c>
      <c r="B137" s="2380"/>
      <c r="C137" s="2380"/>
      <c r="D137" s="2380"/>
      <c r="E137" s="2380"/>
      <c r="F137" s="2380"/>
      <c r="G137" s="2380"/>
      <c r="H137" s="2380"/>
      <c r="I137" s="2380"/>
    </row>
    <row r="138" spans="1:9" ht="25.5" customHeight="1" x14ac:dyDescent="0.25">
      <c r="A138" s="2076" t="s">
        <v>1051</v>
      </c>
      <c r="B138" s="2148"/>
      <c r="C138" s="2148"/>
      <c r="D138" s="2148"/>
      <c r="E138" s="2148"/>
      <c r="F138" s="2148"/>
      <c r="G138" s="2148"/>
      <c r="H138" s="2080"/>
      <c r="I138" s="2080"/>
    </row>
    <row r="139" spans="1:9" ht="12.75" customHeight="1" x14ac:dyDescent="0.2">
      <c r="A139" s="2310" t="s">
        <v>1052</v>
      </c>
      <c r="B139" s="2310"/>
      <c r="C139" s="2310"/>
      <c r="D139" s="2310" t="s">
        <v>1056</v>
      </c>
      <c r="E139" s="2310"/>
      <c r="F139" s="2310"/>
      <c r="G139" s="2087" t="s">
        <v>1054</v>
      </c>
      <c r="H139" s="2087" t="s">
        <v>1055</v>
      </c>
      <c r="I139" s="2087" t="s">
        <v>1053</v>
      </c>
    </row>
    <row r="140" spans="1:9" ht="25.5" customHeight="1" x14ac:dyDescent="0.2">
      <c r="A140" s="2305" t="s">
        <v>1310</v>
      </c>
      <c r="B140" s="2305"/>
      <c r="C140" s="2305"/>
      <c r="D140" s="2311" t="s">
        <v>1308</v>
      </c>
      <c r="E140" s="2311"/>
      <c r="F140" s="2311"/>
      <c r="G140" s="2150">
        <v>4</v>
      </c>
      <c r="H140" s="2150">
        <v>4</v>
      </c>
      <c r="I140" s="2150">
        <v>4</v>
      </c>
    </row>
    <row r="141" spans="1:9" ht="24.75" customHeight="1" x14ac:dyDescent="0.2">
      <c r="A141" s="2305"/>
      <c r="B141" s="2305"/>
      <c r="C141" s="2305"/>
      <c r="D141" s="2311" t="s">
        <v>1309</v>
      </c>
      <c r="E141" s="2311"/>
      <c r="F141" s="2311"/>
      <c r="G141" s="2150">
        <v>2</v>
      </c>
      <c r="H141" s="2150">
        <v>2</v>
      </c>
      <c r="I141" s="2150">
        <v>2</v>
      </c>
    </row>
    <row r="142" spans="1:9" x14ac:dyDescent="0.2">
      <c r="A142" s="2068"/>
      <c r="B142" s="2068"/>
      <c r="C142" s="2068"/>
      <c r="D142" s="2068"/>
      <c r="E142" s="2068"/>
      <c r="F142" s="2068"/>
      <c r="G142" s="2068"/>
      <c r="H142" s="2068"/>
      <c r="I142" s="2068"/>
    </row>
    <row r="143" spans="1:9" ht="15" x14ac:dyDescent="0.25">
      <c r="A143" s="2306" t="s">
        <v>1311</v>
      </c>
      <c r="B143" s="2306"/>
      <c r="C143" s="2306"/>
      <c r="D143" s="2306" t="s">
        <v>1312</v>
      </c>
      <c r="E143" s="2306"/>
      <c r="F143" s="2306"/>
      <c r="G143" s="2306"/>
      <c r="H143" s="2306"/>
      <c r="I143" s="2306"/>
    </row>
    <row r="144" spans="1:9" x14ac:dyDescent="0.2">
      <c r="A144" s="2148"/>
      <c r="B144" s="2148"/>
      <c r="C144" s="2148"/>
      <c r="D144" s="2148"/>
      <c r="E144" s="2148"/>
      <c r="F144" s="2148"/>
      <c r="G144" s="2148"/>
      <c r="H144" s="2148"/>
      <c r="I144" s="2148"/>
    </row>
    <row r="145" spans="1:9" ht="15" customHeight="1" x14ac:dyDescent="0.25">
      <c r="A145" s="2307" t="s">
        <v>1043</v>
      </c>
      <c r="B145" s="2307"/>
      <c r="C145" s="2307"/>
      <c r="D145" s="2307"/>
      <c r="E145" s="2307"/>
      <c r="F145" s="2307"/>
      <c r="G145" s="2307"/>
      <c r="H145" s="2307"/>
      <c r="I145" s="2307"/>
    </row>
    <row r="146" spans="1:9" ht="15" customHeight="1" x14ac:dyDescent="0.2">
      <c r="A146" s="2105" t="s">
        <v>1313</v>
      </c>
      <c r="B146" s="2089"/>
      <c r="C146" s="2089"/>
      <c r="D146" s="2089"/>
      <c r="E146" s="2089"/>
      <c r="F146" s="2089"/>
      <c r="G146" s="2089"/>
      <c r="H146" s="2089"/>
      <c r="I146" s="2089"/>
    </row>
    <row r="147" spans="1:9" ht="15" x14ac:dyDescent="0.2">
      <c r="A147" s="2149"/>
      <c r="B147" s="2149"/>
      <c r="C147" s="2149"/>
      <c r="D147" s="2149"/>
      <c r="E147" s="2149"/>
      <c r="F147" s="2149"/>
      <c r="G147" s="2149"/>
      <c r="H147" s="2149"/>
      <c r="I147" s="2149"/>
    </row>
    <row r="148" spans="1:9" ht="15" x14ac:dyDescent="0.25">
      <c r="A148" s="2076" t="s">
        <v>1039</v>
      </c>
      <c r="B148" s="2068"/>
      <c r="C148" s="2148"/>
      <c r="D148" s="2148"/>
      <c r="E148" s="2148"/>
      <c r="F148" s="2148"/>
      <c r="G148" s="2148"/>
      <c r="H148" s="2148"/>
      <c r="I148" s="2148"/>
    </row>
    <row r="149" spans="1:9" ht="15" x14ac:dyDescent="0.25">
      <c r="A149" s="2074" t="s">
        <v>1040</v>
      </c>
      <c r="B149" s="2074">
        <v>2022</v>
      </c>
      <c r="C149" s="2074">
        <v>2023</v>
      </c>
      <c r="D149" s="2074">
        <v>2024</v>
      </c>
      <c r="E149" s="2074" t="s">
        <v>984</v>
      </c>
      <c r="F149" s="2074">
        <v>2025</v>
      </c>
      <c r="G149" s="2074">
        <v>2026</v>
      </c>
      <c r="H149" s="2074">
        <v>2027</v>
      </c>
      <c r="I149" s="2148"/>
    </row>
    <row r="150" spans="1:9" ht="15" x14ac:dyDescent="0.25">
      <c r="A150" s="2075" t="s">
        <v>170</v>
      </c>
      <c r="B150" s="2077">
        <f>'[1]Program 8'!H65</f>
        <v>5250</v>
      </c>
      <c r="C150" s="2077">
        <f>'[1]Program 8'!I65</f>
        <v>1651</v>
      </c>
      <c r="D150" s="2077">
        <f>'[1]Program 8'!J65</f>
        <v>0</v>
      </c>
      <c r="E150" s="2077">
        <f>'[1]Program 8'!K65</f>
        <v>0</v>
      </c>
      <c r="F150" s="2078">
        <f>'[1]Program 8'!L65</f>
        <v>0</v>
      </c>
      <c r="G150" s="2077">
        <f>'[1]Program 8'!M65</f>
        <v>0</v>
      </c>
      <c r="H150" s="2077">
        <f>'[1]Program 8'!N65</f>
        <v>0</v>
      </c>
      <c r="I150" s="2148"/>
    </row>
    <row r="151" spans="1:9" x14ac:dyDescent="0.2">
      <c r="A151" s="2148"/>
      <c r="B151" s="2148"/>
      <c r="C151" s="2148"/>
      <c r="D151" s="2148"/>
      <c r="E151" s="2148"/>
      <c r="F151" s="2148"/>
      <c r="G151" s="2148"/>
      <c r="H151" s="2148"/>
      <c r="I151" s="2148"/>
    </row>
    <row r="152" spans="1:9" ht="15" x14ac:dyDescent="0.2">
      <c r="A152" s="2092" t="s">
        <v>1088</v>
      </c>
      <c r="B152" s="2148"/>
      <c r="C152" s="2148"/>
      <c r="D152" s="2148"/>
      <c r="E152" s="2148"/>
      <c r="F152" s="2148"/>
      <c r="G152" s="2148"/>
      <c r="H152" s="2148"/>
      <c r="I152" s="2148"/>
    </row>
    <row r="153" spans="1:9" ht="42" customHeight="1" x14ac:dyDescent="0.2">
      <c r="A153" s="2308" t="s">
        <v>1314</v>
      </c>
      <c r="B153" s="2308"/>
      <c r="C153" s="2308"/>
      <c r="D153" s="2308"/>
      <c r="E153" s="2308"/>
      <c r="F153" s="2308"/>
      <c r="G153" s="2308"/>
      <c r="H153" s="2308"/>
      <c r="I153" s="2308"/>
    </row>
    <row r="154" spans="1:9" x14ac:dyDescent="0.2">
      <c r="A154" s="2148"/>
      <c r="B154" s="2148"/>
      <c r="C154" s="2148"/>
      <c r="D154" s="2148"/>
      <c r="E154" s="2148"/>
      <c r="F154" s="2148"/>
      <c r="G154" s="2148"/>
      <c r="H154" s="2148"/>
      <c r="I154" s="2148"/>
    </row>
    <row r="155" spans="1:9" ht="15" x14ac:dyDescent="0.25">
      <c r="A155" s="2076" t="s">
        <v>1051</v>
      </c>
      <c r="B155" s="2148"/>
      <c r="C155" s="2148"/>
      <c r="D155" s="2148"/>
      <c r="E155" s="2148"/>
      <c r="F155" s="2148"/>
      <c r="G155" s="2148"/>
      <c r="H155" s="2080"/>
      <c r="I155" s="2080"/>
    </row>
    <row r="156" spans="1:9" ht="38.25" x14ac:dyDescent="0.2">
      <c r="A156" s="2310" t="s">
        <v>1052</v>
      </c>
      <c r="B156" s="2310"/>
      <c r="C156" s="2310"/>
      <c r="D156" s="2310" t="s">
        <v>1056</v>
      </c>
      <c r="E156" s="2310"/>
      <c r="F156" s="2310"/>
      <c r="G156" s="2087" t="s">
        <v>1054</v>
      </c>
      <c r="H156" s="2087" t="s">
        <v>1055</v>
      </c>
      <c r="I156" s="2087" t="s">
        <v>1053</v>
      </c>
    </row>
    <row r="157" spans="1:9" ht="23.25" customHeight="1" x14ac:dyDescent="0.2">
      <c r="A157" s="2305" t="s">
        <v>1310</v>
      </c>
      <c r="B157" s="2305"/>
      <c r="C157" s="2305"/>
      <c r="D157" s="2311" t="s">
        <v>1315</v>
      </c>
      <c r="E157" s="2311"/>
      <c r="F157" s="2311"/>
      <c r="G157" s="2150">
        <v>5</v>
      </c>
      <c r="H157" s="2150">
        <v>5</v>
      </c>
      <c r="I157" s="2150">
        <v>5</v>
      </c>
    </row>
    <row r="158" spans="1:9" ht="26.25" customHeight="1" x14ac:dyDescent="0.2">
      <c r="A158" s="2305"/>
      <c r="B158" s="2305"/>
      <c r="C158" s="2305"/>
      <c r="D158" s="2311" t="s">
        <v>1316</v>
      </c>
      <c r="E158" s="2311"/>
      <c r="F158" s="2311"/>
      <c r="G158" s="2150">
        <v>5</v>
      </c>
      <c r="H158" s="2150">
        <v>5</v>
      </c>
      <c r="I158" s="2150">
        <v>5</v>
      </c>
    </row>
    <row r="159" spans="1:9" x14ac:dyDescent="0.2">
      <c r="A159" s="2148"/>
      <c r="B159" s="2148"/>
      <c r="C159" s="2148"/>
      <c r="D159" s="2148"/>
      <c r="E159" s="2148"/>
      <c r="F159" s="2148"/>
      <c r="G159" s="2148"/>
      <c r="H159" s="2148"/>
      <c r="I159" s="2148"/>
    </row>
    <row r="160" spans="1:9" s="2058" customFormat="1" x14ac:dyDescent="0.2">
      <c r="A160" s="2148"/>
      <c r="B160" s="2148"/>
      <c r="C160" s="2148"/>
      <c r="D160" s="2148"/>
      <c r="E160" s="2148"/>
      <c r="F160" s="2148"/>
      <c r="G160" s="2148"/>
      <c r="H160" s="2148"/>
      <c r="I160" s="2148"/>
    </row>
    <row r="161" spans="1:9" s="2058" customFormat="1" x14ac:dyDescent="0.2">
      <c r="A161" s="2148"/>
      <c r="B161" s="2148"/>
      <c r="C161" s="2148"/>
      <c r="D161" s="2148"/>
      <c r="E161" s="2148"/>
      <c r="F161" s="2148"/>
      <c r="G161" s="2148"/>
      <c r="H161" s="2148"/>
      <c r="I161" s="2148"/>
    </row>
    <row r="162" spans="1:9" ht="15" x14ac:dyDescent="0.25">
      <c r="A162" s="2306" t="s">
        <v>1317</v>
      </c>
      <c r="B162" s="2306"/>
      <c r="C162" s="2306"/>
      <c r="D162" s="2306" t="s">
        <v>372</v>
      </c>
      <c r="E162" s="2306"/>
      <c r="F162" s="2306"/>
      <c r="G162" s="2306"/>
      <c r="H162" s="2306"/>
      <c r="I162" s="2306"/>
    </row>
    <row r="163" spans="1:9" x14ac:dyDescent="0.2">
      <c r="A163" s="2148"/>
      <c r="B163" s="2148"/>
      <c r="C163" s="2148"/>
      <c r="D163" s="2148"/>
      <c r="E163" s="2148"/>
      <c r="F163" s="2148"/>
      <c r="G163" s="2148"/>
      <c r="H163" s="2148"/>
      <c r="I163" s="2148"/>
    </row>
    <row r="164" spans="1:9" ht="15" customHeight="1" x14ac:dyDescent="0.25">
      <c r="A164" s="2307" t="s">
        <v>1043</v>
      </c>
      <c r="B164" s="2307"/>
      <c r="C164" s="2307"/>
      <c r="D164" s="2307"/>
      <c r="E164" s="2307"/>
      <c r="F164" s="2307"/>
      <c r="G164" s="2307"/>
      <c r="H164" s="2307"/>
      <c r="I164" s="2307"/>
    </row>
    <row r="165" spans="1:9" ht="15" x14ac:dyDescent="0.2">
      <c r="A165" s="2105" t="s">
        <v>1318</v>
      </c>
      <c r="B165" s="2089"/>
      <c r="C165" s="2089"/>
      <c r="D165" s="2089"/>
      <c r="E165" s="2089"/>
      <c r="F165" s="2089"/>
      <c r="G165" s="2089"/>
      <c r="H165" s="2089"/>
      <c r="I165" s="2089"/>
    </row>
    <row r="166" spans="1:9" ht="15" x14ac:dyDescent="0.2">
      <c r="A166" s="2149"/>
      <c r="B166" s="2149"/>
      <c r="C166" s="2149"/>
      <c r="D166" s="2149"/>
      <c r="E166" s="2149"/>
      <c r="F166" s="2149"/>
      <c r="G166" s="2149"/>
      <c r="H166" s="2149"/>
      <c r="I166" s="2149"/>
    </row>
    <row r="167" spans="1:9" ht="15" x14ac:dyDescent="0.25">
      <c r="A167" s="2076" t="s">
        <v>1039</v>
      </c>
      <c r="B167" s="2068"/>
      <c r="C167" s="2148"/>
      <c r="D167" s="2148"/>
      <c r="E167" s="2148"/>
      <c r="F167" s="2148"/>
      <c r="G167" s="2148"/>
      <c r="H167" s="2148"/>
      <c r="I167" s="2148"/>
    </row>
    <row r="168" spans="1:9" ht="15" x14ac:dyDescent="0.25">
      <c r="A168" s="2074" t="s">
        <v>1040</v>
      </c>
      <c r="B168" s="2074">
        <v>2022</v>
      </c>
      <c r="C168" s="2074">
        <v>2023</v>
      </c>
      <c r="D168" s="2074">
        <v>2024</v>
      </c>
      <c r="E168" s="2074" t="s">
        <v>984</v>
      </c>
      <c r="F168" s="2074">
        <v>2025</v>
      </c>
      <c r="G168" s="2074">
        <v>2026</v>
      </c>
      <c r="H168" s="2074">
        <v>2027</v>
      </c>
      <c r="I168" s="2148"/>
    </row>
    <row r="169" spans="1:9" ht="15" x14ac:dyDescent="0.25">
      <c r="A169" s="2075" t="s">
        <v>170</v>
      </c>
      <c r="B169" s="2077">
        <f>'[1]Program 8'!H70</f>
        <v>4000</v>
      </c>
      <c r="C169" s="2077">
        <f>'[1]Program 8'!I70</f>
        <v>9494.7900000000009</v>
      </c>
      <c r="D169" s="2077">
        <f>'[1]Program 8'!J70</f>
        <v>5000</v>
      </c>
      <c r="E169" s="2077">
        <f>'[1]Program 8'!K70</f>
        <v>3500</v>
      </c>
      <c r="F169" s="2078">
        <f>'[1]Program 8'!L70</f>
        <v>53000</v>
      </c>
      <c r="G169" s="2077">
        <f>'[1]Program 8'!M70</f>
        <v>3000</v>
      </c>
      <c r="H169" s="2077">
        <f>'[1]Program 8'!N70</f>
        <v>3000</v>
      </c>
      <c r="I169" s="2148"/>
    </row>
    <row r="170" spans="1:9" x14ac:dyDescent="0.2">
      <c r="A170" s="2148"/>
      <c r="B170" s="2148"/>
      <c r="C170" s="2148"/>
      <c r="D170" s="2148"/>
      <c r="E170" s="2148"/>
      <c r="F170" s="2148"/>
      <c r="G170" s="2148"/>
      <c r="H170" s="2148"/>
      <c r="I170" s="2148"/>
    </row>
    <row r="171" spans="1:9" ht="15" x14ac:dyDescent="0.2">
      <c r="A171" s="2092" t="s">
        <v>1088</v>
      </c>
      <c r="B171" s="2148"/>
      <c r="C171" s="2148"/>
      <c r="D171" s="2148"/>
      <c r="E171" s="2148"/>
      <c r="F171" s="2148"/>
      <c r="G171" s="2148"/>
      <c r="H171" s="2148"/>
      <c r="I171" s="2148"/>
    </row>
    <row r="172" spans="1:9" ht="15" customHeight="1" x14ac:dyDescent="0.2">
      <c r="A172" s="2105" t="s">
        <v>1319</v>
      </c>
      <c r="B172" s="2089"/>
      <c r="C172" s="2089"/>
      <c r="D172" s="2089"/>
      <c r="E172" s="2089"/>
      <c r="F172" s="2089"/>
      <c r="G172" s="2089"/>
      <c r="H172" s="2089"/>
      <c r="I172" s="2089"/>
    </row>
    <row r="173" spans="1:9" x14ac:dyDescent="0.2">
      <c r="A173" s="2381" t="s">
        <v>1469</v>
      </c>
      <c r="B173" s="2381"/>
      <c r="C173" s="2381"/>
      <c r="D173" s="2381"/>
      <c r="E173" s="2381"/>
      <c r="F173" s="2381"/>
      <c r="G173" s="2381"/>
      <c r="H173" s="2381"/>
      <c r="I173" s="2381"/>
    </row>
    <row r="174" spans="1:9" x14ac:dyDescent="0.2">
      <c r="A174" s="2148"/>
      <c r="B174" s="2148"/>
      <c r="C174" s="2148"/>
      <c r="D174" s="2148"/>
      <c r="E174" s="2148"/>
      <c r="F174" s="2148"/>
      <c r="G174" s="2148"/>
      <c r="H174" s="2148"/>
      <c r="I174" s="2148"/>
    </row>
    <row r="175" spans="1:9" ht="15" x14ac:dyDescent="0.25">
      <c r="A175" s="2076" t="s">
        <v>1051</v>
      </c>
      <c r="B175" s="2148"/>
      <c r="C175" s="2148"/>
      <c r="D175" s="2148"/>
      <c r="E175" s="2148"/>
      <c r="F175" s="2148"/>
      <c r="G175" s="2148"/>
      <c r="H175" s="2080"/>
      <c r="I175" s="2080"/>
    </row>
    <row r="176" spans="1:9" ht="12.75" customHeight="1" x14ac:dyDescent="0.2">
      <c r="A176" s="2310" t="s">
        <v>1052</v>
      </c>
      <c r="B176" s="2310"/>
      <c r="C176" s="2310"/>
      <c r="D176" s="2310" t="s">
        <v>1056</v>
      </c>
      <c r="E176" s="2310"/>
      <c r="F176" s="2310"/>
      <c r="G176" s="2087" t="s">
        <v>1054</v>
      </c>
      <c r="H176" s="2087" t="s">
        <v>1055</v>
      </c>
      <c r="I176" s="2087" t="s">
        <v>1053</v>
      </c>
    </row>
    <row r="177" spans="1:9" ht="12.75" customHeight="1" x14ac:dyDescent="0.2">
      <c r="A177" s="2305" t="s">
        <v>1322</v>
      </c>
      <c r="B177" s="2305"/>
      <c r="C177" s="2305"/>
      <c r="D177" s="2342" t="s">
        <v>1320</v>
      </c>
      <c r="E177" s="2342"/>
      <c r="F177" s="2342"/>
      <c r="G177" s="2150">
        <v>50</v>
      </c>
      <c r="H177" s="2150">
        <v>50</v>
      </c>
      <c r="I177" s="2150">
        <v>50</v>
      </c>
    </row>
    <row r="178" spans="1:9" x14ac:dyDescent="0.2">
      <c r="A178" s="2305"/>
      <c r="B178" s="2305"/>
      <c r="C178" s="2305"/>
      <c r="D178" s="2382" t="s">
        <v>1321</v>
      </c>
      <c r="E178" s="2382"/>
      <c r="F178" s="2382"/>
      <c r="G178" s="2150">
        <v>0</v>
      </c>
      <c r="H178" s="2150">
        <v>0</v>
      </c>
      <c r="I178" s="2150">
        <v>0</v>
      </c>
    </row>
    <row r="179" spans="1:9" x14ac:dyDescent="0.2">
      <c r="A179" s="2148"/>
      <c r="B179" s="2148"/>
      <c r="C179" s="2148"/>
      <c r="D179" s="2148"/>
      <c r="E179" s="2148"/>
      <c r="F179" s="2148"/>
      <c r="G179" s="2148"/>
      <c r="H179" s="2148"/>
      <c r="I179" s="2148"/>
    </row>
  </sheetData>
  <mergeCells count="107">
    <mergeCell ref="A173:I173"/>
    <mergeCell ref="A176:C176"/>
    <mergeCell ref="A177:C178"/>
    <mergeCell ref="D178:F178"/>
    <mergeCell ref="A97:C97"/>
    <mergeCell ref="A98:C98"/>
    <mergeCell ref="D176:F176"/>
    <mergeCell ref="D177:F177"/>
    <mergeCell ref="D157:F157"/>
    <mergeCell ref="D158:F158"/>
    <mergeCell ref="A162:C162"/>
    <mergeCell ref="D162:I162"/>
    <mergeCell ref="A164:I164"/>
    <mergeCell ref="A157:C158"/>
    <mergeCell ref="D98:I98"/>
    <mergeCell ref="A105:I105"/>
    <mergeCell ref="A108:C108"/>
    <mergeCell ref="D108:F108"/>
    <mergeCell ref="D127:I127"/>
    <mergeCell ref="A129:I129"/>
    <mergeCell ref="A113:C113"/>
    <mergeCell ref="D113:I113"/>
    <mergeCell ref="A121:I121"/>
    <mergeCell ref="A109:C109"/>
    <mergeCell ref="D124:F124"/>
    <mergeCell ref="A125:C125"/>
    <mergeCell ref="D125:F125"/>
    <mergeCell ref="A153:I153"/>
    <mergeCell ref="A156:C156"/>
    <mergeCell ref="D156:F156"/>
    <mergeCell ref="D73:F73"/>
    <mergeCell ref="A140:C141"/>
    <mergeCell ref="A143:C143"/>
    <mergeCell ref="D143:I143"/>
    <mergeCell ref="A145:I145"/>
    <mergeCell ref="D140:F140"/>
    <mergeCell ref="D109:F109"/>
    <mergeCell ref="A112:C112"/>
    <mergeCell ref="A111:C111"/>
    <mergeCell ref="D111:I111"/>
    <mergeCell ref="A137:I137"/>
    <mergeCell ref="A139:C139"/>
    <mergeCell ref="D141:F141"/>
    <mergeCell ref="A127:C127"/>
    <mergeCell ref="A124:C124"/>
    <mergeCell ref="D139:F139"/>
    <mergeCell ref="D97:I97"/>
    <mergeCell ref="A72:C72"/>
    <mergeCell ref="D72:F72"/>
    <mergeCell ref="A73:C74"/>
    <mergeCell ref="D74:F74"/>
    <mergeCell ref="A79:C79"/>
    <mergeCell ref="D79:I79"/>
    <mergeCell ref="A80:C80"/>
    <mergeCell ref="D80:I80"/>
    <mergeCell ref="A87:I87"/>
    <mergeCell ref="A90:C90"/>
    <mergeCell ref="D90:F90"/>
    <mergeCell ref="D93:F93"/>
    <mergeCell ref="D94:F94"/>
    <mergeCell ref="A94:C94"/>
    <mergeCell ref="D46:F46"/>
    <mergeCell ref="A62:C62"/>
    <mergeCell ref="D62:I62"/>
    <mergeCell ref="A60:C60"/>
    <mergeCell ref="D60:I60"/>
    <mergeCell ref="A61:C61"/>
    <mergeCell ref="D61:I61"/>
    <mergeCell ref="A96:C96"/>
    <mergeCell ref="D96:I96"/>
    <mergeCell ref="D27:F27"/>
    <mergeCell ref="D28:F28"/>
    <mergeCell ref="A27:C28"/>
    <mergeCell ref="A30:C30"/>
    <mergeCell ref="D30:I30"/>
    <mergeCell ref="A32:I32"/>
    <mergeCell ref="D91:F91"/>
    <mergeCell ref="D92:F92"/>
    <mergeCell ref="A91:C91"/>
    <mergeCell ref="A92:C93"/>
    <mergeCell ref="A78:C78"/>
    <mergeCell ref="D78:I78"/>
    <mergeCell ref="A40:I40"/>
    <mergeCell ref="A48:C48"/>
    <mergeCell ref="D48:I48"/>
    <mergeCell ref="A50:I50"/>
    <mergeCell ref="A57:I57"/>
    <mergeCell ref="A58:I58"/>
    <mergeCell ref="A69:I69"/>
    <mergeCell ref="A41:I41"/>
    <mergeCell ref="A44:C44"/>
    <mergeCell ref="D44:F44"/>
    <mergeCell ref="A45:C46"/>
    <mergeCell ref="D45:F45"/>
    <mergeCell ref="A1:C1"/>
    <mergeCell ref="D1:I1"/>
    <mergeCell ref="A3:I3"/>
    <mergeCell ref="A10:I10"/>
    <mergeCell ref="A13:C13"/>
    <mergeCell ref="D13:I13"/>
    <mergeCell ref="A4:I4"/>
    <mergeCell ref="A11:I11"/>
    <mergeCell ref="A26:C26"/>
    <mergeCell ref="D26:F26"/>
    <mergeCell ref="A22:I22"/>
    <mergeCell ref="A23:I23"/>
    <mergeCell ref="A15:I1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60"/>
  <sheetViews>
    <sheetView zoomScaleNormal="100" workbookViewId="0">
      <selection activeCell="L15" sqref="L15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7" max="7" width="0" hidden="1" customWidth="1"/>
    <col min="8" max="9" width="8" customWidth="1"/>
    <col min="10" max="10" width="8.140625" customWidth="1"/>
    <col min="11" max="11" width="7.5703125" customWidth="1"/>
    <col min="12" max="12" width="8.5703125" customWidth="1"/>
    <col min="13" max="13" width="8.42578125" customWidth="1"/>
    <col min="14" max="14" width="9.7109375" customWidth="1"/>
  </cols>
  <sheetData>
    <row r="1" spans="1:15" ht="15.75" x14ac:dyDescent="0.25">
      <c r="B1" s="99" t="s">
        <v>373</v>
      </c>
      <c r="E1" s="99" t="s">
        <v>374</v>
      </c>
      <c r="F1" s="97"/>
      <c r="G1" s="252" t="e">
        <f>G2-G7</f>
        <v>#REF!</v>
      </c>
      <c r="H1" s="252"/>
      <c r="I1" s="252"/>
      <c r="J1" s="252"/>
      <c r="K1" s="252"/>
      <c r="L1" s="251">
        <f>L2-L7</f>
        <v>0</v>
      </c>
      <c r="M1" s="251">
        <f>M2-M7</f>
        <v>0</v>
      </c>
      <c r="N1" s="251">
        <f>N2-N7</f>
        <v>0</v>
      </c>
      <c r="O1" s="393"/>
    </row>
    <row r="2" spans="1:15" ht="16.5" thickBot="1" x14ac:dyDescent="0.3">
      <c r="B2" s="99"/>
      <c r="F2" s="97"/>
      <c r="G2" s="252" t="e">
        <f>SUM(G8:G10)</f>
        <v>#REF!</v>
      </c>
      <c r="H2" s="252"/>
      <c r="I2" s="252"/>
      <c r="J2" s="252"/>
      <c r="K2" s="252"/>
      <c r="L2" s="251">
        <f>SUM(L8:L10)</f>
        <v>1924099</v>
      </c>
      <c r="M2" s="251">
        <f>SUM(M8:M10)</f>
        <v>1289002</v>
      </c>
      <c r="N2" s="251">
        <f>SUM(N8:N10)</f>
        <v>1288902</v>
      </c>
      <c r="O2" s="393"/>
    </row>
    <row r="3" spans="1:15" ht="16.5" thickBot="1" x14ac:dyDescent="0.3">
      <c r="A3" s="1223"/>
      <c r="B3" s="1224"/>
      <c r="C3" s="1225"/>
      <c r="D3" s="1225"/>
      <c r="E3" s="1226"/>
      <c r="F3" s="1227"/>
      <c r="G3" s="2361" t="s">
        <v>163</v>
      </c>
      <c r="H3" s="2362"/>
      <c r="I3" s="2361"/>
      <c r="J3" s="2361"/>
      <c r="K3" s="2361"/>
      <c r="L3" s="2361"/>
      <c r="M3" s="2361"/>
      <c r="N3" s="2383"/>
    </row>
    <row r="4" spans="1:15" ht="12" customHeight="1" thickBot="1" x14ac:dyDescent="0.25">
      <c r="A4" s="1228"/>
      <c r="B4" s="114" t="s">
        <v>164</v>
      </c>
      <c r="C4" s="115" t="s">
        <v>165</v>
      </c>
      <c r="D4" s="2304" t="s">
        <v>166</v>
      </c>
      <c r="E4" s="2304"/>
      <c r="F4" s="2304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5" ht="12" customHeight="1" thickBot="1" x14ac:dyDescent="0.25">
      <c r="A5" s="1228"/>
      <c r="B5" s="114" t="s">
        <v>167</v>
      </c>
      <c r="C5" s="115" t="s">
        <v>168</v>
      </c>
      <c r="D5" s="2304"/>
      <c r="E5" s="2304"/>
      <c r="F5" s="2304"/>
      <c r="G5" s="118" t="s">
        <v>169</v>
      </c>
      <c r="H5" s="747" t="s">
        <v>170</v>
      </c>
      <c r="I5" s="120" t="s">
        <v>171</v>
      </c>
      <c r="J5" s="120" t="s">
        <v>170</v>
      </c>
      <c r="K5" s="120" t="s">
        <v>171</v>
      </c>
      <c r="L5" s="394" t="s">
        <v>170</v>
      </c>
      <c r="M5" s="120" t="s">
        <v>171</v>
      </c>
      <c r="N5" s="1229" t="s">
        <v>171</v>
      </c>
    </row>
    <row r="6" spans="1:15" ht="13.5" thickBot="1" x14ac:dyDescent="0.25">
      <c r="A6" s="1228"/>
      <c r="B6" s="114" t="s">
        <v>172</v>
      </c>
      <c r="C6" s="115" t="s">
        <v>173</v>
      </c>
      <c r="D6" s="2304"/>
      <c r="E6" s="2304"/>
      <c r="F6" s="2304"/>
      <c r="G6" s="121">
        <v>1</v>
      </c>
      <c r="H6" s="748">
        <v>-3</v>
      </c>
      <c r="I6" s="122">
        <v>-2</v>
      </c>
      <c r="J6" s="122">
        <v>-1</v>
      </c>
      <c r="K6" s="122">
        <v>-1</v>
      </c>
      <c r="L6" s="122">
        <v>0</v>
      </c>
      <c r="M6" s="122">
        <v>1</v>
      </c>
      <c r="N6" s="1230">
        <v>2</v>
      </c>
    </row>
    <row r="7" spans="1:15" ht="15" x14ac:dyDescent="0.25">
      <c r="A7" s="1234">
        <v>1</v>
      </c>
      <c r="B7" s="1236" t="s">
        <v>373</v>
      </c>
      <c r="C7" s="1237"/>
      <c r="D7" s="1238"/>
      <c r="E7" s="1239" t="s">
        <v>374</v>
      </c>
      <c r="F7" s="1240"/>
      <c r="G7" s="1241" t="e">
        <f>G11+G24+G44+#REF!+#REF!+#REF!+#REF!+#REF!</f>
        <v>#REF!</v>
      </c>
      <c r="H7" s="1482">
        <f>H8+H9+H10</f>
        <v>1411899</v>
      </c>
      <c r="I7" s="1242">
        <f>SUM(I8:I10)</f>
        <v>1410573.14</v>
      </c>
      <c r="J7" s="1243">
        <f>J8+J9+J10</f>
        <v>1629768</v>
      </c>
      <c r="K7" s="1243">
        <f>SUM(K8:K10)</f>
        <v>1685295</v>
      </c>
      <c r="L7" s="1244">
        <f>SUM(L8:L10)</f>
        <v>1924099</v>
      </c>
      <c r="M7" s="1243">
        <f>SUM(M8:M10)</f>
        <v>1289002</v>
      </c>
      <c r="N7" s="1790">
        <f>SUM(N8:N10)</f>
        <v>1288902</v>
      </c>
    </row>
    <row r="8" spans="1:15" x14ac:dyDescent="0.2">
      <c r="A8" s="1209">
        <f>A7+1</f>
        <v>2</v>
      </c>
      <c r="B8" s="1245" t="s">
        <v>175</v>
      </c>
      <c r="C8" s="674" t="s">
        <v>176</v>
      </c>
      <c r="D8" s="675"/>
      <c r="E8" s="676"/>
      <c r="F8" s="677"/>
      <c r="G8" s="678" t="e">
        <f>G12+#REF!+#REF!+#REF!+#REF!+#REF!+#REF!+#REF!</f>
        <v>#REF!</v>
      </c>
      <c r="H8" s="1483">
        <f>H12+H25+H45+H58</f>
        <v>1387736</v>
      </c>
      <c r="I8" s="1481">
        <f>SUM(I12,I25,I45)+I58</f>
        <v>1387736</v>
      </c>
      <c r="J8" s="1173">
        <f>J12+J25+J45+J58</f>
        <v>1629768</v>
      </c>
      <c r="K8" s="1173">
        <f>SUM(K12,K25,K45)+K58</f>
        <v>1685295</v>
      </c>
      <c r="L8" s="679">
        <f>SUM(L12,L25,L45,L58)</f>
        <v>1614099</v>
      </c>
      <c r="M8" s="1173">
        <f>SUM(M12,M25,M45,M58)</f>
        <v>1289002</v>
      </c>
      <c r="N8" s="1791">
        <f>SUM(N12,N25,N45,N58)</f>
        <v>1288902</v>
      </c>
    </row>
    <row r="9" spans="1:15" x14ac:dyDescent="0.2">
      <c r="A9" s="1209">
        <f>A8+1</f>
        <v>3</v>
      </c>
      <c r="B9" s="1245" t="s">
        <v>177</v>
      </c>
      <c r="C9" s="596" t="s">
        <v>178</v>
      </c>
      <c r="D9" s="597"/>
      <c r="E9" s="598"/>
      <c r="F9" s="599"/>
      <c r="G9" s="600" t="e">
        <f>G20+#REF!+#REF!+#REF!+#REF!</f>
        <v>#REF!</v>
      </c>
      <c r="H9" s="851">
        <f>H20+H40</f>
        <v>24163</v>
      </c>
      <c r="I9" s="739">
        <f>SUM(I20+I40)</f>
        <v>22837.14</v>
      </c>
      <c r="J9" s="601">
        <f>J20+J40</f>
        <v>0</v>
      </c>
      <c r="K9" s="609">
        <f>K20+K40</f>
        <v>0</v>
      </c>
      <c r="L9" s="601">
        <f>L20+L40</f>
        <v>310000</v>
      </c>
      <c r="M9" s="601">
        <f>M20+M40</f>
        <v>0</v>
      </c>
      <c r="N9" s="1231">
        <f>SUM(N20+N40)</f>
        <v>0</v>
      </c>
    </row>
    <row r="10" spans="1:15" ht="13.5" thickBot="1" x14ac:dyDescent="0.25">
      <c r="A10" s="1209">
        <f>A9+1</f>
        <v>4</v>
      </c>
      <c r="B10" s="1245"/>
      <c r="C10" s="819" t="s">
        <v>179</v>
      </c>
      <c r="D10" s="820"/>
      <c r="E10" s="821"/>
      <c r="F10" s="822"/>
      <c r="G10" s="823">
        <v>0</v>
      </c>
      <c r="H10" s="852">
        <v>0</v>
      </c>
      <c r="I10" s="824">
        <v>0</v>
      </c>
      <c r="J10" s="825">
        <v>0</v>
      </c>
      <c r="K10" s="1207">
        <v>0</v>
      </c>
      <c r="L10" s="826">
        <v>0</v>
      </c>
      <c r="M10" s="825">
        <v>0</v>
      </c>
      <c r="N10" s="1232">
        <v>0</v>
      </c>
    </row>
    <row r="11" spans="1:15" x14ac:dyDescent="0.2">
      <c r="A11" s="1209">
        <v>5</v>
      </c>
      <c r="B11" s="680">
        <v>1</v>
      </c>
      <c r="C11" s="661" t="s">
        <v>158</v>
      </c>
      <c r="D11" s="669"/>
      <c r="E11" s="669"/>
      <c r="F11" s="670"/>
      <c r="G11" s="662" t="e">
        <f>G13+G21</f>
        <v>#REF!</v>
      </c>
      <c r="H11" s="853">
        <f>H12+H20</f>
        <v>292692</v>
      </c>
      <c r="I11" s="663">
        <f>SUM(I12+I20)</f>
        <v>291366.14</v>
      </c>
      <c r="J11" s="611">
        <f>J12+J20</f>
        <v>369455</v>
      </c>
      <c r="K11" s="663">
        <f>SUM(K12+K20)</f>
        <v>342381</v>
      </c>
      <c r="L11" s="611">
        <f>SUM(L12+L20)</f>
        <v>342090</v>
      </c>
      <c r="M11" s="611">
        <f>SUM(M12+M20)</f>
        <v>346345</v>
      </c>
      <c r="N11" s="749">
        <f>SUM(N12+N20)</f>
        <v>346245</v>
      </c>
    </row>
    <row r="12" spans="1:15" x14ac:dyDescent="0.2">
      <c r="A12" s="1209">
        <f t="shared" ref="A12:A19" si="0">A11+1</f>
        <v>6</v>
      </c>
      <c r="B12" s="1246"/>
      <c r="C12" s="151"/>
      <c r="D12" s="132" t="s">
        <v>176</v>
      </c>
      <c r="E12" s="152"/>
      <c r="F12" s="152"/>
      <c r="G12" s="657">
        <f t="shared" ref="G12:N12" si="1">G13</f>
        <v>11493.3</v>
      </c>
      <c r="H12" s="573">
        <f>H13</f>
        <v>289409</v>
      </c>
      <c r="I12" s="682">
        <f t="shared" si="1"/>
        <v>289409</v>
      </c>
      <c r="J12" s="683">
        <f>J13</f>
        <v>369455</v>
      </c>
      <c r="K12" s="682">
        <f t="shared" si="1"/>
        <v>342381</v>
      </c>
      <c r="L12" s="683">
        <f t="shared" si="1"/>
        <v>342090</v>
      </c>
      <c r="M12" s="683">
        <f t="shared" si="1"/>
        <v>346345</v>
      </c>
      <c r="N12" s="750">
        <f t="shared" si="1"/>
        <v>346245</v>
      </c>
    </row>
    <row r="13" spans="1:15" x14ac:dyDescent="0.2">
      <c r="A13" s="1209">
        <f t="shared" si="0"/>
        <v>7</v>
      </c>
      <c r="B13" s="1247"/>
      <c r="C13" s="273" t="s">
        <v>375</v>
      </c>
      <c r="D13" s="646" t="s">
        <v>376</v>
      </c>
      <c r="E13" s="647"/>
      <c r="F13" s="648"/>
      <c r="G13" s="633">
        <f t="shared" ref="G13:N13" si="2">SUM(G14:G19)</f>
        <v>11493.3</v>
      </c>
      <c r="H13" s="578">
        <f>SUM(H14:H19)</f>
        <v>289409</v>
      </c>
      <c r="I13" s="619">
        <f t="shared" si="2"/>
        <v>289409</v>
      </c>
      <c r="J13" s="578">
        <f>SUM(J14:J19)</f>
        <v>369455</v>
      </c>
      <c r="K13" s="619">
        <f>SUM(K14:K19)</f>
        <v>342381</v>
      </c>
      <c r="L13" s="578">
        <f>SUM(L14:L19)</f>
        <v>342090</v>
      </c>
      <c r="M13" s="578">
        <f t="shared" si="2"/>
        <v>346345</v>
      </c>
      <c r="N13" s="751">
        <f t="shared" si="2"/>
        <v>346245</v>
      </c>
    </row>
    <row r="14" spans="1:15" x14ac:dyDescent="0.2">
      <c r="A14" s="1209">
        <f t="shared" si="0"/>
        <v>8</v>
      </c>
      <c r="B14" s="1247"/>
      <c r="C14" s="212" t="s">
        <v>377</v>
      </c>
      <c r="D14" s="623" t="s">
        <v>210</v>
      </c>
      <c r="E14" s="588" t="s">
        <v>378</v>
      </c>
      <c r="F14" s="630"/>
      <c r="G14" s="173">
        <f>ROUND(M14/30.126,1)</f>
        <v>7615.2</v>
      </c>
      <c r="H14" s="576">
        <f>výdavky!D399+výdavky!D401+výdavky!D400</f>
        <v>202526</v>
      </c>
      <c r="I14" s="277">
        <f>výdavky!D399+výdavky!D401+výdavky!D400</f>
        <v>202526</v>
      </c>
      <c r="J14" s="576">
        <f>výdavky!F399+výdavky!F401+výdavky!F400</f>
        <v>245285</v>
      </c>
      <c r="K14" s="277">
        <f>výdavky!G399+výdavky!G401+výdavky!G400</f>
        <v>222870</v>
      </c>
      <c r="L14" s="576">
        <f>výdavky!H399+výdavky!H401++výdavky!H400+výdavky!H402</f>
        <v>232670</v>
      </c>
      <c r="M14" s="576">
        <f>výdavky!I399+výdavky!I401+výdavky!I400</f>
        <v>229415</v>
      </c>
      <c r="N14" s="752">
        <f>výdavky!J399+výdavky!J401+výdavky!J400</f>
        <v>229415</v>
      </c>
    </row>
    <row r="15" spans="1:15" x14ac:dyDescent="0.2">
      <c r="A15" s="1209">
        <f t="shared" si="0"/>
        <v>9</v>
      </c>
      <c r="B15" s="1247"/>
      <c r="C15" s="212" t="s">
        <v>379</v>
      </c>
      <c r="D15" s="623" t="s">
        <v>212</v>
      </c>
      <c r="E15" s="588" t="s">
        <v>356</v>
      </c>
      <c r="F15" s="630"/>
      <c r="G15" s="173">
        <f>ROUND(M15/30.126,1)</f>
        <v>1528.6</v>
      </c>
      <c r="H15" s="576">
        <f>výdavky!D404-výdavky!D430</f>
        <v>29511</v>
      </c>
      <c r="I15" s="277">
        <f>výdavky!D404-výdavky!D430</f>
        <v>29511</v>
      </c>
      <c r="J15" s="576">
        <f>výdavky!F404</f>
        <v>67450</v>
      </c>
      <c r="K15" s="277">
        <f>výdavky!G404</f>
        <v>66929</v>
      </c>
      <c r="L15" s="576">
        <f>výdavky!H404-výdavky!H428</f>
        <v>43300</v>
      </c>
      <c r="M15" s="576">
        <f>výdavky!I404-výdavky!I428</f>
        <v>46050</v>
      </c>
      <c r="N15" s="752">
        <f>výdavky!J404-výdavky!J428</f>
        <v>46050</v>
      </c>
    </row>
    <row r="16" spans="1:15" x14ac:dyDescent="0.2">
      <c r="A16" s="1209">
        <v>10</v>
      </c>
      <c r="B16" s="1247"/>
      <c r="C16" s="212" t="s">
        <v>379</v>
      </c>
      <c r="D16" s="623" t="s">
        <v>223</v>
      </c>
      <c r="E16" s="655" t="s">
        <v>772</v>
      </c>
      <c r="F16" s="656"/>
      <c r="G16" s="638"/>
      <c r="H16" s="612">
        <f>výdavky!D433</f>
        <v>0</v>
      </c>
      <c r="I16" s="606">
        <f>výdavky!D433</f>
        <v>0</v>
      </c>
      <c r="J16" s="612">
        <v>0</v>
      </c>
      <c r="K16" s="606">
        <f>výdavky!G433</f>
        <v>0</v>
      </c>
      <c r="L16" s="612">
        <v>0</v>
      </c>
      <c r="M16" s="612">
        <v>0</v>
      </c>
      <c r="N16" s="753">
        <v>0</v>
      </c>
    </row>
    <row r="17" spans="1:14" x14ac:dyDescent="0.2">
      <c r="A17" s="1209">
        <v>11</v>
      </c>
      <c r="B17" s="1247"/>
      <c r="C17" s="212" t="s">
        <v>193</v>
      </c>
      <c r="D17" s="623" t="s">
        <v>225</v>
      </c>
      <c r="E17" s="588" t="s">
        <v>737</v>
      </c>
      <c r="F17" s="630"/>
      <c r="G17" s="173">
        <f>ROUND(M17/30.126,1)</f>
        <v>2349.5</v>
      </c>
      <c r="H17" s="576">
        <f>výdavky!D434</f>
        <v>45162</v>
      </c>
      <c r="I17" s="277">
        <f>výdavky!D434</f>
        <v>45162</v>
      </c>
      <c r="J17" s="576">
        <f>výdavky!F434-výdavky!F429-výdavky!F430</f>
        <v>36420</v>
      </c>
      <c r="K17" s="277">
        <f>výdavky!G434</f>
        <v>52582</v>
      </c>
      <c r="L17" s="576">
        <f>výdavky!H434</f>
        <v>66020</v>
      </c>
      <c r="M17" s="576">
        <f>výdavky!I434</f>
        <v>70780</v>
      </c>
      <c r="N17" s="752">
        <f>výdavky!J434</f>
        <v>70680</v>
      </c>
    </row>
    <row r="18" spans="1:14" x14ac:dyDescent="0.2">
      <c r="A18" s="1209">
        <f t="shared" si="0"/>
        <v>12</v>
      </c>
      <c r="B18" s="1247"/>
      <c r="C18" s="212" t="s">
        <v>364</v>
      </c>
      <c r="D18" s="623" t="s">
        <v>227</v>
      </c>
      <c r="E18" s="655" t="s">
        <v>381</v>
      </c>
      <c r="F18" s="654"/>
      <c r="G18" s="636"/>
      <c r="H18" s="854">
        <f>výdavky!D429</f>
        <v>0</v>
      </c>
      <c r="I18" s="397">
        <f>výdavky!D429</f>
        <v>0</v>
      </c>
      <c r="J18" s="613">
        <f>výdavky!F429</f>
        <v>300</v>
      </c>
      <c r="K18" s="397">
        <f>výdavky!G429</f>
        <v>0</v>
      </c>
      <c r="L18" s="613">
        <f>výdavky!H429</f>
        <v>100</v>
      </c>
      <c r="M18" s="613">
        <f>výdavky!I429</f>
        <v>100</v>
      </c>
      <c r="N18" s="754">
        <f>výdavky!J429</f>
        <v>100</v>
      </c>
    </row>
    <row r="19" spans="1:14" x14ac:dyDescent="0.2">
      <c r="A19" s="1209">
        <f t="shared" si="0"/>
        <v>13</v>
      </c>
      <c r="B19" s="1247"/>
      <c r="C19" s="212" t="s">
        <v>364</v>
      </c>
      <c r="D19" s="623" t="s">
        <v>231</v>
      </c>
      <c r="E19" s="655" t="s">
        <v>382</v>
      </c>
      <c r="F19" s="654"/>
      <c r="G19" s="636"/>
      <c r="H19" s="854">
        <f>výdavky!D430</f>
        <v>12210</v>
      </c>
      <c r="I19" s="397">
        <f>výdavky!D430</f>
        <v>12210</v>
      </c>
      <c r="J19" s="613">
        <f>výdavky!F430</f>
        <v>20000</v>
      </c>
      <c r="K19" s="397">
        <v>0</v>
      </c>
      <c r="L19" s="613">
        <f>výdavky!H430</f>
        <v>0</v>
      </c>
      <c r="M19" s="613">
        <f>výdavky!I430</f>
        <v>0</v>
      </c>
      <c r="N19" s="754">
        <f>výdavky!J430</f>
        <v>0</v>
      </c>
    </row>
    <row r="20" spans="1:14" x14ac:dyDescent="0.2">
      <c r="A20" s="1209">
        <v>14</v>
      </c>
      <c r="B20" s="1247"/>
      <c r="C20" s="212"/>
      <c r="D20" s="598" t="s">
        <v>178</v>
      </c>
      <c r="E20" s="602"/>
      <c r="F20" s="660"/>
      <c r="G20" s="658" t="e">
        <f t="shared" ref="G20:N20" si="3">G21</f>
        <v>#REF!</v>
      </c>
      <c r="H20" s="614">
        <f>H21</f>
        <v>3283</v>
      </c>
      <c r="I20" s="620">
        <f t="shared" si="3"/>
        <v>1957.14</v>
      </c>
      <c r="J20" s="614">
        <f>J21</f>
        <v>0</v>
      </c>
      <c r="K20" s="620">
        <f t="shared" si="3"/>
        <v>0</v>
      </c>
      <c r="L20" s="614">
        <f t="shared" si="3"/>
        <v>0</v>
      </c>
      <c r="M20" s="614">
        <f t="shared" si="3"/>
        <v>0</v>
      </c>
      <c r="N20" s="755">
        <f t="shared" si="3"/>
        <v>0</v>
      </c>
    </row>
    <row r="21" spans="1:14" s="189" customFormat="1" x14ac:dyDescent="0.2">
      <c r="A21" s="1209">
        <f>A20+1</f>
        <v>15</v>
      </c>
      <c r="B21" s="1247"/>
      <c r="C21" s="273" t="s">
        <v>375</v>
      </c>
      <c r="D21" s="646" t="s">
        <v>376</v>
      </c>
      <c r="E21" s="647"/>
      <c r="F21" s="648"/>
      <c r="G21" s="633" t="e">
        <f>SUM(#REF!)</f>
        <v>#REF!</v>
      </c>
      <c r="H21" s="578">
        <f>H22+H23</f>
        <v>3283</v>
      </c>
      <c r="I21" s="619">
        <f>SUM(I22:I22)+I23</f>
        <v>1957.14</v>
      </c>
      <c r="J21" s="578">
        <f>J22+J23</f>
        <v>0</v>
      </c>
      <c r="K21" s="619">
        <f>SUM(K22:K22)+K23</f>
        <v>0</v>
      </c>
      <c r="L21" s="578">
        <f>SUM(L22:L22)</f>
        <v>0</v>
      </c>
      <c r="M21" s="578">
        <f>SUM(M22:M22)+M23</f>
        <v>0</v>
      </c>
      <c r="N21" s="751">
        <f>SUM(N22:N22)+N23</f>
        <v>0</v>
      </c>
    </row>
    <row r="22" spans="1:14" s="189" customFormat="1" x14ac:dyDescent="0.2">
      <c r="A22" s="1209">
        <f>A21+1</f>
        <v>16</v>
      </c>
      <c r="B22" s="1248"/>
      <c r="C22" s="632" t="s">
        <v>286</v>
      </c>
      <c r="D22" s="624" t="s">
        <v>233</v>
      </c>
      <c r="E22" s="671" t="s">
        <v>383</v>
      </c>
      <c r="F22" s="672"/>
      <c r="G22" s="637"/>
      <c r="H22" s="1493">
        <f>výdavky!D767</f>
        <v>0</v>
      </c>
      <c r="I22" s="1494">
        <f>výdavky!E767</f>
        <v>0</v>
      </c>
      <c r="J22" s="1493">
        <f>výdavky!F767</f>
        <v>0</v>
      </c>
      <c r="K22" s="381">
        <f>výdavky!G767</f>
        <v>0</v>
      </c>
      <c r="L22" s="615">
        <f>výdavky!H767</f>
        <v>0</v>
      </c>
      <c r="M22" s="615">
        <f>výdavky!I767</f>
        <v>0</v>
      </c>
      <c r="N22" s="756">
        <f>výdavky!J76</f>
        <v>0</v>
      </c>
    </row>
    <row r="23" spans="1:14" s="189" customFormat="1" x14ac:dyDescent="0.2">
      <c r="A23" s="1209">
        <v>17</v>
      </c>
      <c r="B23" s="1209"/>
      <c r="C23" s="632" t="s">
        <v>268</v>
      </c>
      <c r="D23" s="1490" t="s">
        <v>261</v>
      </c>
      <c r="E23" s="671" t="s">
        <v>397</v>
      </c>
      <c r="F23" s="672"/>
      <c r="G23" s="1491"/>
      <c r="H23" s="874">
        <f>výdavky!D774</f>
        <v>3283</v>
      </c>
      <c r="I23" s="378">
        <f>výdavky!E774</f>
        <v>1957.14</v>
      </c>
      <c r="J23" s="874">
        <f>výdavky!F774</f>
        <v>0</v>
      </c>
      <c r="K23" s="745">
        <f>výdavky!G774</f>
        <v>0</v>
      </c>
      <c r="L23" s="874">
        <f>výdavky!H774</f>
        <v>0</v>
      </c>
      <c r="M23" s="874">
        <f>výdavky!I774</f>
        <v>0</v>
      </c>
      <c r="N23" s="1492">
        <f>výdavky!J774</f>
        <v>0</v>
      </c>
    </row>
    <row r="24" spans="1:14" x14ac:dyDescent="0.2">
      <c r="A24" s="1209">
        <v>18</v>
      </c>
      <c r="B24" s="681">
        <v>2</v>
      </c>
      <c r="C24" s="649" t="s">
        <v>156</v>
      </c>
      <c r="D24" s="650"/>
      <c r="E24" s="650"/>
      <c r="F24" s="651"/>
      <c r="G24" s="634" t="e">
        <f>#REF!+#REF!+#REF!+#REF!+#REF!+#REF!+#REF!+#REF!</f>
        <v>#REF!</v>
      </c>
      <c r="H24" s="1206">
        <f t="shared" ref="H24:N24" si="4">H25+H40</f>
        <v>1006944</v>
      </c>
      <c r="I24" s="1489">
        <f t="shared" si="4"/>
        <v>1006944</v>
      </c>
      <c r="J24" s="1206">
        <f t="shared" si="4"/>
        <v>1143713</v>
      </c>
      <c r="K24" s="1484">
        <f t="shared" si="4"/>
        <v>1187826</v>
      </c>
      <c r="L24" s="572">
        <f t="shared" si="4"/>
        <v>1468824</v>
      </c>
      <c r="M24" s="1091">
        <f t="shared" si="4"/>
        <v>820972</v>
      </c>
      <c r="N24" s="757">
        <f t="shared" si="4"/>
        <v>820972</v>
      </c>
    </row>
    <row r="25" spans="1:14" x14ac:dyDescent="0.2">
      <c r="A25" s="1209">
        <f>A24+1</f>
        <v>19</v>
      </c>
      <c r="B25" s="1249"/>
      <c r="C25" s="673"/>
      <c r="D25" s="132" t="s">
        <v>176</v>
      </c>
      <c r="E25" s="152"/>
      <c r="F25" s="152"/>
      <c r="G25" s="657">
        <f>G38</f>
        <v>0</v>
      </c>
      <c r="H25" s="573">
        <f>H26</f>
        <v>986064</v>
      </c>
      <c r="I25" s="271">
        <f>SUM(I26)</f>
        <v>986064</v>
      </c>
      <c r="J25" s="573">
        <f>J26</f>
        <v>1143713</v>
      </c>
      <c r="K25" s="271">
        <f>SUM(K26)</f>
        <v>1187826</v>
      </c>
      <c r="L25" s="573">
        <f>SUM(L26)</f>
        <v>1158824</v>
      </c>
      <c r="M25" s="573">
        <f>SUM(M26)</f>
        <v>820972</v>
      </c>
      <c r="N25" s="758">
        <f>SUM(N26)</f>
        <v>820972</v>
      </c>
    </row>
    <row r="26" spans="1:14" x14ac:dyDescent="0.2">
      <c r="A26" s="1209">
        <v>20</v>
      </c>
      <c r="B26" s="1249"/>
      <c r="C26" s="273" t="s">
        <v>384</v>
      </c>
      <c r="D26" s="646" t="s">
        <v>385</v>
      </c>
      <c r="E26" s="647"/>
      <c r="F26" s="648"/>
      <c r="G26" s="633">
        <f>G27</f>
        <v>0</v>
      </c>
      <c r="H26" s="578">
        <f>SUM(H27:H39)-H31</f>
        <v>986064</v>
      </c>
      <c r="I26" s="619">
        <f>I27+I28+I31</f>
        <v>986064</v>
      </c>
      <c r="J26" s="578">
        <f>J27+J28+J31</f>
        <v>1143713</v>
      </c>
      <c r="K26" s="619">
        <f>K27+K28+K31+K29</f>
        <v>1187826</v>
      </c>
      <c r="L26" s="578">
        <f>L27+L28+L29+L30+L31</f>
        <v>1158824</v>
      </c>
      <c r="M26" s="578">
        <f>SUM(M27:M31)</f>
        <v>820972</v>
      </c>
      <c r="N26" s="751">
        <f>SUM(N27:N31)</f>
        <v>820972</v>
      </c>
    </row>
    <row r="27" spans="1:14" x14ac:dyDescent="0.2">
      <c r="A27" s="1209">
        <v>21</v>
      </c>
      <c r="B27" s="1249"/>
      <c r="C27" s="212" t="s">
        <v>377</v>
      </c>
      <c r="D27" s="644">
        <v>1</v>
      </c>
      <c r="E27" s="643" t="s">
        <v>378</v>
      </c>
      <c r="F27" s="645"/>
      <c r="G27" s="399"/>
      <c r="H27" s="855">
        <f>výdavky!D455+výdavky!D523</f>
        <v>872863</v>
      </c>
      <c r="I27" s="621">
        <f>výdavky!D455+výdavky!D523</f>
        <v>872863</v>
      </c>
      <c r="J27" s="616">
        <f>výdavky!F455+výdavky!F523</f>
        <v>1023623</v>
      </c>
      <c r="K27" s="621">
        <f>výdavky!G455+výdavky!G523+výdavky!G469+výdavky!G537</f>
        <v>1039935</v>
      </c>
      <c r="L27" s="616">
        <f>výdavky!H455+výdavky!H523</f>
        <v>1059228</v>
      </c>
      <c r="M27" s="616">
        <f>výdavky!I455+výdavky!I523</f>
        <v>734752</v>
      </c>
      <c r="N27" s="616">
        <f>výdavky!J455+výdavky!J523</f>
        <v>734752</v>
      </c>
    </row>
    <row r="28" spans="1:14" x14ac:dyDescent="0.2">
      <c r="A28" s="1209">
        <v>22</v>
      </c>
      <c r="B28" s="1249"/>
      <c r="C28" s="212" t="s">
        <v>379</v>
      </c>
      <c r="D28" s="301">
        <v>2</v>
      </c>
      <c r="E28" s="398" t="s">
        <v>356</v>
      </c>
      <c r="F28" s="400"/>
      <c r="G28" s="401"/>
      <c r="H28" s="855">
        <f>výdavky!D470+výdavky!D538-výdavky!D498</f>
        <v>71224</v>
      </c>
      <c r="I28" s="621">
        <f>výdavky!D470+výdavky!D538-výdavky!D498</f>
        <v>71224</v>
      </c>
      <c r="J28" s="616">
        <f>výdavky!F470+výdavky!F538-výdavky!F498</f>
        <v>89374</v>
      </c>
      <c r="K28" s="621">
        <f>výdavky!G470+výdavky!G538-výdavky!G498</f>
        <v>117261</v>
      </c>
      <c r="L28" s="616">
        <f>výdavky!H470+výdavky!H538-výdavky!H498</f>
        <v>71663</v>
      </c>
      <c r="M28" s="616">
        <f>výdavky!I538+výdavky!I470-výdavky!I498</f>
        <v>62864</v>
      </c>
      <c r="N28" s="616">
        <f>výdavky!J470+výdavky!J538-výdavky!J498</f>
        <v>62864</v>
      </c>
    </row>
    <row r="29" spans="1:14" x14ac:dyDescent="0.2">
      <c r="A29" s="1209">
        <v>23</v>
      </c>
      <c r="B29" s="1249"/>
      <c r="C29" s="212" t="s">
        <v>221</v>
      </c>
      <c r="D29" s="301">
        <v>3</v>
      </c>
      <c r="E29" s="297" t="s">
        <v>386</v>
      </c>
      <c r="F29" s="402"/>
      <c r="G29" s="403"/>
      <c r="H29" s="856">
        <f>výdavky!D580</f>
        <v>0</v>
      </c>
      <c r="I29" s="622">
        <v>0</v>
      </c>
      <c r="J29" s="617">
        <v>0</v>
      </c>
      <c r="K29" s="622">
        <f>výdavky!G580</f>
        <v>0</v>
      </c>
      <c r="L29" s="617">
        <v>0</v>
      </c>
      <c r="M29" s="617">
        <v>0</v>
      </c>
      <c r="N29" s="617">
        <v>0</v>
      </c>
    </row>
    <row r="30" spans="1:14" x14ac:dyDescent="0.2">
      <c r="A30" s="1209">
        <v>24</v>
      </c>
      <c r="B30" s="1249"/>
      <c r="C30" s="212" t="s">
        <v>364</v>
      </c>
      <c r="D30" s="301">
        <v>4</v>
      </c>
      <c r="E30" s="297" t="s">
        <v>387</v>
      </c>
      <c r="F30" s="402"/>
      <c r="G30" s="403"/>
      <c r="H30" s="856">
        <v>0</v>
      </c>
      <c r="I30" s="622">
        <v>0</v>
      </c>
      <c r="J30" s="617">
        <v>0</v>
      </c>
      <c r="K30" s="622">
        <v>0</v>
      </c>
      <c r="L30" s="617">
        <v>0</v>
      </c>
      <c r="M30" s="617">
        <v>0</v>
      </c>
      <c r="N30" s="617">
        <v>0</v>
      </c>
    </row>
    <row r="31" spans="1:14" x14ac:dyDescent="0.2">
      <c r="A31" s="1209">
        <v>25</v>
      </c>
      <c r="B31" s="1249"/>
      <c r="C31" s="212" t="s">
        <v>364</v>
      </c>
      <c r="D31" s="301">
        <v>5</v>
      </c>
      <c r="E31" s="398" t="s">
        <v>735</v>
      </c>
      <c r="F31" s="400"/>
      <c r="G31" s="401"/>
      <c r="H31" s="855">
        <f>SUM(H32:H39)</f>
        <v>41977</v>
      </c>
      <c r="I31" s="621">
        <f>SUM(I32:I39)</f>
        <v>41977</v>
      </c>
      <c r="J31" s="616">
        <f t="shared" ref="J31:N31" si="5">SUM(J32:J39)</f>
        <v>30716</v>
      </c>
      <c r="K31" s="621">
        <f t="shared" si="5"/>
        <v>30630</v>
      </c>
      <c r="L31" s="616">
        <f t="shared" si="5"/>
        <v>27933</v>
      </c>
      <c r="M31" s="616">
        <f t="shared" si="5"/>
        <v>23356</v>
      </c>
      <c r="N31" s="616">
        <f t="shared" si="5"/>
        <v>23356</v>
      </c>
    </row>
    <row r="32" spans="1:14" x14ac:dyDescent="0.2">
      <c r="A32" s="1209">
        <v>26</v>
      </c>
      <c r="B32" s="1249"/>
      <c r="C32" s="212" t="s">
        <v>364</v>
      </c>
      <c r="D32" s="301">
        <v>6</v>
      </c>
      <c r="E32" s="1702" t="s">
        <v>388</v>
      </c>
      <c r="F32" s="400"/>
      <c r="G32" s="401"/>
      <c r="H32" s="1172">
        <f>výdavky!D499+výdavky!D567</f>
        <v>3647</v>
      </c>
      <c r="I32" s="1208">
        <f>výdavky!D499+výdavky!D567</f>
        <v>3647</v>
      </c>
      <c r="J32" s="1172">
        <f>výdavky!F499+výdavky!F567</f>
        <v>4441</v>
      </c>
      <c r="K32" s="1208">
        <f>výdavky!G499+výdavky!G567</f>
        <v>3939</v>
      </c>
      <c r="L32" s="1172">
        <f>výdavky!H499+výdavky!H567</f>
        <v>3440</v>
      </c>
      <c r="M32" s="1172">
        <f>výdavky!I499+výdavky!I567</f>
        <v>2691</v>
      </c>
      <c r="N32" s="1172">
        <f>výdavky!J499+výdavky!J567</f>
        <v>2691</v>
      </c>
    </row>
    <row r="33" spans="1:14" x14ac:dyDescent="0.2">
      <c r="A33" s="1209">
        <v>27</v>
      </c>
      <c r="B33" s="1249"/>
      <c r="C33" s="212" t="s">
        <v>364</v>
      </c>
      <c r="D33" s="301">
        <v>7</v>
      </c>
      <c r="E33" s="1702" t="s">
        <v>389</v>
      </c>
      <c r="F33" s="400"/>
      <c r="G33" s="401"/>
      <c r="H33" s="1172">
        <f>výdavky!D516+výdavky!D579</f>
        <v>600</v>
      </c>
      <c r="I33" s="1208">
        <f>výdavky!D579+výdavky!D516</f>
        <v>600</v>
      </c>
      <c r="J33" s="1172">
        <f>výdavky!F516+výdavky!F579</f>
        <v>3300</v>
      </c>
      <c r="K33" s="1208">
        <f>výdavky!G516+výdavky!G579</f>
        <v>3150</v>
      </c>
      <c r="L33" s="1172">
        <f>výdavky!H516+výdavky!H579</f>
        <v>3150</v>
      </c>
      <c r="M33" s="1172">
        <f>výdavky!I516+výdavky!I579</f>
        <v>2700</v>
      </c>
      <c r="N33" s="1172">
        <f>výdavky!J516+výdavky!J579</f>
        <v>2700</v>
      </c>
    </row>
    <row r="34" spans="1:14" x14ac:dyDescent="0.2">
      <c r="A34" s="1209">
        <v>28</v>
      </c>
      <c r="B34" s="1249"/>
      <c r="C34" s="212" t="s">
        <v>364</v>
      </c>
      <c r="D34" s="301">
        <v>8</v>
      </c>
      <c r="E34" s="1702" t="s">
        <v>390</v>
      </c>
      <c r="F34" s="400"/>
      <c r="G34" s="401"/>
      <c r="H34" s="1172">
        <f>výdavky!D500+výdavky!D568</f>
        <v>548</v>
      </c>
      <c r="I34" s="1208">
        <f>výdavky!D500+výdavky!D568</f>
        <v>548</v>
      </c>
      <c r="J34" s="1172">
        <f>výdavky!F500+výdavky!F568</f>
        <v>365</v>
      </c>
      <c r="K34" s="1208">
        <f>výdavky!G568+výdavky!G500</f>
        <v>266</v>
      </c>
      <c r="L34" s="1172">
        <f>výdavky!H500+výdavky!H568</f>
        <v>266</v>
      </c>
      <c r="M34" s="1172">
        <f>výdavky!I500+výdavky!I568</f>
        <v>266</v>
      </c>
      <c r="N34" s="1172">
        <f>výdavky!J500+výdavky!J568</f>
        <v>266</v>
      </c>
    </row>
    <row r="35" spans="1:14" x14ac:dyDescent="0.2">
      <c r="A35" s="1209">
        <v>29</v>
      </c>
      <c r="B35" s="1249"/>
      <c r="C35" s="212" t="s">
        <v>364</v>
      </c>
      <c r="D35" s="301">
        <v>9</v>
      </c>
      <c r="E35" s="1703" t="s">
        <v>926</v>
      </c>
      <c r="F35" s="639"/>
      <c r="G35" s="403"/>
      <c r="H35" s="1788">
        <f>výdavky!D519+výdavky!D569</f>
        <v>0</v>
      </c>
      <c r="I35" s="1497">
        <f>výdavky!D569+výdavky!D505</f>
        <v>0</v>
      </c>
      <c r="J35" s="1496">
        <f>výdavky!F569+výdavky!F505</f>
        <v>0</v>
      </c>
      <c r="K35" s="1497">
        <v>0</v>
      </c>
      <c r="L35" s="1496">
        <f>výdavky!H505+výdavky!H569</f>
        <v>0</v>
      </c>
      <c r="M35" s="1496">
        <v>0</v>
      </c>
      <c r="N35" s="1496">
        <v>0</v>
      </c>
    </row>
    <row r="36" spans="1:14" x14ac:dyDescent="0.2">
      <c r="A36" s="1209">
        <v>30</v>
      </c>
      <c r="B36" s="1249"/>
      <c r="C36" s="194" t="s">
        <v>364</v>
      </c>
      <c r="D36" s="391" t="s">
        <v>265</v>
      </c>
      <c r="E36" s="1704" t="s">
        <v>391</v>
      </c>
      <c r="F36" s="654"/>
      <c r="G36" s="636"/>
      <c r="H36" s="1789">
        <f>výdavky!D510+výdavky!D573</f>
        <v>8276</v>
      </c>
      <c r="I36" s="1208">
        <f>výdavky!D510+výdavky!D573</f>
        <v>8276</v>
      </c>
      <c r="J36" s="1172">
        <f>výdavky!F510+výdavky!F573</f>
        <v>9032</v>
      </c>
      <c r="K36" s="1208">
        <f>výdavky!G510+výdavky!G573</f>
        <v>7786</v>
      </c>
      <c r="L36" s="1172">
        <f>výdavky!H510+výdavky!H573</f>
        <v>8138</v>
      </c>
      <c r="M36" s="1172">
        <f>výdavky!I510+výdavky!I573</f>
        <v>7360</v>
      </c>
      <c r="N36" s="1172">
        <f>výdavky!J510+výdavky!J573</f>
        <v>7360</v>
      </c>
    </row>
    <row r="37" spans="1:14" x14ac:dyDescent="0.2">
      <c r="A37" s="1209">
        <v>31</v>
      </c>
      <c r="B37" s="1249"/>
      <c r="C37" s="194" t="s">
        <v>364</v>
      </c>
      <c r="D37" s="391" t="s">
        <v>355</v>
      </c>
      <c r="E37" s="1704" t="s">
        <v>658</v>
      </c>
      <c r="F37" s="654"/>
      <c r="G37" s="636"/>
      <c r="H37" s="1789">
        <f>výdavky!D515+výdavky!D578</f>
        <v>9126</v>
      </c>
      <c r="I37" s="1208">
        <f>výdavky!D578+výdavky!D515</f>
        <v>9126</v>
      </c>
      <c r="J37" s="1172">
        <f>výdavky!F515+výdavky!F578</f>
        <v>6578</v>
      </c>
      <c r="K37" s="1208">
        <f>výdavky!G578+výdavky!G515</f>
        <v>6288</v>
      </c>
      <c r="L37" s="1172">
        <f>výdavky!H515+výdavky!H578</f>
        <v>6289</v>
      </c>
      <c r="M37" s="1172">
        <f>výdavky!I515+výdavky!I578</f>
        <v>5339</v>
      </c>
      <c r="N37" s="1172">
        <f>výdavky!J515+výdavky!J578</f>
        <v>5339</v>
      </c>
    </row>
    <row r="38" spans="1:14" x14ac:dyDescent="0.2">
      <c r="A38" s="1209">
        <v>32</v>
      </c>
      <c r="B38" s="1249"/>
      <c r="C38" s="194" t="s">
        <v>364</v>
      </c>
      <c r="D38" s="631" t="s">
        <v>361</v>
      </c>
      <c r="E38" s="1705" t="s">
        <v>736</v>
      </c>
      <c r="F38" s="659"/>
      <c r="G38" s="636"/>
      <c r="H38" s="1789">
        <f>výdavky!D506+výdavky!D571</f>
        <v>5400</v>
      </c>
      <c r="I38" s="1208">
        <f>výdavky!D506+výdavky!D571</f>
        <v>5400</v>
      </c>
      <c r="J38" s="1172">
        <f>výdavky!F506+výdavky!F571</f>
        <v>7000</v>
      </c>
      <c r="K38" s="1208">
        <f>výdavky!G506+výdavky!G571</f>
        <v>6650</v>
      </c>
      <c r="L38" s="1172">
        <f>výdavky!H506+výdavky!H571</f>
        <v>6650</v>
      </c>
      <c r="M38" s="1172">
        <f>výdavky!I506+výdavky!I571</f>
        <v>5000</v>
      </c>
      <c r="N38" s="1172">
        <f>výdavky!J506+výdavky!J571</f>
        <v>5000</v>
      </c>
    </row>
    <row r="39" spans="1:14" x14ac:dyDescent="0.2">
      <c r="A39" s="1209">
        <v>33</v>
      </c>
      <c r="B39" s="1249"/>
      <c r="C39" s="212" t="s">
        <v>364</v>
      </c>
      <c r="D39" s="623" t="s">
        <v>657</v>
      </c>
      <c r="E39" s="1706" t="s">
        <v>964</v>
      </c>
      <c r="F39" s="654"/>
      <c r="G39" s="404"/>
      <c r="H39" s="1208">
        <f>výdavky!D501+výdavky!D502+výdavky!D503+výdavky!D505+výdavky!D570</f>
        <v>14380</v>
      </c>
      <c r="I39" s="1208">
        <f>výdavky!D501+výdavky!D502+výdavky!D503+výdavky!D570+výdavky!D580</f>
        <v>14380</v>
      </c>
      <c r="J39" s="1172">
        <f>výdavky!F570+výdavky!F501+výdavky!F502+výdavky!F503</f>
        <v>0</v>
      </c>
      <c r="K39" s="1208">
        <f>výdavky!G501+výdavky!G502+výdavky!G503+výdavky!G504+výdavky!G505+výdavky!G520+výdavky!G521</f>
        <v>2551</v>
      </c>
      <c r="L39" s="1172">
        <f>výdavky!H570+výdavky!H501+výdavky!H502+výdavky!H503</f>
        <v>0</v>
      </c>
      <c r="M39" s="1172">
        <f>výdavky!I570+výdavky!I501+výdavky!I502+výdavky!I503</f>
        <v>0</v>
      </c>
      <c r="N39" s="1172">
        <f>výdavky!J570+výdavky!J501+výdavky!J502+výdavky!J503</f>
        <v>0</v>
      </c>
    </row>
    <row r="40" spans="1:14" x14ac:dyDescent="0.2">
      <c r="A40" s="1209">
        <v>34</v>
      </c>
      <c r="B40" s="1247"/>
      <c r="C40" s="212"/>
      <c r="D40" s="598" t="s">
        <v>178</v>
      </c>
      <c r="E40" s="602"/>
      <c r="F40" s="660"/>
      <c r="G40" s="658">
        <f t="shared" ref="G40:N41" si="6">G41</f>
        <v>0</v>
      </c>
      <c r="H40" s="614">
        <f>H41</f>
        <v>20880</v>
      </c>
      <c r="I40" s="620">
        <f t="shared" si="6"/>
        <v>20880</v>
      </c>
      <c r="J40" s="614">
        <f>J41</f>
        <v>0</v>
      </c>
      <c r="K40" s="620">
        <f t="shared" si="6"/>
        <v>0</v>
      </c>
      <c r="L40" s="614">
        <f t="shared" si="6"/>
        <v>310000</v>
      </c>
      <c r="M40" s="614">
        <f t="shared" si="6"/>
        <v>0</v>
      </c>
      <c r="N40" s="755">
        <f t="shared" si="6"/>
        <v>0</v>
      </c>
    </row>
    <row r="41" spans="1:14" x14ac:dyDescent="0.2">
      <c r="A41" s="1209">
        <f t="shared" ref="A41:A53" si="7">A40+1</f>
        <v>35</v>
      </c>
      <c r="B41" s="1247"/>
      <c r="C41" s="273" t="s">
        <v>384</v>
      </c>
      <c r="D41" s="646" t="s">
        <v>385</v>
      </c>
      <c r="E41" s="647"/>
      <c r="F41" s="648"/>
      <c r="G41" s="633">
        <f t="shared" si="6"/>
        <v>0</v>
      </c>
      <c r="H41" s="578">
        <f>H42+H43</f>
        <v>20880</v>
      </c>
      <c r="I41" s="619">
        <f t="shared" si="6"/>
        <v>20880</v>
      </c>
      <c r="J41" s="578">
        <f>J42+J43</f>
        <v>0</v>
      </c>
      <c r="K41" s="619">
        <f t="shared" si="6"/>
        <v>0</v>
      </c>
      <c r="L41" s="578">
        <f>L42+L43</f>
        <v>310000</v>
      </c>
      <c r="M41" s="578">
        <f t="shared" si="6"/>
        <v>0</v>
      </c>
      <c r="N41" s="751">
        <f t="shared" si="6"/>
        <v>0</v>
      </c>
    </row>
    <row r="42" spans="1:14" x14ac:dyDescent="0.2">
      <c r="A42" s="1209">
        <f t="shared" si="7"/>
        <v>36</v>
      </c>
      <c r="B42" s="1248"/>
      <c r="C42" s="194" t="s">
        <v>286</v>
      </c>
      <c r="D42" s="585" t="s">
        <v>774</v>
      </c>
      <c r="E42" s="652" t="s">
        <v>965</v>
      </c>
      <c r="F42" s="653"/>
      <c r="G42" s="635"/>
      <c r="H42" s="575">
        <f>výdavky!D775</f>
        <v>20880</v>
      </c>
      <c r="I42" s="296">
        <f>výdavky!D775</f>
        <v>20880</v>
      </c>
      <c r="J42" s="575">
        <f>výdavky!F774</f>
        <v>0</v>
      </c>
      <c r="K42" s="296">
        <f>výdavky!G777</f>
        <v>0</v>
      </c>
      <c r="L42" s="872">
        <f>výdavky!H777</f>
        <v>0</v>
      </c>
      <c r="M42" s="575">
        <f>výdavky!I775</f>
        <v>0</v>
      </c>
      <c r="N42" s="759">
        <f>výdavky!J775</f>
        <v>0</v>
      </c>
    </row>
    <row r="43" spans="1:14" x14ac:dyDescent="0.2">
      <c r="A43" s="1209">
        <f t="shared" si="7"/>
        <v>37</v>
      </c>
      <c r="B43" s="1248"/>
      <c r="C43" s="214" t="s">
        <v>286</v>
      </c>
      <c r="D43" s="631" t="s">
        <v>775</v>
      </c>
      <c r="E43" s="667" t="s">
        <v>925</v>
      </c>
      <c r="F43" s="668"/>
      <c r="G43" s="173"/>
      <c r="H43" s="576"/>
      <c r="I43" s="277">
        <v>0</v>
      </c>
      <c r="J43" s="576">
        <f>výdavky!F776</f>
        <v>0</v>
      </c>
      <c r="K43" s="277">
        <f>výdavky!G776</f>
        <v>0</v>
      </c>
      <c r="L43" s="575">
        <f>výdavky!H779</f>
        <v>310000</v>
      </c>
      <c r="M43" s="576">
        <v>0</v>
      </c>
      <c r="N43" s="752">
        <v>0</v>
      </c>
    </row>
    <row r="44" spans="1:14" x14ac:dyDescent="0.2">
      <c r="A44" s="1209">
        <f t="shared" si="7"/>
        <v>38</v>
      </c>
      <c r="B44" s="681">
        <v>3</v>
      </c>
      <c r="C44" s="649" t="s">
        <v>392</v>
      </c>
      <c r="D44" s="650"/>
      <c r="E44" s="650"/>
      <c r="F44" s="651"/>
      <c r="G44" s="634" t="e">
        <f>#REF!+#REF!</f>
        <v>#REF!</v>
      </c>
      <c r="H44" s="666">
        <f>H45</f>
        <v>111963</v>
      </c>
      <c r="I44" s="665">
        <f t="shared" ref="I44:N45" si="8">I45</f>
        <v>111963</v>
      </c>
      <c r="J44" s="666">
        <f>J45</f>
        <v>116300</v>
      </c>
      <c r="K44" s="665">
        <f t="shared" si="8"/>
        <v>154638</v>
      </c>
      <c r="L44" s="666">
        <f t="shared" si="8"/>
        <v>112885</v>
      </c>
      <c r="M44" s="666">
        <f t="shared" si="8"/>
        <v>121385</v>
      </c>
      <c r="N44" s="760">
        <f t="shared" si="8"/>
        <v>121385</v>
      </c>
    </row>
    <row r="45" spans="1:14" x14ac:dyDescent="0.2">
      <c r="A45" s="1209">
        <f t="shared" si="7"/>
        <v>39</v>
      </c>
      <c r="B45" s="1246"/>
      <c r="C45" s="151"/>
      <c r="D45" s="132" t="s">
        <v>176</v>
      </c>
      <c r="E45" s="152"/>
      <c r="F45" s="152"/>
      <c r="G45" s="657">
        <f>G46</f>
        <v>2539.3999999999996</v>
      </c>
      <c r="H45" s="573">
        <f>H46</f>
        <v>111963</v>
      </c>
      <c r="I45" s="271">
        <f t="shared" si="8"/>
        <v>111963</v>
      </c>
      <c r="J45" s="573">
        <f>J46</f>
        <v>116300</v>
      </c>
      <c r="K45" s="271">
        <f t="shared" si="8"/>
        <v>154638</v>
      </c>
      <c r="L45" s="573">
        <f t="shared" si="8"/>
        <v>112885</v>
      </c>
      <c r="M45" s="573">
        <f t="shared" si="8"/>
        <v>121385</v>
      </c>
      <c r="N45" s="758">
        <f t="shared" si="8"/>
        <v>121385</v>
      </c>
    </row>
    <row r="46" spans="1:14" x14ac:dyDescent="0.2">
      <c r="A46" s="1209">
        <f t="shared" si="7"/>
        <v>40</v>
      </c>
      <c r="B46" s="1247"/>
      <c r="C46" s="273" t="s">
        <v>393</v>
      </c>
      <c r="D46" s="646" t="s">
        <v>394</v>
      </c>
      <c r="E46" s="647"/>
      <c r="F46" s="648"/>
      <c r="G46" s="633">
        <f>SUM(G47:G55)</f>
        <v>2539.3999999999996</v>
      </c>
      <c r="H46" s="578">
        <f>SUM(H47:H56)</f>
        <v>111963</v>
      </c>
      <c r="I46" s="619">
        <f>SUM(I47:I55)+I56</f>
        <v>111963</v>
      </c>
      <c r="J46" s="578">
        <f>SUM(J47:J56)</f>
        <v>116300</v>
      </c>
      <c r="K46" s="619">
        <f>SUM(K47:K55)+K56</f>
        <v>154638</v>
      </c>
      <c r="L46" s="578">
        <f>SUM(L47:L55)+L56</f>
        <v>112885</v>
      </c>
      <c r="M46" s="578">
        <f>SUM(M47:M55)+M56</f>
        <v>121385</v>
      </c>
      <c r="N46" s="751">
        <f>SUM(N47:N55)+N56</f>
        <v>121385</v>
      </c>
    </row>
    <row r="47" spans="1:14" x14ac:dyDescent="0.2">
      <c r="A47" s="1209">
        <f t="shared" si="7"/>
        <v>41</v>
      </c>
      <c r="B47" s="1247"/>
      <c r="C47" s="194" t="s">
        <v>185</v>
      </c>
      <c r="D47" s="642" t="s">
        <v>210</v>
      </c>
      <c r="E47" s="629" t="s">
        <v>238</v>
      </c>
      <c r="F47" s="630"/>
      <c r="G47" s="173">
        <f>ROUND(M47/30.126,1)</f>
        <v>1792.5</v>
      </c>
      <c r="H47" s="576">
        <f>výdavky!D585+výdavky!D586</f>
        <v>54000</v>
      </c>
      <c r="I47" s="277">
        <f>výdavky!D585+výdavky!D586</f>
        <v>54000</v>
      </c>
      <c r="J47" s="576">
        <f>výdavky!F585+výdavky!F586</f>
        <v>55500</v>
      </c>
      <c r="K47" s="277">
        <f>výdavky!G585</f>
        <v>56400</v>
      </c>
      <c r="L47" s="576">
        <f>výdavky!H585</f>
        <v>54000</v>
      </c>
      <c r="M47" s="576">
        <f>výdavky!I585</f>
        <v>54000</v>
      </c>
      <c r="N47" s="752">
        <f>výdavky!J585</f>
        <v>54000</v>
      </c>
    </row>
    <row r="48" spans="1:14" x14ac:dyDescent="0.2">
      <c r="A48" s="1209">
        <f t="shared" si="7"/>
        <v>42</v>
      </c>
      <c r="B48" s="1247"/>
      <c r="C48" s="194" t="s">
        <v>187</v>
      </c>
      <c r="D48" s="391" t="s">
        <v>212</v>
      </c>
      <c r="E48" s="629" t="s">
        <v>395</v>
      </c>
      <c r="F48" s="630"/>
      <c r="G48" s="173">
        <f>ROUND(M48/30.126,1)</f>
        <v>630.70000000000005</v>
      </c>
      <c r="H48" s="576">
        <f>výdavky!D587</f>
        <v>18400</v>
      </c>
      <c r="I48" s="277">
        <f>výdavky!D587</f>
        <v>18400</v>
      </c>
      <c r="J48" s="576">
        <f>výdavky!F587</f>
        <v>19000</v>
      </c>
      <c r="K48" s="277">
        <f>výdavky!G587</f>
        <v>20500</v>
      </c>
      <c r="L48" s="576">
        <f>výdavky!H587</f>
        <v>19000</v>
      </c>
      <c r="M48" s="576">
        <f>výdavky!I587</f>
        <v>19000</v>
      </c>
      <c r="N48" s="752">
        <f>výdavky!J587</f>
        <v>19000</v>
      </c>
    </row>
    <row r="49" spans="1:14" x14ac:dyDescent="0.2">
      <c r="A49" s="1209">
        <f t="shared" si="7"/>
        <v>43</v>
      </c>
      <c r="B49" s="1247"/>
      <c r="C49" s="194" t="s">
        <v>191</v>
      </c>
      <c r="D49" s="391" t="s">
        <v>223</v>
      </c>
      <c r="E49" s="629" t="s">
        <v>339</v>
      </c>
      <c r="F49" s="630"/>
      <c r="G49" s="173"/>
      <c r="H49" s="576">
        <f>výdavky!D589</f>
        <v>10000</v>
      </c>
      <c r="I49" s="277">
        <f>výdavky!D589</f>
        <v>10000</v>
      </c>
      <c r="J49" s="576">
        <f>výdavky!F589</f>
        <v>6000</v>
      </c>
      <c r="K49" s="277">
        <f>výdavky!G589</f>
        <v>11500</v>
      </c>
      <c r="L49" s="576">
        <f>výdavky!H589</f>
        <v>8185</v>
      </c>
      <c r="M49" s="576">
        <f>výdavky!I589</f>
        <v>8185</v>
      </c>
      <c r="N49" s="752">
        <f>výdavky!J589</f>
        <v>8185</v>
      </c>
    </row>
    <row r="50" spans="1:14" x14ac:dyDescent="0.2">
      <c r="A50" s="1209">
        <f t="shared" si="7"/>
        <v>44</v>
      </c>
      <c r="B50" s="1247"/>
      <c r="C50" s="194" t="s">
        <v>193</v>
      </c>
      <c r="D50" s="391" t="s">
        <v>225</v>
      </c>
      <c r="E50" s="640" t="s">
        <v>396</v>
      </c>
      <c r="F50" s="641"/>
      <c r="G50" s="173">
        <f>ROUND(M50/30.126,1)</f>
        <v>116.2</v>
      </c>
      <c r="H50" s="576">
        <f>výdavky!D590+výdavky!D592</f>
        <v>2000</v>
      </c>
      <c r="I50" s="277">
        <f>výdavky!D590+výdavky!D592</f>
        <v>2000</v>
      </c>
      <c r="J50" s="576">
        <f>výdavky!F590+výdavky!F592</f>
        <v>3500</v>
      </c>
      <c r="K50" s="277">
        <f>výdavky!G590+výdavky!G591</f>
        <v>9382</v>
      </c>
      <c r="L50" s="576">
        <f>výdavky!H590+výdavky!H592</f>
        <v>3500</v>
      </c>
      <c r="M50" s="576">
        <f>výdavky!I590+výdavky!I592</f>
        <v>3500</v>
      </c>
      <c r="N50" s="752">
        <f>výdavky!J590</f>
        <v>2000</v>
      </c>
    </row>
    <row r="51" spans="1:14" x14ac:dyDescent="0.2">
      <c r="A51" s="1209">
        <f t="shared" si="7"/>
        <v>45</v>
      </c>
      <c r="B51" s="1247"/>
      <c r="C51" s="194" t="s">
        <v>193</v>
      </c>
      <c r="D51" s="585" t="s">
        <v>227</v>
      </c>
      <c r="E51" s="629" t="s">
        <v>380</v>
      </c>
      <c r="F51" s="630"/>
      <c r="G51" s="168"/>
      <c r="H51" s="575">
        <f>výdavky!D593</f>
        <v>23746</v>
      </c>
      <c r="I51" s="296">
        <f>výdavky!D593</f>
        <v>23746</v>
      </c>
      <c r="J51" s="575">
        <f>výdavky!F593</f>
        <v>30000</v>
      </c>
      <c r="K51" s="296">
        <f>výdavky!G593</f>
        <v>52856</v>
      </c>
      <c r="L51" s="575">
        <f>výdavky!H593</f>
        <v>25000</v>
      </c>
      <c r="M51" s="575">
        <f>výdavky!I593</f>
        <v>35000</v>
      </c>
      <c r="N51" s="759">
        <f>výdavky!J593</f>
        <v>35000</v>
      </c>
    </row>
    <row r="52" spans="1:14" x14ac:dyDescent="0.2">
      <c r="A52" s="1209">
        <f t="shared" si="7"/>
        <v>46</v>
      </c>
      <c r="B52" s="1247"/>
      <c r="C52" s="194" t="s">
        <v>193</v>
      </c>
      <c r="D52" s="391" t="s">
        <v>231</v>
      </c>
      <c r="E52" s="629" t="s">
        <v>397</v>
      </c>
      <c r="F52" s="630"/>
      <c r="G52" s="173"/>
      <c r="H52" s="576">
        <f>výdavky!D594</f>
        <v>1117</v>
      </c>
      <c r="I52" s="277">
        <f>výdavky!D594</f>
        <v>1117</v>
      </c>
      <c r="J52" s="576">
        <f>výdavky!F594</f>
        <v>500</v>
      </c>
      <c r="K52" s="277">
        <f>výdavky!G594+výdavky!G592</f>
        <v>2000</v>
      </c>
      <c r="L52" s="576">
        <f>výdavky!H594</f>
        <v>1500</v>
      </c>
      <c r="M52" s="576">
        <f>výdavky!I594</f>
        <v>500</v>
      </c>
      <c r="N52" s="752">
        <f>výdavky!J594</f>
        <v>1500</v>
      </c>
    </row>
    <row r="53" spans="1:14" x14ac:dyDescent="0.2">
      <c r="A53" s="1209">
        <f t="shared" si="7"/>
        <v>47</v>
      </c>
      <c r="B53" s="1247"/>
      <c r="C53" s="194" t="s">
        <v>197</v>
      </c>
      <c r="D53" s="1486" t="s">
        <v>233</v>
      </c>
      <c r="E53" s="629" t="s">
        <v>273</v>
      </c>
      <c r="F53" s="630"/>
      <c r="G53" s="179"/>
      <c r="H53" s="872">
        <f>výdavky!D595</f>
        <v>500</v>
      </c>
      <c r="I53" s="1487">
        <f>výdavky!D595</f>
        <v>500</v>
      </c>
      <c r="J53" s="872">
        <f>výdavky!F595</f>
        <v>1000</v>
      </c>
      <c r="K53" s="1487">
        <f>výdavky!G595</f>
        <v>1000</v>
      </c>
      <c r="L53" s="872">
        <f>výdavky!H595</f>
        <v>500</v>
      </c>
      <c r="M53" s="872">
        <f>výdavky!I595</f>
        <v>1000</v>
      </c>
      <c r="N53" s="1488">
        <f>výdavky!J595</f>
        <v>500</v>
      </c>
    </row>
    <row r="54" spans="1:14" s="1473" customFormat="1" x14ac:dyDescent="0.2">
      <c r="A54" s="1209">
        <v>48</v>
      </c>
      <c r="B54" s="1247"/>
      <c r="C54" s="212" t="s">
        <v>199</v>
      </c>
      <c r="D54" s="1475" t="s">
        <v>261</v>
      </c>
      <c r="E54" s="629" t="s">
        <v>753</v>
      </c>
      <c r="F54" s="630"/>
      <c r="G54" s="168"/>
      <c r="H54" s="575">
        <f>výdavky!D596</f>
        <v>2000</v>
      </c>
      <c r="I54" s="296">
        <f>výdavky!D596</f>
        <v>2000</v>
      </c>
      <c r="J54" s="575">
        <f>výdavky!F596</f>
        <v>800</v>
      </c>
      <c r="K54" s="296">
        <f>výdavky!G596</f>
        <v>1000</v>
      </c>
      <c r="L54" s="575">
        <f>výdavky!H596</f>
        <v>1000</v>
      </c>
      <c r="M54" s="575">
        <f>výdavky!I596</f>
        <v>200</v>
      </c>
      <c r="N54" s="759">
        <f>výdavky!J596</f>
        <v>1000</v>
      </c>
    </row>
    <row r="55" spans="1:14" x14ac:dyDescent="0.2">
      <c r="A55" s="1209">
        <v>49</v>
      </c>
      <c r="B55" s="1247"/>
      <c r="C55" s="212" t="s">
        <v>201</v>
      </c>
      <c r="D55" s="627" t="s">
        <v>263</v>
      </c>
      <c r="E55" s="629" t="s">
        <v>202</v>
      </c>
      <c r="F55" s="630"/>
      <c r="G55" s="628"/>
      <c r="H55" s="580">
        <f>výdavky!D597</f>
        <v>200</v>
      </c>
      <c r="I55" s="625">
        <f>výdavky!D597</f>
        <v>200</v>
      </c>
      <c r="J55" s="626">
        <f>výdavky!F597</f>
        <v>0</v>
      </c>
      <c r="K55" s="625">
        <f>výdavky!G597</f>
        <v>0</v>
      </c>
      <c r="L55" s="626">
        <f>výdavky!H597</f>
        <v>200</v>
      </c>
      <c r="M55" s="626">
        <f>výdavky!I597</f>
        <v>0</v>
      </c>
      <c r="N55" s="761">
        <f>výdavky!J597</f>
        <v>200</v>
      </c>
    </row>
    <row r="56" spans="1:14" x14ac:dyDescent="0.2">
      <c r="A56" s="1235">
        <v>50</v>
      </c>
      <c r="B56" s="1250"/>
      <c r="C56" s="1211">
        <v>642</v>
      </c>
      <c r="D56" s="1212">
        <v>10</v>
      </c>
      <c r="E56" s="1213" t="s">
        <v>664</v>
      </c>
      <c r="F56" s="1214"/>
      <c r="G56" s="1215"/>
      <c r="H56" s="1216">
        <f>výdavky!D598</f>
        <v>0</v>
      </c>
      <c r="I56" s="1217">
        <f>výdavky!D598</f>
        <v>0</v>
      </c>
      <c r="J56" s="1181">
        <f>výdavky!F598</f>
        <v>0</v>
      </c>
      <c r="K56" s="1217">
        <f>výdavky!G598</f>
        <v>0</v>
      </c>
      <c r="L56" s="1181">
        <f>výdavky!H598</f>
        <v>0</v>
      </c>
      <c r="M56" s="1181">
        <f>výdavky!I598</f>
        <v>0</v>
      </c>
      <c r="N56" s="1495">
        <f>výdavky!J598</f>
        <v>0</v>
      </c>
    </row>
    <row r="57" spans="1:14" x14ac:dyDescent="0.2">
      <c r="A57" s="1235">
        <v>51</v>
      </c>
      <c r="B57" s="1251">
        <v>4</v>
      </c>
      <c r="C57" s="1221" t="s">
        <v>773</v>
      </c>
      <c r="D57" s="137"/>
      <c r="E57" s="137"/>
      <c r="F57" s="1219"/>
      <c r="G57" s="96"/>
      <c r="H57" s="1220">
        <f t="shared" ref="H57:K58" si="9">H58</f>
        <v>300</v>
      </c>
      <c r="I57" s="1220">
        <f t="shared" si="9"/>
        <v>300</v>
      </c>
      <c r="J57" s="1220">
        <f t="shared" si="9"/>
        <v>300</v>
      </c>
      <c r="K57" s="1220">
        <f t="shared" si="9"/>
        <v>450</v>
      </c>
      <c r="L57" s="1257">
        <f t="shared" ref="L57:N58" si="10">L58</f>
        <v>300</v>
      </c>
      <c r="M57" s="1257">
        <f t="shared" si="10"/>
        <v>300</v>
      </c>
      <c r="N57" s="1258">
        <f t="shared" si="10"/>
        <v>300</v>
      </c>
    </row>
    <row r="58" spans="1:14" x14ac:dyDescent="0.2">
      <c r="A58" s="1235">
        <v>52</v>
      </c>
      <c r="B58" s="1252"/>
      <c r="C58" s="1218"/>
      <c r="D58" s="1254" t="s">
        <v>176</v>
      </c>
      <c r="E58" s="1255"/>
      <c r="F58" s="1256"/>
      <c r="G58" s="1222"/>
      <c r="H58" s="1222">
        <f t="shared" si="9"/>
        <v>300</v>
      </c>
      <c r="I58" s="1222">
        <f t="shared" si="9"/>
        <v>300</v>
      </c>
      <c r="J58" s="1222">
        <f t="shared" si="9"/>
        <v>300</v>
      </c>
      <c r="K58" s="1222">
        <f t="shared" si="9"/>
        <v>450</v>
      </c>
      <c r="L58" s="1259">
        <f t="shared" si="10"/>
        <v>300</v>
      </c>
      <c r="M58" s="1259">
        <f t="shared" si="10"/>
        <v>300</v>
      </c>
      <c r="N58" s="1260">
        <f t="shared" si="10"/>
        <v>300</v>
      </c>
    </row>
    <row r="59" spans="1:14" ht="13.5" thickBot="1" x14ac:dyDescent="0.25">
      <c r="A59" s="1210">
        <v>53</v>
      </c>
      <c r="B59" s="1253"/>
      <c r="C59" s="664">
        <v>640</v>
      </c>
      <c r="D59" s="1233">
        <v>1</v>
      </c>
      <c r="E59" s="2367" t="s">
        <v>776</v>
      </c>
      <c r="F59" s="2367"/>
      <c r="G59" s="1233"/>
      <c r="H59" s="1485">
        <f>výdavky!D600</f>
        <v>300</v>
      </c>
      <c r="I59" s="1485">
        <f>výdavky!D600</f>
        <v>300</v>
      </c>
      <c r="J59" s="1485">
        <f>výdavky!F600</f>
        <v>300</v>
      </c>
      <c r="K59" s="1485">
        <f>výdavky!G600</f>
        <v>450</v>
      </c>
      <c r="L59" s="1261">
        <f>výdavky!H600</f>
        <v>300</v>
      </c>
      <c r="M59" s="1261">
        <f>výdavky!I600</f>
        <v>300</v>
      </c>
      <c r="N59" s="1262">
        <f>výdavky!J600</f>
        <v>300</v>
      </c>
    </row>
    <row r="60" spans="1:14" x14ac:dyDescent="0.2">
      <c r="N60" s="392"/>
    </row>
  </sheetData>
  <mergeCells count="3">
    <mergeCell ref="G3:N3"/>
    <mergeCell ref="D4:F6"/>
    <mergeCell ref="E59:F59"/>
  </mergeCells>
  <phoneticPr fontId="43" type="noConversion"/>
  <pageMargins left="0.25" right="0.25" top="0.75" bottom="0.75" header="0.3" footer="0.3"/>
  <pageSetup paperSize="9" scale="85" firstPageNumber="0" fitToHeight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88"/>
  <sheetViews>
    <sheetView workbookViewId="0">
      <selection activeCell="B45" sqref="B45"/>
    </sheetView>
  </sheetViews>
  <sheetFormatPr defaultRowHeight="12.75" x14ac:dyDescent="0.2"/>
  <sheetData>
    <row r="1" spans="1:9" ht="23.25" x14ac:dyDescent="0.2">
      <c r="A1" s="2332" t="s">
        <v>1323</v>
      </c>
      <c r="B1" s="2332"/>
      <c r="C1" s="2332"/>
      <c r="D1" s="2332" t="s">
        <v>438</v>
      </c>
      <c r="E1" s="2332"/>
      <c r="F1" s="2332"/>
      <c r="G1" s="2332"/>
      <c r="H1" s="2332"/>
      <c r="I1" s="2332"/>
    </row>
    <row r="2" spans="1:9" x14ac:dyDescent="0.2">
      <c r="A2" s="2068"/>
      <c r="B2" s="2068"/>
      <c r="C2" s="2068"/>
      <c r="D2" s="2068"/>
      <c r="E2" s="2068"/>
      <c r="F2" s="2068"/>
      <c r="G2" s="2068"/>
      <c r="H2" s="2068"/>
      <c r="I2" s="2068"/>
    </row>
    <row r="3" spans="1:9" ht="15" x14ac:dyDescent="0.2">
      <c r="A3" s="2371" t="s">
        <v>1257</v>
      </c>
      <c r="B3" s="2331"/>
      <c r="C3" s="2331"/>
      <c r="D3" s="2331"/>
      <c r="E3" s="2331"/>
      <c r="F3" s="2331"/>
      <c r="G3" s="2331"/>
      <c r="H3" s="2331"/>
      <c r="I3" s="2331"/>
    </row>
    <row r="4" spans="1:9" ht="15.75" customHeight="1" x14ac:dyDescent="0.2">
      <c r="A4" s="2104" t="s">
        <v>1324</v>
      </c>
      <c r="B4" s="2116"/>
      <c r="C4" s="2116"/>
      <c r="D4" s="2116"/>
      <c r="E4" s="2116"/>
      <c r="F4" s="2116"/>
      <c r="G4" s="2116"/>
      <c r="H4" s="2116"/>
      <c r="I4" s="2116"/>
    </row>
    <row r="5" spans="1:9" ht="15.75" x14ac:dyDescent="0.2">
      <c r="A5" s="2067"/>
      <c r="B5" s="2058"/>
      <c r="C5" s="2058"/>
      <c r="D5" s="2058"/>
      <c r="E5" s="2058"/>
      <c r="F5" s="2058"/>
      <c r="G5" s="2058"/>
      <c r="H5" s="2058"/>
      <c r="I5" s="2058"/>
    </row>
    <row r="6" spans="1:9" ht="18.75" x14ac:dyDescent="0.3">
      <c r="A6" s="2069" t="s">
        <v>1039</v>
      </c>
      <c r="B6" s="2058"/>
      <c r="C6" s="2058"/>
      <c r="D6" s="2058"/>
      <c r="E6" s="2058"/>
      <c r="F6" s="2058"/>
      <c r="G6" s="2058"/>
      <c r="H6" s="2058"/>
      <c r="I6" s="2058"/>
    </row>
    <row r="7" spans="1:9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  <c r="I7" s="2058"/>
    </row>
    <row r="8" spans="1:9" ht="15.75" x14ac:dyDescent="0.25">
      <c r="A8" s="2070" t="s">
        <v>170</v>
      </c>
      <c r="B8" s="1579">
        <f>'Program 9'!H7</f>
        <v>1411899</v>
      </c>
      <c r="C8" s="1579">
        <f>'Program 9'!I7</f>
        <v>1410573.14</v>
      </c>
      <c r="D8" s="1579">
        <f>'Program 9'!J7</f>
        <v>1629768</v>
      </c>
      <c r="E8" s="1579">
        <f>'Program 9'!K7</f>
        <v>1685295</v>
      </c>
      <c r="F8" s="2072">
        <f>'Program 9'!L7</f>
        <v>1924099</v>
      </c>
      <c r="G8" s="1579">
        <f>'Program 9'!M7</f>
        <v>1289002</v>
      </c>
      <c r="H8" s="1579">
        <f>'Program 9'!N7</f>
        <v>1288902</v>
      </c>
      <c r="I8" s="2058"/>
    </row>
    <row r="9" spans="1:9" x14ac:dyDescent="0.2">
      <c r="A9" s="2058"/>
      <c r="B9" s="2058"/>
      <c r="C9" s="2058"/>
      <c r="D9" s="2058"/>
      <c r="E9" s="2058"/>
      <c r="F9" s="2058"/>
      <c r="G9" s="2058"/>
      <c r="H9" s="2058"/>
      <c r="I9" s="2058"/>
    </row>
    <row r="10" spans="1:9" ht="15" x14ac:dyDescent="0.25">
      <c r="A10" s="2307" t="s">
        <v>1259</v>
      </c>
      <c r="B10" s="2309"/>
      <c r="C10" s="2309"/>
      <c r="D10" s="2309"/>
      <c r="E10" s="2309"/>
      <c r="F10" s="2309"/>
      <c r="G10" s="2309"/>
      <c r="H10" s="2309"/>
      <c r="I10" s="2309"/>
    </row>
    <row r="11" spans="1:9" ht="70.5" customHeight="1" x14ac:dyDescent="0.2">
      <c r="A11" s="2308" t="s">
        <v>1325</v>
      </c>
      <c r="B11" s="2308"/>
      <c r="C11" s="2308"/>
      <c r="D11" s="2308"/>
      <c r="E11" s="2308"/>
      <c r="F11" s="2308"/>
      <c r="G11" s="2308"/>
      <c r="H11" s="2308"/>
      <c r="I11" s="2308"/>
    </row>
    <row r="12" spans="1:9" ht="47.25" customHeight="1" x14ac:dyDescent="0.2">
      <c r="A12" s="2308" t="s">
        <v>1326</v>
      </c>
      <c r="B12" s="2308"/>
      <c r="C12" s="2308"/>
      <c r="D12" s="2308"/>
      <c r="E12" s="2308"/>
      <c r="F12" s="2308"/>
      <c r="G12" s="2308"/>
      <c r="H12" s="2308"/>
      <c r="I12" s="2308"/>
    </row>
    <row r="13" spans="1:9" s="2058" customFormat="1" ht="15" x14ac:dyDescent="0.2">
      <c r="A13" s="2105"/>
    </row>
    <row r="14" spans="1:9" ht="15" x14ac:dyDescent="0.25">
      <c r="A14" s="2306" t="s">
        <v>1327</v>
      </c>
      <c r="B14" s="2306"/>
      <c r="C14" s="2306"/>
      <c r="D14" s="2306" t="s">
        <v>158</v>
      </c>
      <c r="E14" s="2306"/>
      <c r="F14" s="2306"/>
      <c r="G14" s="2306"/>
      <c r="H14" s="2306"/>
      <c r="I14" s="2306"/>
    </row>
    <row r="15" spans="1:9" x14ac:dyDescent="0.2">
      <c r="A15" s="2058"/>
      <c r="B15" s="2058"/>
      <c r="C15" s="2058"/>
      <c r="D15" s="2058"/>
      <c r="E15" s="2058"/>
      <c r="F15" s="2058"/>
      <c r="G15" s="2058"/>
      <c r="H15" s="2058"/>
      <c r="I15" s="2058"/>
    </row>
    <row r="16" spans="1:9" ht="15" x14ac:dyDescent="0.25">
      <c r="A16" s="2307" t="s">
        <v>1262</v>
      </c>
      <c r="B16" s="2307"/>
      <c r="C16" s="2307"/>
      <c r="D16" s="2307"/>
      <c r="E16" s="2307"/>
      <c r="F16" s="2307"/>
      <c r="G16" s="2307"/>
      <c r="H16" s="2307"/>
      <c r="I16" s="2307"/>
    </row>
    <row r="17" spans="1:9" ht="15" x14ac:dyDescent="0.25">
      <c r="A17" s="2122" t="s">
        <v>1328</v>
      </c>
      <c r="B17" s="2058"/>
      <c r="C17" s="2058"/>
      <c r="D17" s="2058"/>
      <c r="E17" s="2058"/>
      <c r="F17" s="2058"/>
      <c r="G17" s="2058"/>
      <c r="H17" s="2058"/>
      <c r="I17" s="2058"/>
    </row>
    <row r="18" spans="1:9" x14ac:dyDescent="0.2">
      <c r="A18" s="2058"/>
      <c r="B18" s="2058"/>
      <c r="C18" s="2058"/>
      <c r="D18" s="2058"/>
      <c r="E18" s="2058"/>
      <c r="F18" s="2058"/>
      <c r="G18" s="2058"/>
      <c r="H18" s="2058"/>
      <c r="I18" s="2058"/>
    </row>
    <row r="19" spans="1:9" ht="15" x14ac:dyDescent="0.25">
      <c r="A19" s="2076" t="s">
        <v>1039</v>
      </c>
      <c r="B19" s="2058"/>
      <c r="C19" s="2058"/>
      <c r="D19" s="2058"/>
      <c r="E19" s="2058"/>
      <c r="F19" s="2058"/>
      <c r="G19" s="2058"/>
      <c r="H19" s="2058"/>
      <c r="I19" s="2058"/>
    </row>
    <row r="20" spans="1:9" ht="15" x14ac:dyDescent="0.25">
      <c r="A20" s="2074" t="s">
        <v>1040</v>
      </c>
      <c r="B20" s="2074">
        <v>2022</v>
      </c>
      <c r="C20" s="2074">
        <v>2023</v>
      </c>
      <c r="D20" s="2074">
        <v>2024</v>
      </c>
      <c r="E20" s="2074" t="s">
        <v>984</v>
      </c>
      <c r="F20" s="2074">
        <v>2025</v>
      </c>
      <c r="G20" s="2074">
        <v>2026</v>
      </c>
      <c r="H20" s="2074">
        <v>2027</v>
      </c>
      <c r="I20" s="2058"/>
    </row>
    <row r="21" spans="1:9" ht="15" x14ac:dyDescent="0.25">
      <c r="A21" s="2075" t="s">
        <v>170</v>
      </c>
      <c r="B21" s="2077">
        <f>'Program 9'!H11</f>
        <v>292692</v>
      </c>
      <c r="C21" s="2077">
        <f>'Program 9'!I11</f>
        <v>291366.14</v>
      </c>
      <c r="D21" s="2077">
        <f>'Program 9'!J11</f>
        <v>369455</v>
      </c>
      <c r="E21" s="2077">
        <f>'Program 9'!K11</f>
        <v>342381</v>
      </c>
      <c r="F21" s="2078">
        <f>'Program 9'!L11</f>
        <v>342090</v>
      </c>
      <c r="G21" s="2077">
        <f>'Program 9'!M11</f>
        <v>346345</v>
      </c>
      <c r="H21" s="2077">
        <f>'Program 9'!N11</f>
        <v>346245</v>
      </c>
      <c r="I21" s="2058"/>
    </row>
    <row r="22" spans="1:9" ht="15" x14ac:dyDescent="0.25">
      <c r="A22" s="2117"/>
      <c r="B22" s="2118"/>
      <c r="C22" s="2118"/>
      <c r="D22" s="2118"/>
      <c r="E22" s="2118"/>
      <c r="F22" s="2119"/>
      <c r="G22" s="2118"/>
      <c r="H22" s="2118"/>
      <c r="I22" s="2058"/>
    </row>
    <row r="23" spans="1:9" x14ac:dyDescent="0.2">
      <c r="A23" s="2316" t="s">
        <v>1264</v>
      </c>
      <c r="B23" s="2316"/>
      <c r="C23" s="2316"/>
      <c r="D23" s="2316"/>
      <c r="E23" s="2316"/>
      <c r="F23" s="2316"/>
      <c r="G23" s="2316"/>
      <c r="H23" s="2316"/>
      <c r="I23" s="2316"/>
    </row>
    <row r="24" spans="1:9" ht="80.25" customHeight="1" x14ac:dyDescent="0.2">
      <c r="A24" s="2308" t="s">
        <v>1329</v>
      </c>
      <c r="B24" s="2308"/>
      <c r="C24" s="2308"/>
      <c r="D24" s="2308"/>
      <c r="E24" s="2308"/>
      <c r="F24" s="2308"/>
      <c r="G24" s="2308"/>
      <c r="H24" s="2308"/>
      <c r="I24" s="2308"/>
    </row>
    <row r="25" spans="1:9" ht="15" x14ac:dyDescent="0.2">
      <c r="A25" s="2105"/>
      <c r="B25" s="2094"/>
      <c r="C25" s="2094"/>
      <c r="D25" s="2094"/>
      <c r="E25" s="2094"/>
      <c r="F25" s="2094"/>
      <c r="G25" s="2094"/>
      <c r="H25" s="2094"/>
      <c r="I25" s="2094"/>
    </row>
    <row r="26" spans="1:9" ht="15" x14ac:dyDescent="0.25">
      <c r="A26" s="2076" t="s">
        <v>1051</v>
      </c>
      <c r="B26" s="2058"/>
      <c r="C26" s="2058"/>
      <c r="D26" s="2058"/>
      <c r="E26" s="2058"/>
      <c r="F26" s="2058"/>
      <c r="G26" s="2058"/>
      <c r="H26" s="2080"/>
      <c r="I26" s="2080"/>
    </row>
    <row r="27" spans="1:9" ht="38.25" x14ac:dyDescent="0.2">
      <c r="A27" s="2310" t="s">
        <v>1052</v>
      </c>
      <c r="B27" s="2310"/>
      <c r="C27" s="2310"/>
      <c r="D27" s="2310" t="s">
        <v>1056</v>
      </c>
      <c r="E27" s="2310"/>
      <c r="F27" s="2310"/>
      <c r="G27" s="2087" t="s">
        <v>1054</v>
      </c>
      <c r="H27" s="2087" t="s">
        <v>1055</v>
      </c>
      <c r="I27" s="2087" t="s">
        <v>1053</v>
      </c>
    </row>
    <row r="28" spans="1:9" ht="37.5" customHeight="1" x14ac:dyDescent="0.2">
      <c r="A28" s="2348" t="s">
        <v>1331</v>
      </c>
      <c r="B28" s="2348"/>
      <c r="C28" s="2348"/>
      <c r="D28" s="2384" t="s">
        <v>1330</v>
      </c>
      <c r="E28" s="2384"/>
      <c r="F28" s="2384"/>
      <c r="G28" s="2090">
        <v>80</v>
      </c>
      <c r="H28" s="2090">
        <v>85</v>
      </c>
      <c r="I28" s="2090">
        <v>90</v>
      </c>
    </row>
    <row r="29" spans="1:9" ht="25.5" customHeight="1" x14ac:dyDescent="0.2">
      <c r="A29" s="2305" t="s">
        <v>1333</v>
      </c>
      <c r="B29" s="2305"/>
      <c r="C29" s="2305"/>
      <c r="D29" s="2305" t="s">
        <v>1332</v>
      </c>
      <c r="E29" s="2305"/>
      <c r="F29" s="2305"/>
      <c r="G29" s="2095">
        <v>0.9</v>
      </c>
      <c r="H29" s="2095">
        <v>0.9</v>
      </c>
      <c r="I29" s="2095">
        <v>0.9</v>
      </c>
    </row>
    <row r="31" spans="1:9" ht="15" x14ac:dyDescent="0.25">
      <c r="A31" s="2306" t="s">
        <v>1334</v>
      </c>
      <c r="B31" s="2306"/>
      <c r="C31" s="2306"/>
      <c r="D31" s="2306" t="s">
        <v>156</v>
      </c>
      <c r="E31" s="2306"/>
      <c r="F31" s="2306"/>
      <c r="G31" s="2306"/>
      <c r="H31" s="2306"/>
      <c r="I31" s="2306"/>
    </row>
    <row r="32" spans="1:9" x14ac:dyDescent="0.2">
      <c r="A32" s="2058"/>
      <c r="B32" s="2058"/>
      <c r="C32" s="2058"/>
      <c r="D32" s="2058"/>
      <c r="E32" s="2058"/>
      <c r="F32" s="2058"/>
      <c r="G32" s="2058"/>
      <c r="H32" s="2058"/>
      <c r="I32" s="2058"/>
    </row>
    <row r="33" spans="1:9" ht="15" x14ac:dyDescent="0.25">
      <c r="A33" s="2307" t="s">
        <v>1262</v>
      </c>
      <c r="B33" s="2307"/>
      <c r="C33" s="2307"/>
      <c r="D33" s="2307"/>
      <c r="E33" s="2307"/>
      <c r="F33" s="2307"/>
      <c r="G33" s="2307"/>
      <c r="H33" s="2307"/>
      <c r="I33" s="2307"/>
    </row>
    <row r="34" spans="1:9" ht="15" x14ac:dyDescent="0.2">
      <c r="A34" s="2105" t="s">
        <v>1335</v>
      </c>
      <c r="B34" s="2058"/>
      <c r="C34" s="2058"/>
      <c r="D34" s="2058"/>
      <c r="E34" s="2058"/>
      <c r="F34" s="2058"/>
      <c r="G34" s="2058"/>
      <c r="H34" s="2058"/>
      <c r="I34" s="2058"/>
    </row>
    <row r="35" spans="1:9" x14ac:dyDescent="0.2">
      <c r="A35" s="2058"/>
      <c r="B35" s="2058"/>
      <c r="C35" s="2058"/>
      <c r="D35" s="2058"/>
      <c r="E35" s="2058"/>
      <c r="F35" s="2058"/>
      <c r="G35" s="2058"/>
      <c r="H35" s="2058"/>
      <c r="I35" s="2058"/>
    </row>
    <row r="36" spans="1:9" s="2058" customFormat="1" x14ac:dyDescent="0.2"/>
    <row r="37" spans="1:9" ht="15" x14ac:dyDescent="0.25">
      <c r="A37" s="2076" t="s">
        <v>1039</v>
      </c>
      <c r="B37" s="2058"/>
      <c r="C37" s="2058"/>
      <c r="D37" s="2058"/>
      <c r="E37" s="2058"/>
      <c r="F37" s="2058"/>
      <c r="G37" s="2058"/>
      <c r="H37" s="2058"/>
      <c r="I37" s="2058"/>
    </row>
    <row r="38" spans="1:9" ht="15" x14ac:dyDescent="0.25">
      <c r="A38" s="2074" t="s">
        <v>1040</v>
      </c>
      <c r="B38" s="2074">
        <v>2022</v>
      </c>
      <c r="C38" s="2074">
        <v>2023</v>
      </c>
      <c r="D38" s="2074">
        <v>2024</v>
      </c>
      <c r="E38" s="2074" t="s">
        <v>984</v>
      </c>
      <c r="F38" s="2074">
        <v>2025</v>
      </c>
      <c r="G38" s="2074">
        <v>2026</v>
      </c>
      <c r="H38" s="2074">
        <v>2027</v>
      </c>
      <c r="I38" s="2058"/>
    </row>
    <row r="39" spans="1:9" ht="15" x14ac:dyDescent="0.25">
      <c r="A39" s="2075" t="s">
        <v>170</v>
      </c>
      <c r="B39" s="2077">
        <f>'Program 9'!H24</f>
        <v>1006944</v>
      </c>
      <c r="C39" s="2077">
        <f>'Program 9'!I24</f>
        <v>1006944</v>
      </c>
      <c r="D39" s="2077">
        <f>'Program 9'!J24</f>
        <v>1143713</v>
      </c>
      <c r="E39" s="2077">
        <f>'Program 9'!K24</f>
        <v>1187826</v>
      </c>
      <c r="F39" s="2078">
        <f>'Program 9'!L24</f>
        <v>1468824</v>
      </c>
      <c r="G39" s="2077">
        <f>'Program 9'!M24</f>
        <v>820972</v>
      </c>
      <c r="H39" s="2077">
        <f>'Program 9'!N24</f>
        <v>820972</v>
      </c>
      <c r="I39" s="2058"/>
    </row>
    <row r="40" spans="1:9" ht="15" x14ac:dyDescent="0.25">
      <c r="A40" s="2117"/>
      <c r="B40" s="2118"/>
      <c r="C40" s="2118"/>
      <c r="D40" s="2118"/>
      <c r="E40" s="2118"/>
      <c r="F40" s="2119"/>
      <c r="G40" s="2118"/>
      <c r="H40" s="2118"/>
      <c r="I40" s="2058"/>
    </row>
    <row r="41" spans="1:9" x14ac:dyDescent="0.2">
      <c r="A41" s="2316" t="s">
        <v>1264</v>
      </c>
      <c r="B41" s="2316"/>
      <c r="C41" s="2316"/>
      <c r="D41" s="2316"/>
      <c r="E41" s="2316"/>
      <c r="F41" s="2316"/>
      <c r="G41" s="2316"/>
      <c r="H41" s="2316"/>
      <c r="I41" s="2316"/>
    </row>
    <row r="42" spans="1:9" ht="40.5" customHeight="1" x14ac:dyDescent="0.2">
      <c r="A42" s="2308" t="s">
        <v>1336</v>
      </c>
      <c r="B42" s="2308"/>
      <c r="C42" s="2308"/>
      <c r="D42" s="2308"/>
      <c r="E42" s="2308"/>
      <c r="F42" s="2308"/>
      <c r="G42" s="2308"/>
      <c r="H42" s="2308"/>
      <c r="I42" s="2308"/>
    </row>
    <row r="43" spans="1:9" ht="74.25" customHeight="1" x14ac:dyDescent="0.2">
      <c r="A43" s="2308" t="s">
        <v>1337</v>
      </c>
      <c r="B43" s="2308"/>
      <c r="C43" s="2308"/>
      <c r="D43" s="2308"/>
      <c r="E43" s="2308"/>
      <c r="F43" s="2308"/>
      <c r="G43" s="2308"/>
      <c r="H43" s="2308"/>
      <c r="I43" s="2308"/>
    </row>
    <row r="44" spans="1:9" s="2103" customFormat="1" ht="29.25" customHeight="1" x14ac:dyDescent="0.2">
      <c r="A44" s="2308" t="s">
        <v>1452</v>
      </c>
      <c r="B44" s="2308"/>
      <c r="C44" s="2308"/>
      <c r="D44" s="2308"/>
      <c r="E44" s="2308"/>
      <c r="F44" s="2308"/>
      <c r="G44" s="2308"/>
      <c r="H44" s="2308"/>
      <c r="I44" s="2308"/>
    </row>
    <row r="45" spans="1:9" s="2058" customFormat="1" ht="15" x14ac:dyDescent="0.2">
      <c r="A45" s="2105"/>
      <c r="B45" s="2094"/>
      <c r="C45" s="2094"/>
      <c r="D45" s="2094"/>
      <c r="E45" s="2094"/>
      <c r="F45" s="2094"/>
      <c r="G45" s="2094"/>
      <c r="H45" s="2094"/>
      <c r="I45" s="2094"/>
    </row>
    <row r="46" spans="1:9" ht="15" x14ac:dyDescent="0.25">
      <c r="A46" s="2076" t="s">
        <v>1051</v>
      </c>
      <c r="B46" s="2058"/>
      <c r="C46" s="2058"/>
      <c r="D46" s="2058"/>
      <c r="E46" s="2058"/>
      <c r="F46" s="2058"/>
      <c r="G46" s="2058"/>
      <c r="H46" s="2080"/>
      <c r="I46" s="2080"/>
    </row>
    <row r="47" spans="1:9" ht="38.25" x14ac:dyDescent="0.2">
      <c r="A47" s="2310" t="s">
        <v>1052</v>
      </c>
      <c r="B47" s="2310"/>
      <c r="C47" s="2310"/>
      <c r="D47" s="2310" t="s">
        <v>1056</v>
      </c>
      <c r="E47" s="2310"/>
      <c r="F47" s="2310"/>
      <c r="G47" s="2087" t="s">
        <v>1054</v>
      </c>
      <c r="H47" s="2087" t="s">
        <v>1055</v>
      </c>
      <c r="I47" s="2087" t="s">
        <v>1053</v>
      </c>
    </row>
    <row r="48" spans="1:9" ht="25.5" customHeight="1" x14ac:dyDescent="0.2">
      <c r="A48" s="2348" t="s">
        <v>1339</v>
      </c>
      <c r="B48" s="2348"/>
      <c r="C48" s="2348"/>
      <c r="D48" s="2348" t="s">
        <v>1338</v>
      </c>
      <c r="E48" s="2348"/>
      <c r="F48" s="2348"/>
      <c r="G48" s="2090">
        <v>220</v>
      </c>
      <c r="H48" s="2090">
        <v>230</v>
      </c>
      <c r="I48" s="2090">
        <v>250</v>
      </c>
    </row>
    <row r="49" spans="1:9" ht="36.75" customHeight="1" x14ac:dyDescent="0.2">
      <c r="A49" s="2311" t="s">
        <v>1343</v>
      </c>
      <c r="B49" s="2311"/>
      <c r="C49" s="2311"/>
      <c r="D49" s="2305" t="s">
        <v>1340</v>
      </c>
      <c r="E49" s="2305"/>
      <c r="F49" s="2305"/>
      <c r="G49" s="2095">
        <v>0.95</v>
      </c>
      <c r="H49" s="2095">
        <v>0.95</v>
      </c>
      <c r="I49" s="2095">
        <v>0.95</v>
      </c>
    </row>
    <row r="50" spans="1:9" ht="40.5" customHeight="1" x14ac:dyDescent="0.2">
      <c r="A50" s="2311"/>
      <c r="B50" s="2311"/>
      <c r="C50" s="2311"/>
      <c r="D50" s="2305" t="s">
        <v>1341</v>
      </c>
      <c r="E50" s="2305"/>
      <c r="F50" s="2305"/>
      <c r="G50" s="2128">
        <v>2</v>
      </c>
      <c r="H50" s="2128">
        <v>3</v>
      </c>
      <c r="I50" s="2128">
        <v>5</v>
      </c>
    </row>
    <row r="51" spans="1:9" x14ac:dyDescent="0.2">
      <c r="A51" s="2311"/>
      <c r="B51" s="2311"/>
      <c r="C51" s="2311"/>
      <c r="D51" s="2305" t="s">
        <v>1342</v>
      </c>
      <c r="E51" s="2305"/>
      <c r="F51" s="2305"/>
      <c r="G51" s="2129">
        <v>10</v>
      </c>
      <c r="H51" s="2129">
        <v>8</v>
      </c>
      <c r="I51" s="2129">
        <v>5</v>
      </c>
    </row>
    <row r="53" spans="1:9" ht="15" x14ac:dyDescent="0.25">
      <c r="A53" s="2306" t="s">
        <v>1344</v>
      </c>
      <c r="B53" s="2306"/>
      <c r="C53" s="2306"/>
      <c r="D53" s="2306" t="s">
        <v>392</v>
      </c>
      <c r="E53" s="2306"/>
      <c r="F53" s="2306"/>
      <c r="G53" s="2306"/>
      <c r="H53" s="2306"/>
      <c r="I53" s="2306"/>
    </row>
    <row r="54" spans="1:9" x14ac:dyDescent="0.2">
      <c r="A54" s="2058"/>
      <c r="B54" s="2058"/>
      <c r="C54" s="2058"/>
      <c r="D54" s="2058"/>
      <c r="E54" s="2058"/>
      <c r="F54" s="2058"/>
      <c r="G54" s="2058"/>
      <c r="H54" s="2058"/>
      <c r="I54" s="2058"/>
    </row>
    <row r="55" spans="1:9" ht="15" x14ac:dyDescent="0.25">
      <c r="A55" s="2307" t="s">
        <v>1262</v>
      </c>
      <c r="B55" s="2307"/>
      <c r="C55" s="2307"/>
      <c r="D55" s="2307"/>
      <c r="E55" s="2307"/>
      <c r="F55" s="2307"/>
      <c r="G55" s="2307"/>
      <c r="H55" s="2307"/>
      <c r="I55" s="2307"/>
    </row>
    <row r="56" spans="1:9" ht="15.75" x14ac:dyDescent="0.2">
      <c r="A56" s="2104" t="s">
        <v>1345</v>
      </c>
      <c r="B56" s="2058"/>
      <c r="C56" s="2058"/>
      <c r="D56" s="2058"/>
      <c r="E56" s="2058"/>
      <c r="F56" s="2058"/>
      <c r="G56" s="2058"/>
      <c r="H56" s="2058"/>
      <c r="I56" s="2058"/>
    </row>
    <row r="57" spans="1:9" x14ac:dyDescent="0.2">
      <c r="A57" s="2058"/>
      <c r="B57" s="2058"/>
      <c r="C57" s="2058"/>
      <c r="D57" s="2058"/>
      <c r="E57" s="2058"/>
      <c r="F57" s="2058"/>
      <c r="G57" s="2058"/>
      <c r="H57" s="2058"/>
      <c r="I57" s="2058"/>
    </row>
    <row r="58" spans="1:9" ht="15" x14ac:dyDescent="0.25">
      <c r="A58" s="2076" t="s">
        <v>1039</v>
      </c>
      <c r="B58" s="2058"/>
      <c r="C58" s="2058"/>
      <c r="D58" s="2058"/>
      <c r="E58" s="2058"/>
      <c r="F58" s="2058"/>
      <c r="G58" s="2058"/>
      <c r="H58" s="2058"/>
      <c r="I58" s="2058"/>
    </row>
    <row r="59" spans="1:9" ht="15" x14ac:dyDescent="0.25">
      <c r="A59" s="2074" t="s">
        <v>1040</v>
      </c>
      <c r="B59" s="2074">
        <v>2022</v>
      </c>
      <c r="C59" s="2074">
        <v>2023</v>
      </c>
      <c r="D59" s="2074">
        <v>2024</v>
      </c>
      <c r="E59" s="2074" t="s">
        <v>984</v>
      </c>
      <c r="F59" s="2074">
        <v>2025</v>
      </c>
      <c r="G59" s="2074">
        <v>2026</v>
      </c>
      <c r="H59" s="2074">
        <v>2027</v>
      </c>
      <c r="I59" s="2058"/>
    </row>
    <row r="60" spans="1:9" ht="15" x14ac:dyDescent="0.25">
      <c r="A60" s="2075" t="s">
        <v>170</v>
      </c>
      <c r="B60" s="2077">
        <f>'Program 9'!H44</f>
        <v>111963</v>
      </c>
      <c r="C60" s="2077">
        <f>'Program 9'!I44</f>
        <v>111963</v>
      </c>
      <c r="D60" s="2077">
        <f>'Program 9'!J44</f>
        <v>116300</v>
      </c>
      <c r="E60" s="2077">
        <f>'Program 9'!K44</f>
        <v>154638</v>
      </c>
      <c r="F60" s="2078">
        <f>'Program 9'!L44</f>
        <v>112885</v>
      </c>
      <c r="G60" s="2077">
        <f>'Program 9'!M44</f>
        <v>121385</v>
      </c>
      <c r="H60" s="2077">
        <f>'Program 9'!N44</f>
        <v>121385</v>
      </c>
      <c r="I60" s="2058"/>
    </row>
    <row r="61" spans="1:9" ht="15" x14ac:dyDescent="0.25">
      <c r="A61" s="2117"/>
      <c r="B61" s="2118"/>
      <c r="C61" s="2118"/>
      <c r="D61" s="2118"/>
      <c r="E61" s="2118"/>
      <c r="F61" s="2119"/>
      <c r="G61" s="2118"/>
      <c r="H61" s="2118"/>
      <c r="I61" s="2058"/>
    </row>
    <row r="62" spans="1:9" x14ac:dyDescent="0.2">
      <c r="A62" s="2316" t="s">
        <v>1264</v>
      </c>
      <c r="B62" s="2316"/>
      <c r="C62" s="2316"/>
      <c r="D62" s="2316"/>
      <c r="E62" s="2316"/>
      <c r="F62" s="2316"/>
      <c r="G62" s="2316"/>
      <c r="H62" s="2316"/>
      <c r="I62" s="2316"/>
    </row>
    <row r="63" spans="1:9" ht="31.5" customHeight="1" x14ac:dyDescent="0.2">
      <c r="A63" s="2308" t="s">
        <v>1346</v>
      </c>
      <c r="B63" s="2308"/>
      <c r="C63" s="2308"/>
      <c r="D63" s="2308"/>
      <c r="E63" s="2308"/>
      <c r="F63" s="2308"/>
      <c r="G63" s="2308"/>
      <c r="H63" s="2308"/>
      <c r="I63" s="2308"/>
    </row>
    <row r="64" spans="1:9" ht="45" customHeight="1" x14ac:dyDescent="0.2">
      <c r="A64" s="2308" t="s">
        <v>1347</v>
      </c>
      <c r="B64" s="2308"/>
      <c r="C64" s="2308"/>
      <c r="D64" s="2308"/>
      <c r="E64" s="2308"/>
      <c r="F64" s="2308"/>
      <c r="G64" s="2308"/>
      <c r="H64" s="2308"/>
      <c r="I64" s="2308"/>
    </row>
    <row r="65" spans="1:9" s="2058" customFormat="1" ht="15" x14ac:dyDescent="0.2">
      <c r="A65" s="2105"/>
      <c r="B65" s="2094"/>
      <c r="C65" s="2094"/>
      <c r="D65" s="2094"/>
      <c r="E65" s="2094"/>
      <c r="F65" s="2094"/>
      <c r="G65" s="2094"/>
      <c r="H65" s="2094"/>
      <c r="I65" s="2094"/>
    </row>
    <row r="66" spans="1:9" ht="15" x14ac:dyDescent="0.25">
      <c r="A66" s="2076" t="s">
        <v>1051</v>
      </c>
      <c r="B66" s="2058"/>
      <c r="C66" s="2058"/>
      <c r="D66" s="2058"/>
      <c r="E66" s="2058"/>
      <c r="F66" s="2058"/>
      <c r="G66" s="2058"/>
      <c r="H66" s="2080"/>
      <c r="I66" s="2080"/>
    </row>
    <row r="67" spans="1:9" ht="38.25" x14ac:dyDescent="0.2">
      <c r="A67" s="2310" t="s">
        <v>1052</v>
      </c>
      <c r="B67" s="2310"/>
      <c r="C67" s="2310"/>
      <c r="D67" s="2310" t="s">
        <v>1056</v>
      </c>
      <c r="E67" s="2310"/>
      <c r="F67" s="2310"/>
      <c r="G67" s="2087" t="s">
        <v>1054</v>
      </c>
      <c r="H67" s="2087" t="s">
        <v>1055</v>
      </c>
      <c r="I67" s="2087" t="s">
        <v>1053</v>
      </c>
    </row>
    <row r="68" spans="1:9" ht="27.75" customHeight="1" x14ac:dyDescent="0.2">
      <c r="A68" s="2348" t="s">
        <v>1350</v>
      </c>
      <c r="B68" s="2348"/>
      <c r="C68" s="2348"/>
      <c r="D68" s="2348" t="s">
        <v>1348</v>
      </c>
      <c r="E68" s="2348"/>
      <c r="F68" s="2348"/>
      <c r="G68" s="2090">
        <v>25000</v>
      </c>
      <c r="H68" s="2090">
        <v>28000</v>
      </c>
      <c r="I68" s="2090">
        <v>30000</v>
      </c>
    </row>
    <row r="69" spans="1:9" ht="24.75" customHeight="1" x14ac:dyDescent="0.2">
      <c r="A69" s="2305" t="s">
        <v>1351</v>
      </c>
      <c r="B69" s="2305"/>
      <c r="C69" s="2305"/>
      <c r="D69" s="2305" t="s">
        <v>1349</v>
      </c>
      <c r="E69" s="2305"/>
      <c r="F69" s="2305"/>
      <c r="G69" s="2095">
        <v>0.85</v>
      </c>
      <c r="H69" s="2095">
        <v>0.9</v>
      </c>
      <c r="I69" s="2095">
        <v>0.95</v>
      </c>
    </row>
    <row r="71" spans="1:9" s="2058" customFormat="1" x14ac:dyDescent="0.2"/>
    <row r="72" spans="1:9" ht="15" x14ac:dyDescent="0.25">
      <c r="A72" s="2306" t="s">
        <v>1352</v>
      </c>
      <c r="B72" s="2306"/>
      <c r="C72" s="2306"/>
      <c r="D72" s="2306" t="s">
        <v>773</v>
      </c>
      <c r="E72" s="2306"/>
      <c r="F72" s="2306"/>
      <c r="G72" s="2306"/>
      <c r="H72" s="2306"/>
      <c r="I72" s="2306"/>
    </row>
    <row r="73" spans="1:9" x14ac:dyDescent="0.2">
      <c r="A73" s="2058"/>
      <c r="B73" s="2058"/>
      <c r="C73" s="2058"/>
      <c r="D73" s="2058"/>
      <c r="E73" s="2058"/>
      <c r="F73" s="2058"/>
      <c r="G73" s="2058"/>
      <c r="H73" s="2058"/>
      <c r="I73" s="2058"/>
    </row>
    <row r="74" spans="1:9" ht="15" x14ac:dyDescent="0.25">
      <c r="A74" s="2307" t="s">
        <v>1262</v>
      </c>
      <c r="B74" s="2307"/>
      <c r="C74" s="2307"/>
      <c r="D74" s="2307"/>
      <c r="E74" s="2307"/>
      <c r="F74" s="2307"/>
      <c r="G74" s="2307"/>
      <c r="H74" s="2307"/>
      <c r="I74" s="2307"/>
    </row>
    <row r="75" spans="1:9" ht="15" x14ac:dyDescent="0.2">
      <c r="A75" s="2105" t="s">
        <v>1353</v>
      </c>
      <c r="B75" s="2058"/>
      <c r="C75" s="2058"/>
      <c r="D75" s="2058"/>
      <c r="E75" s="2058"/>
      <c r="F75" s="2058"/>
      <c r="G75" s="2058"/>
      <c r="H75" s="2058"/>
      <c r="I75" s="2058"/>
    </row>
    <row r="76" spans="1:9" x14ac:dyDescent="0.2">
      <c r="A76" s="2058"/>
      <c r="B76" s="2058"/>
      <c r="C76" s="2058"/>
      <c r="D76" s="2058"/>
      <c r="E76" s="2058"/>
      <c r="F76" s="2058"/>
      <c r="G76" s="2058"/>
      <c r="H76" s="2058"/>
      <c r="I76" s="2058"/>
    </row>
    <row r="77" spans="1:9" ht="15" x14ac:dyDescent="0.25">
      <c r="A77" s="2076" t="s">
        <v>1039</v>
      </c>
      <c r="B77" s="2058"/>
      <c r="C77" s="2058"/>
      <c r="D77" s="2058"/>
      <c r="E77" s="2058"/>
      <c r="F77" s="2058"/>
      <c r="G77" s="2058"/>
      <c r="H77" s="2058"/>
      <c r="I77" s="2058"/>
    </row>
    <row r="78" spans="1:9" ht="15" x14ac:dyDescent="0.25">
      <c r="A78" s="2074" t="s">
        <v>1040</v>
      </c>
      <c r="B78" s="2074">
        <v>2022</v>
      </c>
      <c r="C78" s="2074">
        <v>2023</v>
      </c>
      <c r="D78" s="2074">
        <v>2024</v>
      </c>
      <c r="E78" s="2074" t="s">
        <v>984</v>
      </c>
      <c r="F78" s="2074">
        <v>2025</v>
      </c>
      <c r="G78" s="2074">
        <v>2026</v>
      </c>
      <c r="H78" s="2074">
        <v>2027</v>
      </c>
      <c r="I78" s="2058"/>
    </row>
    <row r="79" spans="1:9" ht="15" x14ac:dyDescent="0.25">
      <c r="A79" s="2075" t="s">
        <v>170</v>
      </c>
      <c r="B79" s="2077">
        <f>'Program 9'!H57</f>
        <v>300</v>
      </c>
      <c r="C79" s="2077">
        <f>'Program 9'!I57</f>
        <v>300</v>
      </c>
      <c r="D79" s="2077">
        <f>'Program 9'!J57</f>
        <v>300</v>
      </c>
      <c r="E79" s="2077">
        <f>'Program 9'!K57</f>
        <v>450</v>
      </c>
      <c r="F79" s="2078">
        <f>'Program 9'!L57</f>
        <v>300</v>
      </c>
      <c r="G79" s="2077">
        <f>'Program 9'!M57</f>
        <v>300</v>
      </c>
      <c r="H79" s="2077">
        <f>'Program 9'!N57</f>
        <v>300</v>
      </c>
      <c r="I79" s="2058"/>
    </row>
    <row r="80" spans="1:9" ht="15" x14ac:dyDescent="0.25">
      <c r="A80" s="2117"/>
      <c r="B80" s="2118"/>
      <c r="C80" s="2118"/>
      <c r="D80" s="2118"/>
      <c r="E80" s="2118"/>
      <c r="F80" s="2119"/>
      <c r="G80" s="2118"/>
      <c r="H80" s="2118"/>
      <c r="I80" s="2058"/>
    </row>
    <row r="81" spans="1:9" x14ac:dyDescent="0.2">
      <c r="A81" s="2316" t="s">
        <v>1264</v>
      </c>
      <c r="B81" s="2316"/>
      <c r="C81" s="2316"/>
      <c r="D81" s="2316"/>
      <c r="E81" s="2316"/>
      <c r="F81" s="2316"/>
      <c r="G81" s="2316"/>
      <c r="H81" s="2316"/>
      <c r="I81" s="2316"/>
    </row>
    <row r="82" spans="1:9" ht="48.75" customHeight="1" x14ac:dyDescent="0.2">
      <c r="A82" s="2308" t="s">
        <v>1354</v>
      </c>
      <c r="B82" s="2308"/>
      <c r="C82" s="2308"/>
      <c r="D82" s="2308"/>
      <c r="E82" s="2308"/>
      <c r="F82" s="2308"/>
      <c r="G82" s="2308"/>
      <c r="H82" s="2308"/>
      <c r="I82" s="2308"/>
    </row>
    <row r="83" spans="1:9" ht="47.25" customHeight="1" x14ac:dyDescent="0.2">
      <c r="A83" s="2308" t="s">
        <v>1355</v>
      </c>
      <c r="B83" s="2308"/>
      <c r="C83" s="2308"/>
      <c r="D83" s="2308"/>
      <c r="E83" s="2308"/>
      <c r="F83" s="2308"/>
      <c r="G83" s="2308"/>
      <c r="H83" s="2308"/>
      <c r="I83" s="2308"/>
    </row>
    <row r="84" spans="1:9" ht="15" x14ac:dyDescent="0.2">
      <c r="A84" s="2105"/>
      <c r="B84" s="2094"/>
      <c r="C84" s="2094"/>
      <c r="D84" s="2094"/>
      <c r="E84" s="2094"/>
      <c r="F84" s="2094"/>
      <c r="G84" s="2094"/>
      <c r="H84" s="2094"/>
      <c r="I84" s="2094"/>
    </row>
    <row r="85" spans="1:9" ht="15" x14ac:dyDescent="0.25">
      <c r="A85" s="2076" t="s">
        <v>1051</v>
      </c>
      <c r="B85" s="2058"/>
      <c r="C85" s="2058"/>
      <c r="D85" s="2058"/>
      <c r="E85" s="2058"/>
      <c r="F85" s="2058"/>
      <c r="G85" s="2058"/>
      <c r="H85" s="2080"/>
      <c r="I85" s="2080"/>
    </row>
    <row r="86" spans="1:9" ht="38.25" x14ac:dyDescent="0.2">
      <c r="A86" s="2310" t="s">
        <v>1052</v>
      </c>
      <c r="B86" s="2310"/>
      <c r="C86" s="2310"/>
      <c r="D86" s="2310" t="s">
        <v>1056</v>
      </c>
      <c r="E86" s="2310"/>
      <c r="F86" s="2310"/>
      <c r="G86" s="2087" t="s">
        <v>1054</v>
      </c>
      <c r="H86" s="2087" t="s">
        <v>1055</v>
      </c>
      <c r="I86" s="2087" t="s">
        <v>1053</v>
      </c>
    </row>
    <row r="87" spans="1:9" ht="37.5" customHeight="1" x14ac:dyDescent="0.2">
      <c r="A87" s="2340" t="s">
        <v>1357</v>
      </c>
      <c r="B87" s="2340"/>
      <c r="C87" s="2340"/>
      <c r="D87" s="2384" t="s">
        <v>1356</v>
      </c>
      <c r="E87" s="2384"/>
      <c r="F87" s="2384"/>
      <c r="G87" s="2090">
        <v>10</v>
      </c>
      <c r="H87" s="2090">
        <v>10</v>
      </c>
      <c r="I87" s="2090">
        <v>10</v>
      </c>
    </row>
    <row r="88" spans="1:9" ht="12.75" customHeight="1" x14ac:dyDescent="0.2">
      <c r="A88" s="2098"/>
      <c r="B88" s="2098"/>
      <c r="C88" s="2098"/>
      <c r="D88" s="2098"/>
      <c r="E88" s="2098"/>
      <c r="F88" s="2098"/>
      <c r="G88" s="2130"/>
      <c r="H88" s="2130"/>
      <c r="I88" s="2130"/>
    </row>
  </sheetData>
  <mergeCells count="54">
    <mergeCell ref="A86:C86"/>
    <mergeCell ref="D86:F86"/>
    <mergeCell ref="A87:C87"/>
    <mergeCell ref="D87:F87"/>
    <mergeCell ref="A72:C72"/>
    <mergeCell ref="D72:I72"/>
    <mergeCell ref="A74:I74"/>
    <mergeCell ref="A81:I81"/>
    <mergeCell ref="A82:I82"/>
    <mergeCell ref="A83:I83"/>
    <mergeCell ref="A69:C69"/>
    <mergeCell ref="D69:F69"/>
    <mergeCell ref="A64:I64"/>
    <mergeCell ref="D51:F51"/>
    <mergeCell ref="A49:C51"/>
    <mergeCell ref="A53:C53"/>
    <mergeCell ref="D53:I53"/>
    <mergeCell ref="A55:I55"/>
    <mergeCell ref="A62:I62"/>
    <mergeCell ref="A63:I63"/>
    <mergeCell ref="A67:C67"/>
    <mergeCell ref="D67:F67"/>
    <mergeCell ref="A68:C68"/>
    <mergeCell ref="D68:F68"/>
    <mergeCell ref="A48:C48"/>
    <mergeCell ref="D48:F48"/>
    <mergeCell ref="D49:F49"/>
    <mergeCell ref="A43:I43"/>
    <mergeCell ref="D50:F50"/>
    <mergeCell ref="A47:C47"/>
    <mergeCell ref="D47:F47"/>
    <mergeCell ref="A44:I44"/>
    <mergeCell ref="A31:C31"/>
    <mergeCell ref="D31:I31"/>
    <mergeCell ref="A33:I33"/>
    <mergeCell ref="A41:I41"/>
    <mergeCell ref="A42:I42"/>
    <mergeCell ref="D28:F28"/>
    <mergeCell ref="D29:F29"/>
    <mergeCell ref="A12:I12"/>
    <mergeCell ref="A28:C28"/>
    <mergeCell ref="A29:C29"/>
    <mergeCell ref="A14:C14"/>
    <mergeCell ref="D14:I14"/>
    <mergeCell ref="A16:I16"/>
    <mergeCell ref="A23:I23"/>
    <mergeCell ref="A24:I24"/>
    <mergeCell ref="A27:C27"/>
    <mergeCell ref="D27:F27"/>
    <mergeCell ref="A1:C1"/>
    <mergeCell ref="D1:I1"/>
    <mergeCell ref="A3:I3"/>
    <mergeCell ref="A10:I10"/>
    <mergeCell ref="A11:I1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40"/>
  <sheetViews>
    <sheetView zoomScaleNormal="100" workbookViewId="0">
      <selection activeCell="N31" sqref="N31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7.85546875" customWidth="1"/>
    <col min="7" max="7" width="0" hidden="1" customWidth="1"/>
    <col min="10" max="10" width="9.42578125" bestFit="1" customWidth="1"/>
    <col min="12" max="12" width="7.5703125" customWidth="1"/>
    <col min="13" max="13" width="8.42578125" customWidth="1"/>
    <col min="14" max="14" width="7.28515625" customWidth="1"/>
  </cols>
  <sheetData>
    <row r="1" spans="1:14" ht="15.75" x14ac:dyDescent="0.25">
      <c r="B1" s="99" t="s">
        <v>398</v>
      </c>
      <c r="E1" s="405" t="s">
        <v>399</v>
      </c>
      <c r="F1" s="97"/>
      <c r="G1" s="250" t="e">
        <f>G2-G7</f>
        <v>#REF!</v>
      </c>
      <c r="H1" s="250"/>
      <c r="I1" s="250"/>
      <c r="J1" s="250"/>
      <c r="K1" s="250"/>
      <c r="L1" s="251">
        <f>L2-L7</f>
        <v>0</v>
      </c>
      <c r="M1" s="251">
        <f>M2-M7</f>
        <v>0</v>
      </c>
      <c r="N1" s="251">
        <f>N2-N7</f>
        <v>0</v>
      </c>
    </row>
    <row r="2" spans="1:14" ht="15.75" x14ac:dyDescent="0.25">
      <c r="B2" s="99"/>
      <c r="E2" s="97"/>
      <c r="F2" s="97"/>
      <c r="G2" s="250" t="e">
        <f>SUM(G8:G10)</f>
        <v>#REF!</v>
      </c>
      <c r="H2" s="250"/>
      <c r="I2" s="250"/>
      <c r="J2" s="250"/>
      <c r="K2" s="250"/>
      <c r="L2" s="251">
        <f>SUM(L8:L10)</f>
        <v>131650</v>
      </c>
      <c r="M2" s="251">
        <f>SUM(M8:M10)</f>
        <v>131150</v>
      </c>
      <c r="N2" s="251">
        <f>SUM(N8:N10)</f>
        <v>130650</v>
      </c>
    </row>
    <row r="3" spans="1:14" ht="12.75" customHeight="1" x14ac:dyDescent="0.25">
      <c r="A3" s="108"/>
      <c r="B3" s="109"/>
      <c r="C3" s="110"/>
      <c r="D3" s="110"/>
      <c r="E3" s="111"/>
      <c r="F3" s="112"/>
      <c r="G3" s="2302" t="s">
        <v>163</v>
      </c>
      <c r="H3" s="2302"/>
      <c r="I3" s="2302"/>
      <c r="J3" s="2302"/>
      <c r="K3" s="2302"/>
      <c r="L3" s="2302"/>
      <c r="M3" s="2302"/>
      <c r="N3" s="2302"/>
    </row>
    <row r="4" spans="1:14" ht="12" customHeight="1" x14ac:dyDescent="0.2">
      <c r="A4" s="113"/>
      <c r="B4" s="114" t="s">
        <v>164</v>
      </c>
      <c r="C4" s="115" t="s">
        <v>165</v>
      </c>
      <c r="D4" s="2333" t="s">
        <v>166</v>
      </c>
      <c r="E4" s="2333"/>
      <c r="F4" s="2333"/>
      <c r="G4" s="116"/>
      <c r="H4" s="723">
        <v>2022</v>
      </c>
      <c r="I4" s="117">
        <v>2023</v>
      </c>
      <c r="J4" s="117">
        <v>2024</v>
      </c>
      <c r="K4" s="117" t="s">
        <v>1024</v>
      </c>
      <c r="L4" s="117">
        <v>2025</v>
      </c>
      <c r="M4" s="117">
        <v>2026</v>
      </c>
      <c r="N4" s="117">
        <v>2027</v>
      </c>
    </row>
    <row r="5" spans="1:14" ht="13.5" customHeight="1" x14ac:dyDescent="0.2">
      <c r="A5" s="113"/>
      <c r="B5" s="114" t="s">
        <v>167</v>
      </c>
      <c r="C5" s="115" t="s">
        <v>168</v>
      </c>
      <c r="D5" s="2333"/>
      <c r="E5" s="2333"/>
      <c r="F5" s="2333"/>
      <c r="G5" s="118" t="s">
        <v>169</v>
      </c>
      <c r="H5" s="743" t="s">
        <v>170</v>
      </c>
      <c r="I5" s="120" t="s">
        <v>171</v>
      </c>
      <c r="J5" s="120" t="s">
        <v>170</v>
      </c>
      <c r="K5" s="120" t="s">
        <v>171</v>
      </c>
      <c r="L5" s="394" t="s">
        <v>170</v>
      </c>
      <c r="M5" s="120" t="s">
        <v>171</v>
      </c>
      <c r="N5" s="120" t="s">
        <v>171</v>
      </c>
    </row>
    <row r="6" spans="1:14" ht="13.5" thickBot="1" x14ac:dyDescent="0.25">
      <c r="A6" s="254"/>
      <c r="B6" s="255" t="s">
        <v>172</v>
      </c>
      <c r="C6" s="256" t="s">
        <v>173</v>
      </c>
      <c r="D6" s="2333"/>
      <c r="E6" s="2333"/>
      <c r="F6" s="2333"/>
      <c r="G6" s="257">
        <v>1</v>
      </c>
      <c r="H6" s="744">
        <v>-3</v>
      </c>
      <c r="I6" s="303">
        <v>-2</v>
      </c>
      <c r="J6" s="303">
        <v>-1</v>
      </c>
      <c r="K6" s="303">
        <v>-1</v>
      </c>
      <c r="L6" s="303">
        <v>0</v>
      </c>
      <c r="M6" s="303">
        <v>1</v>
      </c>
      <c r="N6" s="303">
        <v>2</v>
      </c>
    </row>
    <row r="7" spans="1:14" ht="15" x14ac:dyDescent="0.25">
      <c r="A7" s="130">
        <v>1</v>
      </c>
      <c r="B7" s="406" t="s">
        <v>398</v>
      </c>
      <c r="C7" s="260"/>
      <c r="D7" s="261"/>
      <c r="E7" s="262" t="s">
        <v>400</v>
      </c>
      <c r="F7" s="263"/>
      <c r="G7" s="407" t="e">
        <f>G11+#REF!+#REF!+G17+#REF!+#REF!+#REF!+#REF!+#REF!+#REF!+#REF!+#REF!+G22+#REF!</f>
        <v>#REF!</v>
      </c>
      <c r="H7" s="847">
        <f>H8+H9+H10</f>
        <v>106410</v>
      </c>
      <c r="I7" s="762">
        <f>SUM(I8:I10)</f>
        <v>131781.97000000003</v>
      </c>
      <c r="J7" s="408">
        <f>J8+J9+J10</f>
        <v>124500</v>
      </c>
      <c r="K7" s="408">
        <f>SUM(K8:K10)</f>
        <v>132718</v>
      </c>
      <c r="L7" s="408">
        <f>SUM(L8,L9,L10)</f>
        <v>131650</v>
      </c>
      <c r="M7" s="408">
        <f>SUM(M8:M10)</f>
        <v>131150</v>
      </c>
      <c r="N7" s="408">
        <f>SUM(N8:N10)</f>
        <v>130650</v>
      </c>
    </row>
    <row r="8" spans="1:14" x14ac:dyDescent="0.2">
      <c r="A8" s="130">
        <f t="shared" ref="A8:A15" si="0">A7+1</f>
        <v>2</v>
      </c>
      <c r="B8" s="131" t="s">
        <v>175</v>
      </c>
      <c r="C8" s="674" t="s">
        <v>176</v>
      </c>
      <c r="D8" s="675"/>
      <c r="E8" s="676"/>
      <c r="F8" s="677"/>
      <c r="G8" s="678" t="e">
        <f>G12+#REF!+#REF!+#REF!+G18+#REF!+#REF!+#REF!+#REF!+G23+#REF!+#REF!+#REF!</f>
        <v>#REF!</v>
      </c>
      <c r="H8" s="778">
        <f>H12+H18+H23+H31+H36</f>
        <v>106410</v>
      </c>
      <c r="I8" s="746">
        <f>SUM(I12,I18,I23,I36)+I31</f>
        <v>131781.97000000003</v>
      </c>
      <c r="J8" s="679">
        <f>J12+J18+J23+J31+J36</f>
        <v>124500</v>
      </c>
      <c r="K8" s="679">
        <f>SUM(K12,K18,K23,K36)+K31</f>
        <v>132718</v>
      </c>
      <c r="L8" s="679">
        <f>SUM(L12,L18,L23,L36)+L31</f>
        <v>131650</v>
      </c>
      <c r="M8" s="679">
        <f>SUM(M12,M18,M23,M36)+M31</f>
        <v>131150</v>
      </c>
      <c r="N8" s="679">
        <f>SUM(N12,N18,N23,N36)+N31</f>
        <v>130650</v>
      </c>
    </row>
    <row r="9" spans="1:14" x14ac:dyDescent="0.2">
      <c r="A9" s="130">
        <f t="shared" si="0"/>
        <v>3</v>
      </c>
      <c r="B9" s="131" t="s">
        <v>177</v>
      </c>
      <c r="C9" s="768" t="s">
        <v>178</v>
      </c>
      <c r="D9" s="769"/>
      <c r="E9" s="770"/>
      <c r="F9" s="771"/>
      <c r="G9" s="772" t="e">
        <f>#REF!</f>
        <v>#REF!</v>
      </c>
      <c r="H9" s="785">
        <f>H27</f>
        <v>0</v>
      </c>
      <c r="I9" s="773">
        <f>SUM(I27)</f>
        <v>0</v>
      </c>
      <c r="J9" s="774">
        <f>J27</f>
        <v>0</v>
      </c>
      <c r="K9" s="774">
        <f>SUM(K27)</f>
        <v>0</v>
      </c>
      <c r="L9" s="775">
        <f>SUM(L27)</f>
        <v>0</v>
      </c>
      <c r="M9" s="774">
        <f>SUM(M27)</f>
        <v>0</v>
      </c>
      <c r="N9" s="774">
        <f>SUM(N27)</f>
        <v>0</v>
      </c>
    </row>
    <row r="10" spans="1:14" ht="13.5" thickBot="1" x14ac:dyDescent="0.25">
      <c r="A10" s="130">
        <f t="shared" si="0"/>
        <v>4</v>
      </c>
      <c r="B10" s="134"/>
      <c r="C10" s="702" t="s">
        <v>179</v>
      </c>
      <c r="D10" s="703"/>
      <c r="E10" s="704"/>
      <c r="F10" s="705"/>
      <c r="G10" s="796" t="e">
        <f>#REF!</f>
        <v>#REF!</v>
      </c>
      <c r="H10" s="848">
        <v>0</v>
      </c>
      <c r="I10" s="812">
        <v>0</v>
      </c>
      <c r="J10" s="813">
        <v>0</v>
      </c>
      <c r="K10" s="813">
        <v>0</v>
      </c>
      <c r="L10" s="797">
        <v>0</v>
      </c>
      <c r="M10" s="813">
        <v>0</v>
      </c>
      <c r="N10" s="813">
        <v>0</v>
      </c>
    </row>
    <row r="11" spans="1:14" ht="13.5" thickTop="1" x14ac:dyDescent="0.2">
      <c r="A11" s="130">
        <f t="shared" si="0"/>
        <v>5</v>
      </c>
      <c r="B11" s="135">
        <v>1</v>
      </c>
      <c r="C11" s="235" t="s">
        <v>401</v>
      </c>
      <c r="D11" s="137"/>
      <c r="E11" s="137"/>
      <c r="F11" s="138"/>
      <c r="G11" s="409">
        <f>SUM(G13)</f>
        <v>414.90000000000003</v>
      </c>
      <c r="H11" s="410">
        <f>H12</f>
        <v>11560</v>
      </c>
      <c r="I11" s="140">
        <f t="shared" ref="I11:N12" si="1">I12</f>
        <v>11735.6</v>
      </c>
      <c r="J11" s="140">
        <f>J12</f>
        <v>12500</v>
      </c>
      <c r="K11" s="140">
        <f t="shared" si="1"/>
        <v>12300</v>
      </c>
      <c r="L11" s="410">
        <f t="shared" si="1"/>
        <v>12500</v>
      </c>
      <c r="M11" s="140">
        <f t="shared" si="1"/>
        <v>12500</v>
      </c>
      <c r="N11" s="140">
        <f t="shared" si="1"/>
        <v>12500</v>
      </c>
    </row>
    <row r="12" spans="1:14" x14ac:dyDescent="0.2">
      <c r="A12" s="130">
        <f t="shared" si="0"/>
        <v>6</v>
      </c>
      <c r="B12" s="150"/>
      <c r="C12" s="151"/>
      <c r="D12" s="133" t="s">
        <v>176</v>
      </c>
      <c r="E12" s="152"/>
      <c r="F12" s="153"/>
      <c r="G12" s="411">
        <f>G13</f>
        <v>414.90000000000003</v>
      </c>
      <c r="H12" s="412">
        <f>H13</f>
        <v>11560</v>
      </c>
      <c r="I12" s="155">
        <f t="shared" si="1"/>
        <v>11735.6</v>
      </c>
      <c r="J12" s="155">
        <f>J13</f>
        <v>12500</v>
      </c>
      <c r="K12" s="155">
        <f t="shared" si="1"/>
        <v>12300</v>
      </c>
      <c r="L12" s="412">
        <f t="shared" si="1"/>
        <v>12500</v>
      </c>
      <c r="M12" s="155">
        <f t="shared" si="1"/>
        <v>12500</v>
      </c>
      <c r="N12" s="155">
        <f t="shared" si="1"/>
        <v>12500</v>
      </c>
    </row>
    <row r="13" spans="1:14" x14ac:dyDescent="0.2">
      <c r="A13" s="130">
        <f t="shared" si="0"/>
        <v>7</v>
      </c>
      <c r="B13" s="183"/>
      <c r="C13" s="233" t="s">
        <v>402</v>
      </c>
      <c r="D13" s="158" t="s">
        <v>403</v>
      </c>
      <c r="E13" s="159"/>
      <c r="F13" s="160"/>
      <c r="G13" s="413">
        <f>SUM(G14:G15)</f>
        <v>414.90000000000003</v>
      </c>
      <c r="H13" s="276">
        <f>SUM(H14:H16)</f>
        <v>11560</v>
      </c>
      <c r="I13" s="162">
        <f>SUM(I14,I15,I16)</f>
        <v>11735.6</v>
      </c>
      <c r="J13" s="162">
        <f>J14+J15+J16</f>
        <v>12500</v>
      </c>
      <c r="K13" s="162">
        <f>SUM(K14,K15,K16)</f>
        <v>12300</v>
      </c>
      <c r="L13" s="276">
        <f>SUM(L14,L15,L16)</f>
        <v>12500</v>
      </c>
      <c r="M13" s="162">
        <f>SUM(M14,M15,M16)</f>
        <v>12500</v>
      </c>
      <c r="N13" s="162">
        <f>SUM(N14,N15,N16)</f>
        <v>12500</v>
      </c>
    </row>
    <row r="14" spans="1:14" x14ac:dyDescent="0.2">
      <c r="A14" s="130">
        <f t="shared" si="0"/>
        <v>8</v>
      </c>
      <c r="B14" s="183"/>
      <c r="C14" s="214" t="s">
        <v>221</v>
      </c>
      <c r="D14" s="213" t="s">
        <v>210</v>
      </c>
      <c r="E14" s="175" t="s">
        <v>404</v>
      </c>
      <c r="F14" s="181"/>
      <c r="G14" s="182">
        <f>ROUND(M14/30.126,1)</f>
        <v>16.600000000000001</v>
      </c>
      <c r="H14" s="417">
        <f>výdavky!D611</f>
        <v>500</v>
      </c>
      <c r="I14" s="174">
        <f>výdavky!E611</f>
        <v>135.6</v>
      </c>
      <c r="J14" s="174">
        <f>výdavky!F611</f>
        <v>500</v>
      </c>
      <c r="K14" s="174">
        <f>výdavky!G611</f>
        <v>500</v>
      </c>
      <c r="L14" s="277">
        <f>výdavky!H611</f>
        <v>500</v>
      </c>
      <c r="M14" s="174">
        <f>výdavky!I611</f>
        <v>500</v>
      </c>
      <c r="N14" s="174">
        <f>výdavky!J611</f>
        <v>500</v>
      </c>
    </row>
    <row r="15" spans="1:14" x14ac:dyDescent="0.2">
      <c r="A15" s="130">
        <f t="shared" si="0"/>
        <v>9</v>
      </c>
      <c r="B15" s="183"/>
      <c r="C15" s="214" t="s">
        <v>221</v>
      </c>
      <c r="D15" s="213" t="s">
        <v>212</v>
      </c>
      <c r="E15" s="175" t="s">
        <v>405</v>
      </c>
      <c r="F15" s="181"/>
      <c r="G15" s="182">
        <f>ROUND(M15/30.126,1)</f>
        <v>398.3</v>
      </c>
      <c r="H15" s="417">
        <f>výdavky!D612</f>
        <v>11060</v>
      </c>
      <c r="I15" s="174">
        <f>výdavky!E612</f>
        <v>11600</v>
      </c>
      <c r="J15" s="174">
        <f>výdavky!F612</f>
        <v>12000</v>
      </c>
      <c r="K15" s="174">
        <f>výdavky!G612</f>
        <v>11800</v>
      </c>
      <c r="L15" s="277">
        <f>výdavky!H612</f>
        <v>12000</v>
      </c>
      <c r="M15" s="174">
        <f>výdavky!I612</f>
        <v>12000</v>
      </c>
      <c r="N15" s="174">
        <f>výdavky!J612</f>
        <v>12000</v>
      </c>
    </row>
    <row r="16" spans="1:14" x14ac:dyDescent="0.2">
      <c r="A16" s="130">
        <v>10</v>
      </c>
      <c r="B16" s="183"/>
      <c r="C16" s="212" t="s">
        <v>364</v>
      </c>
      <c r="D16" s="213" t="s">
        <v>223</v>
      </c>
      <c r="E16" s="297" t="s">
        <v>406</v>
      </c>
      <c r="F16" s="181"/>
      <c r="G16" s="182"/>
      <c r="H16" s="417">
        <f>výdavky!D613</f>
        <v>0</v>
      </c>
      <c r="I16" s="174">
        <f>výdavky!E613</f>
        <v>0</v>
      </c>
      <c r="J16" s="174">
        <f>výdavky!F613</f>
        <v>0</v>
      </c>
      <c r="K16" s="174">
        <f>výdavky!G613</f>
        <v>0</v>
      </c>
      <c r="L16" s="277">
        <f>výdavky!H613</f>
        <v>0</v>
      </c>
      <c r="M16" s="174">
        <f>výdavky!I613</f>
        <v>0</v>
      </c>
      <c r="N16" s="174">
        <f>výdavky!J613</f>
        <v>0</v>
      </c>
    </row>
    <row r="17" spans="1:14" x14ac:dyDescent="0.2">
      <c r="A17" s="130">
        <v>11</v>
      </c>
      <c r="B17" s="135">
        <v>2</v>
      </c>
      <c r="C17" s="235" t="s">
        <v>407</v>
      </c>
      <c r="D17" s="137"/>
      <c r="E17" s="137"/>
      <c r="F17" s="138"/>
      <c r="G17" s="139" t="e">
        <f>#REF!</f>
        <v>#REF!</v>
      </c>
      <c r="H17" s="410">
        <f>H18</f>
        <v>4800</v>
      </c>
      <c r="I17" s="414">
        <f>SUM(I18)</f>
        <v>3773.09</v>
      </c>
      <c r="J17" s="414">
        <f>J18</f>
        <v>1000</v>
      </c>
      <c r="K17" s="414">
        <f>SUM(K18)</f>
        <v>1918</v>
      </c>
      <c r="L17" s="415">
        <f>SUM(L18)</f>
        <v>1000</v>
      </c>
      <c r="M17" s="414">
        <f>SUM(M18)</f>
        <v>1000</v>
      </c>
      <c r="N17" s="414">
        <f>SUM(N18)</f>
        <v>1000</v>
      </c>
    </row>
    <row r="18" spans="1:14" x14ac:dyDescent="0.2">
      <c r="A18" s="130">
        <v>12</v>
      </c>
      <c r="B18" s="150"/>
      <c r="C18" s="151"/>
      <c r="D18" s="133" t="s">
        <v>176</v>
      </c>
      <c r="E18" s="152"/>
      <c r="F18" s="153"/>
      <c r="G18" s="411">
        <f t="shared" ref="G18:N18" si="2">G19</f>
        <v>0</v>
      </c>
      <c r="H18" s="412">
        <f>H19</f>
        <v>4800</v>
      </c>
      <c r="I18" s="155">
        <f t="shared" si="2"/>
        <v>3773.09</v>
      </c>
      <c r="J18" s="155">
        <f>J19</f>
        <v>1000</v>
      </c>
      <c r="K18" s="155">
        <f t="shared" si="2"/>
        <v>1918</v>
      </c>
      <c r="L18" s="412">
        <f t="shared" si="2"/>
        <v>1000</v>
      </c>
      <c r="M18" s="155">
        <f t="shared" si="2"/>
        <v>1000</v>
      </c>
      <c r="N18" s="155">
        <f t="shared" si="2"/>
        <v>1000</v>
      </c>
    </row>
    <row r="19" spans="1:14" x14ac:dyDescent="0.2">
      <c r="A19" s="130">
        <f t="shared" ref="A19:A26" si="3">A18+1</f>
        <v>13</v>
      </c>
      <c r="B19" s="183"/>
      <c r="C19" s="233" t="s">
        <v>408</v>
      </c>
      <c r="D19" s="158" t="s">
        <v>409</v>
      </c>
      <c r="E19" s="159"/>
      <c r="F19" s="160"/>
      <c r="G19" s="413">
        <f>SUM(G20)</f>
        <v>0</v>
      </c>
      <c r="H19" s="276">
        <f>H20+H21</f>
        <v>4800</v>
      </c>
      <c r="I19" s="162">
        <f>SUM(I20:I21)</f>
        <v>3773.09</v>
      </c>
      <c r="J19" s="162">
        <f>J20+J21</f>
        <v>1000</v>
      </c>
      <c r="K19" s="162">
        <f>SUM(K20:K21)</f>
        <v>1918</v>
      </c>
      <c r="L19" s="276">
        <f>SUM(L20:L21)</f>
        <v>1000</v>
      </c>
      <c r="M19" s="162">
        <f>SUM(M20:M21)</f>
        <v>1000</v>
      </c>
      <c r="N19" s="162">
        <f>SUM(N20:N21)</f>
        <v>1000</v>
      </c>
    </row>
    <row r="20" spans="1:14" x14ac:dyDescent="0.2">
      <c r="A20" s="130">
        <f t="shared" si="3"/>
        <v>14</v>
      </c>
      <c r="B20" s="183"/>
      <c r="C20" s="214" t="s">
        <v>364</v>
      </c>
      <c r="D20" s="213" t="s">
        <v>210</v>
      </c>
      <c r="E20" s="175" t="s">
        <v>410</v>
      </c>
      <c r="F20" s="181"/>
      <c r="G20" s="182">
        <f>ROUND(M20/30.126,1)</f>
        <v>0</v>
      </c>
      <c r="H20" s="417">
        <f>výdavky!D616+výdavky!D615</f>
        <v>3500</v>
      </c>
      <c r="I20" s="174">
        <f>výdavky!E616+výdavky!D615</f>
        <v>2900</v>
      </c>
      <c r="J20" s="174">
        <f>výdavky!F616+výdavky!F615</f>
        <v>0</v>
      </c>
      <c r="K20" s="174">
        <f>výdavky!G616+výdavky!G615</f>
        <v>1918</v>
      </c>
      <c r="L20" s="277">
        <f>výdavky!H616+výdavky!H615</f>
        <v>0</v>
      </c>
      <c r="M20" s="174">
        <f>výdavky!I616+výdavky!I615</f>
        <v>0</v>
      </c>
      <c r="N20" s="174">
        <f>výdavky!J616+výdavky!J615</f>
        <v>0</v>
      </c>
    </row>
    <row r="21" spans="1:14" x14ac:dyDescent="0.2">
      <c r="A21" s="130">
        <f t="shared" si="3"/>
        <v>15</v>
      </c>
      <c r="B21" s="183"/>
      <c r="C21" s="212" t="s">
        <v>364</v>
      </c>
      <c r="D21" s="213" t="s">
        <v>212</v>
      </c>
      <c r="E21" s="175" t="s">
        <v>411</v>
      </c>
      <c r="F21" s="181"/>
      <c r="G21" s="182"/>
      <c r="H21" s="417">
        <f>výdavky!D614</f>
        <v>1300</v>
      </c>
      <c r="I21" s="174">
        <f>výdavky!E614</f>
        <v>873.09</v>
      </c>
      <c r="J21" s="174">
        <f>výdavky!F614</f>
        <v>1000</v>
      </c>
      <c r="K21" s="174">
        <f>výdavky!G614</f>
        <v>0</v>
      </c>
      <c r="L21" s="277">
        <f>výdavky!H614</f>
        <v>1000</v>
      </c>
      <c r="M21" s="174">
        <f>výdavky!I614</f>
        <v>1000</v>
      </c>
      <c r="N21" s="174">
        <f>výdavky!J614</f>
        <v>1000</v>
      </c>
    </row>
    <row r="22" spans="1:14" x14ac:dyDescent="0.2">
      <c r="A22" s="130">
        <f t="shared" si="3"/>
        <v>16</v>
      </c>
      <c r="B22" s="135">
        <v>3</v>
      </c>
      <c r="C22" s="235" t="s">
        <v>412</v>
      </c>
      <c r="D22" s="137"/>
      <c r="E22" s="137"/>
      <c r="F22" s="138"/>
      <c r="G22" s="139">
        <f>SUM(G24)</f>
        <v>2560.8999999999996</v>
      </c>
      <c r="H22" s="410">
        <f>H23+H27</f>
        <v>57550</v>
      </c>
      <c r="I22" s="141">
        <f>I24</f>
        <v>74326.900000000009</v>
      </c>
      <c r="J22" s="141">
        <f>J23+J27</f>
        <v>70000</v>
      </c>
      <c r="K22" s="141">
        <f>K24</f>
        <v>76300</v>
      </c>
      <c r="L22" s="410">
        <f>L24</f>
        <v>77150</v>
      </c>
      <c r="M22" s="141">
        <f>M24</f>
        <v>77150</v>
      </c>
      <c r="N22" s="141">
        <f>N24</f>
        <v>76650</v>
      </c>
    </row>
    <row r="23" spans="1:14" x14ac:dyDescent="0.2">
      <c r="A23" s="130">
        <f t="shared" si="3"/>
        <v>17</v>
      </c>
      <c r="B23" s="150"/>
      <c r="C23" s="151"/>
      <c r="D23" s="133" t="s">
        <v>176</v>
      </c>
      <c r="E23" s="152"/>
      <c r="F23" s="153"/>
      <c r="G23" s="154">
        <f t="shared" ref="G23:N23" si="4">G24</f>
        <v>2560.8999999999996</v>
      </c>
      <c r="H23" s="412">
        <f>H24</f>
        <v>57550</v>
      </c>
      <c r="I23" s="155">
        <f t="shared" si="4"/>
        <v>74326.900000000009</v>
      </c>
      <c r="J23" s="155">
        <f>J24</f>
        <v>70000</v>
      </c>
      <c r="K23" s="155">
        <f t="shared" si="4"/>
        <v>76300</v>
      </c>
      <c r="L23" s="412">
        <f t="shared" si="4"/>
        <v>77150</v>
      </c>
      <c r="M23" s="155">
        <f t="shared" si="4"/>
        <v>77150</v>
      </c>
      <c r="N23" s="155">
        <f t="shared" si="4"/>
        <v>76650</v>
      </c>
    </row>
    <row r="24" spans="1:14" x14ac:dyDescent="0.2">
      <c r="A24" s="130">
        <f t="shared" si="3"/>
        <v>18</v>
      </c>
      <c r="B24" s="150"/>
      <c r="C24" s="233" t="s">
        <v>413</v>
      </c>
      <c r="D24" s="158" t="s">
        <v>412</v>
      </c>
      <c r="E24" s="159"/>
      <c r="F24" s="160"/>
      <c r="G24" s="223">
        <f>SUM(G25:G39)</f>
        <v>2560.8999999999996</v>
      </c>
      <c r="H24" s="416">
        <f>H25+H26</f>
        <v>57550</v>
      </c>
      <c r="I24" s="224">
        <f>SUM(I25,I26)</f>
        <v>74326.900000000009</v>
      </c>
      <c r="J24" s="224">
        <f>J25+J26</f>
        <v>70000</v>
      </c>
      <c r="K24" s="224">
        <f>SUM(K25,K26)</f>
        <v>76300</v>
      </c>
      <c r="L24" s="416">
        <f>SUM(L25,L26)</f>
        <v>77150</v>
      </c>
      <c r="M24" s="224">
        <f>SUM(M25,M26)</f>
        <v>77150</v>
      </c>
      <c r="N24" s="224">
        <f>SUM(N25,N26)</f>
        <v>76650</v>
      </c>
    </row>
    <row r="25" spans="1:14" x14ac:dyDescent="0.2">
      <c r="A25" s="130">
        <f t="shared" si="3"/>
        <v>19</v>
      </c>
      <c r="B25" s="183"/>
      <c r="C25" s="214" t="s">
        <v>377</v>
      </c>
      <c r="D25" s="213" t="s">
        <v>210</v>
      </c>
      <c r="E25" s="175" t="s">
        <v>378</v>
      </c>
      <c r="F25" s="181"/>
      <c r="G25" s="182">
        <f>ROUND(M25/30.126,1)</f>
        <v>1991.6</v>
      </c>
      <c r="H25" s="417">
        <f>výdavky!D623+výdavky!D624+výdavky!D625</f>
        <v>48600</v>
      </c>
      <c r="I25" s="174">
        <f>výdavky!E623+výdavky!E624+výdavky!E625+výdavky!E625</f>
        <v>60637.430000000008</v>
      </c>
      <c r="J25" s="174">
        <f>výdavky!F623+výdavky!F624+výdavky!F625</f>
        <v>60000</v>
      </c>
      <c r="K25" s="174">
        <f>výdavky!G623+výdavky!G624+výdavky!G625</f>
        <v>59300</v>
      </c>
      <c r="L25" s="417">
        <f>výdavky!H623+výdavky!H624+výdavky!H625</f>
        <v>60000</v>
      </c>
      <c r="M25" s="174">
        <f>výdavky!I623+výdavky!I624+výdavky!I625</f>
        <v>60000</v>
      </c>
      <c r="N25" s="174">
        <f>výdavky!J623+výdavky!J624+výdavky!J625</f>
        <v>60000</v>
      </c>
    </row>
    <row r="26" spans="1:14" x14ac:dyDescent="0.2">
      <c r="A26" s="130">
        <f t="shared" si="3"/>
        <v>20</v>
      </c>
      <c r="B26" s="183"/>
      <c r="C26" s="214" t="s">
        <v>379</v>
      </c>
      <c r="D26" s="213" t="s">
        <v>212</v>
      </c>
      <c r="E26" s="175" t="s">
        <v>356</v>
      </c>
      <c r="F26" s="181"/>
      <c r="G26" s="182">
        <f>ROUND(M26/30.126,1)</f>
        <v>569.29999999999995</v>
      </c>
      <c r="H26" s="417">
        <f>SUM(výdavky!D626:D639)</f>
        <v>8950</v>
      </c>
      <c r="I26" s="174">
        <f>výdavky!E626+výdavky!E627+výdavky!E628+výdavky!E629+výdavky!E630+výdavky!E631+výdavky!E632+výdavky!E633+výdavky!E634+výdavky!E636+výdavky!E637+výdavky!E638+výdavky!E639+výdavky!E626</f>
        <v>13689.47</v>
      </c>
      <c r="J26" s="174">
        <f>výdavky!F626+výdavky!F627+výdavky!F628+výdavky!F630+výdavky!F632+výdavky!F634+výdavky!F637+výdavky!F638+výdavky!F639+výdavky!F636</f>
        <v>10000</v>
      </c>
      <c r="K26" s="174">
        <f>výdavky!G626+výdavky!G627+výdavky!G628+výdavky!G629+výdavky!G630+výdavky!G631+výdavky!G632+výdavky!G633+výdavky!G634+výdavky!G636+výdavky!G637+výdavky!G638+výdavky!G639+výdavky!G635</f>
        <v>17000</v>
      </c>
      <c r="L26" s="417">
        <f>výdavky!H626+výdavky!H627+výdavky!H628+výdavky!H629+výdavky!H630+výdavky!H631+výdavky!H632+výdavky!H633+výdavky!H634+výdavky!H636+výdavky!H637+výdavky!H638+výdavky!H639+výdavky!H635</f>
        <v>17150</v>
      </c>
      <c r="M26" s="174">
        <f>výdavky!I626+výdavky!I627+výdavky!I628+výdavky!I629+výdavky!I630+výdavky!I631+výdavky!I632+výdavky!I633+výdavky!I634+výdavky!I636+výdavky!I637+výdavky!I638+výdavky!I639+výdavky!I635</f>
        <v>17150</v>
      </c>
      <c r="N26" s="174">
        <f>výdavky!J626+výdavky!J627+výdavky!J628+výdavky!J629+výdavky!J630+výdavky!J631+výdavky!J632+výdavky!J633+výdavky!J634+výdavky!J636+výdavky!J637+výdavky!J638+výdavky!J639+výdavky!J635</f>
        <v>16650</v>
      </c>
    </row>
    <row r="27" spans="1:14" x14ac:dyDescent="0.2">
      <c r="A27" s="130">
        <v>21</v>
      </c>
      <c r="B27" s="183"/>
      <c r="C27" s="212"/>
      <c r="D27" s="2385" t="s">
        <v>178</v>
      </c>
      <c r="E27" s="2385"/>
      <c r="F27" s="602"/>
      <c r="G27" s="603"/>
      <c r="H27" s="605">
        <f>H28</f>
        <v>0</v>
      </c>
      <c r="I27" s="604">
        <f t="shared" ref="I27:N28" si="5">SUM(I28)</f>
        <v>0</v>
      </c>
      <c r="J27" s="604">
        <f>J28</f>
        <v>0</v>
      </c>
      <c r="K27" s="604">
        <f t="shared" si="5"/>
        <v>0</v>
      </c>
      <c r="L27" s="605">
        <f t="shared" si="5"/>
        <v>0</v>
      </c>
      <c r="M27" s="604">
        <f t="shared" si="5"/>
        <v>0</v>
      </c>
      <c r="N27" s="604">
        <f t="shared" si="5"/>
        <v>0</v>
      </c>
    </row>
    <row r="28" spans="1:14" x14ac:dyDescent="0.2">
      <c r="A28" s="130">
        <v>22</v>
      </c>
      <c r="B28" s="183"/>
      <c r="C28" s="233" t="s">
        <v>413</v>
      </c>
      <c r="D28" s="158" t="s">
        <v>412</v>
      </c>
      <c r="E28" s="159"/>
      <c r="F28" s="160"/>
      <c r="G28" s="223">
        <f>SUM(G29:G43)</f>
        <v>0</v>
      </c>
      <c r="H28" s="849">
        <f>H29</f>
        <v>0</v>
      </c>
      <c r="I28" s="224">
        <f t="shared" si="5"/>
        <v>0</v>
      </c>
      <c r="J28" s="224">
        <f>J29</f>
        <v>0</v>
      </c>
      <c r="K28" s="224">
        <f t="shared" si="5"/>
        <v>0</v>
      </c>
      <c r="L28" s="416">
        <f t="shared" si="5"/>
        <v>0</v>
      </c>
      <c r="M28" s="224">
        <f t="shared" si="5"/>
        <v>0</v>
      </c>
      <c r="N28" s="224">
        <f t="shared" si="5"/>
        <v>0</v>
      </c>
    </row>
    <row r="29" spans="1:14" x14ac:dyDescent="0.2">
      <c r="A29" s="130">
        <v>23</v>
      </c>
      <c r="B29" s="183"/>
      <c r="C29" s="212" t="s">
        <v>286</v>
      </c>
      <c r="D29" s="586" t="s">
        <v>223</v>
      </c>
      <c r="E29" s="177" t="s">
        <v>81</v>
      </c>
      <c r="F29" s="587"/>
      <c r="G29" s="561"/>
      <c r="H29" s="569">
        <f>výdavky!D785</f>
        <v>0</v>
      </c>
      <c r="I29" s="180">
        <f>výdavky!E784</f>
        <v>0</v>
      </c>
      <c r="J29" s="180">
        <f>výdavky!F785</f>
        <v>0</v>
      </c>
      <c r="K29" s="180">
        <f>výdavky!G784</f>
        <v>0</v>
      </c>
      <c r="L29" s="569">
        <f>výdavky!H784</f>
        <v>0</v>
      </c>
      <c r="M29" s="180">
        <f>výdavky!I784</f>
        <v>0</v>
      </c>
      <c r="N29" s="180">
        <f>výdavky!J784</f>
        <v>0</v>
      </c>
    </row>
    <row r="30" spans="1:14" x14ac:dyDescent="0.2">
      <c r="A30" s="130">
        <v>24</v>
      </c>
      <c r="B30" s="843">
        <v>4</v>
      </c>
      <c r="C30" s="2386" t="s">
        <v>656</v>
      </c>
      <c r="D30" s="2387"/>
      <c r="E30" s="2387"/>
      <c r="F30" s="2388"/>
      <c r="G30" s="844"/>
      <c r="H30" s="846">
        <f>H31</f>
        <v>25500</v>
      </c>
      <c r="I30" s="845">
        <f t="shared" ref="I30:N31" si="6">I31</f>
        <v>37933.78</v>
      </c>
      <c r="J30" s="845">
        <f>J31</f>
        <v>38000</v>
      </c>
      <c r="K30" s="845">
        <f t="shared" si="6"/>
        <v>38200</v>
      </c>
      <c r="L30" s="846">
        <f t="shared" si="6"/>
        <v>38000</v>
      </c>
      <c r="M30" s="845">
        <f t="shared" si="6"/>
        <v>37500</v>
      </c>
      <c r="N30" s="845">
        <f t="shared" si="6"/>
        <v>37500</v>
      </c>
    </row>
    <row r="31" spans="1:14" x14ac:dyDescent="0.2">
      <c r="A31" s="130">
        <v>25</v>
      </c>
      <c r="B31" s="183"/>
      <c r="C31" s="212"/>
      <c r="D31" s="133" t="s">
        <v>176</v>
      </c>
      <c r="E31" s="152"/>
      <c r="F31" s="153"/>
      <c r="G31" s="763"/>
      <c r="H31" s="765">
        <f>H32</f>
        <v>25500</v>
      </c>
      <c r="I31" s="764">
        <f t="shared" si="6"/>
        <v>37933.78</v>
      </c>
      <c r="J31" s="764">
        <f>J32</f>
        <v>38000</v>
      </c>
      <c r="K31" s="764">
        <f t="shared" si="6"/>
        <v>38200</v>
      </c>
      <c r="L31" s="765">
        <f t="shared" si="6"/>
        <v>38000</v>
      </c>
      <c r="M31" s="764">
        <f t="shared" si="6"/>
        <v>37500</v>
      </c>
      <c r="N31" s="764">
        <f t="shared" si="6"/>
        <v>37500</v>
      </c>
    </row>
    <row r="32" spans="1:14" x14ac:dyDescent="0.2">
      <c r="A32" s="130">
        <v>26</v>
      </c>
      <c r="B32" s="183"/>
      <c r="C32" s="212"/>
      <c r="D32" s="2389" t="s">
        <v>656</v>
      </c>
      <c r="E32" s="2390"/>
      <c r="F32" s="2391"/>
      <c r="G32" s="592"/>
      <c r="H32" s="594">
        <f>H33+H34</f>
        <v>25500</v>
      </c>
      <c r="I32" s="593">
        <f>SUM(I33:I34)</f>
        <v>37933.78</v>
      </c>
      <c r="J32" s="593">
        <f>J33+J34</f>
        <v>38000</v>
      </c>
      <c r="K32" s="593">
        <f>SUM(K33:K34)</f>
        <v>38200</v>
      </c>
      <c r="L32" s="594">
        <f>SUM(L33:L34)</f>
        <v>38000</v>
      </c>
      <c r="M32" s="593">
        <f>SUM(M33:M34)</f>
        <v>37500</v>
      </c>
      <c r="N32" s="593">
        <f>SUM(N33:N34)</f>
        <v>37500</v>
      </c>
    </row>
    <row r="33" spans="1:14" x14ac:dyDescent="0.2">
      <c r="A33" s="130">
        <v>27</v>
      </c>
      <c r="B33" s="183"/>
      <c r="C33" s="214" t="s">
        <v>377</v>
      </c>
      <c r="D33" s="589" t="s">
        <v>210</v>
      </c>
      <c r="E33" s="590" t="s">
        <v>378</v>
      </c>
      <c r="F33" s="591"/>
      <c r="G33" s="215"/>
      <c r="H33" s="565">
        <f>výdavky!D618+výdavky!D619+výdavky!D620</f>
        <v>25000</v>
      </c>
      <c r="I33" s="169">
        <f>výdavky!E618+výdavky!E619</f>
        <v>37594.57</v>
      </c>
      <c r="J33" s="169">
        <f>výdavky!F618+výdavky!F619</f>
        <v>37500</v>
      </c>
      <c r="K33" s="169">
        <f>výdavky!G618+výdavky!G619+výdavky!G620</f>
        <v>37700</v>
      </c>
      <c r="L33" s="567">
        <f>výdavky!H618+výdavky!H619</f>
        <v>37500</v>
      </c>
      <c r="M33" s="169">
        <f>výdavky!I618+výdavky!I619</f>
        <v>37500</v>
      </c>
      <c r="N33" s="169">
        <f>výdavky!J618+výdavky!J619</f>
        <v>37500</v>
      </c>
    </row>
    <row r="34" spans="1:14" x14ac:dyDescent="0.2">
      <c r="A34" s="130">
        <v>28</v>
      </c>
      <c r="B34" s="183"/>
      <c r="C34" s="214" t="s">
        <v>379</v>
      </c>
      <c r="D34" s="213" t="s">
        <v>212</v>
      </c>
      <c r="E34" s="175" t="s">
        <v>356</v>
      </c>
      <c r="F34" s="181"/>
      <c r="G34" s="215"/>
      <c r="H34" s="565">
        <f>výdavky!D621</f>
        <v>500</v>
      </c>
      <c r="I34" s="565">
        <f>výdavky!E621</f>
        <v>339.21</v>
      </c>
      <c r="J34" s="565">
        <f>výdavky!F621</f>
        <v>500</v>
      </c>
      <c r="K34" s="565">
        <f>výdavky!G621</f>
        <v>500</v>
      </c>
      <c r="L34" s="570">
        <f>výdavky!H621</f>
        <v>500</v>
      </c>
      <c r="M34" s="565">
        <f>výdavky!I621</f>
        <v>0</v>
      </c>
      <c r="N34" s="565">
        <f>výdavky!J621</f>
        <v>0</v>
      </c>
    </row>
    <row r="35" spans="1:14" x14ac:dyDescent="0.2">
      <c r="A35" s="130">
        <v>29</v>
      </c>
      <c r="B35" s="595">
        <v>5</v>
      </c>
      <c r="C35" s="2334" t="s">
        <v>414</v>
      </c>
      <c r="D35" s="2334"/>
      <c r="E35" s="2334"/>
      <c r="F35" s="418"/>
      <c r="G35" s="419"/>
      <c r="H35" s="420">
        <f>H36</f>
        <v>7000</v>
      </c>
      <c r="I35" s="298">
        <f t="shared" ref="I35:N36" si="7">SUM(I36)</f>
        <v>4012.6</v>
      </c>
      <c r="J35" s="298">
        <f>J36</f>
        <v>3000</v>
      </c>
      <c r="K35" s="298">
        <f t="shared" si="7"/>
        <v>4000</v>
      </c>
      <c r="L35" s="420">
        <f t="shared" si="7"/>
        <v>3000</v>
      </c>
      <c r="M35" s="298">
        <f t="shared" si="7"/>
        <v>3000</v>
      </c>
      <c r="N35" s="298">
        <f t="shared" si="7"/>
        <v>3000</v>
      </c>
    </row>
    <row r="36" spans="1:14" x14ac:dyDescent="0.2">
      <c r="A36" s="130">
        <v>30</v>
      </c>
      <c r="B36" s="183"/>
      <c r="C36" s="212"/>
      <c r="D36" s="133" t="s">
        <v>176</v>
      </c>
      <c r="E36" s="152"/>
      <c r="F36" s="153"/>
      <c r="G36" s="313"/>
      <c r="H36" s="421">
        <f>H37</f>
        <v>7000</v>
      </c>
      <c r="I36" s="389">
        <f t="shared" si="7"/>
        <v>4012.6</v>
      </c>
      <c r="J36" s="389">
        <f>J37</f>
        <v>3000</v>
      </c>
      <c r="K36" s="389">
        <f t="shared" si="7"/>
        <v>4000</v>
      </c>
      <c r="L36" s="421">
        <f t="shared" si="7"/>
        <v>3000</v>
      </c>
      <c r="M36" s="389">
        <f t="shared" si="7"/>
        <v>3000</v>
      </c>
      <c r="N36" s="389">
        <f t="shared" si="7"/>
        <v>3000</v>
      </c>
    </row>
    <row r="37" spans="1:14" x14ac:dyDescent="0.2">
      <c r="A37" s="130">
        <v>31</v>
      </c>
      <c r="B37" s="183"/>
      <c r="C37" s="233" t="s">
        <v>415</v>
      </c>
      <c r="D37" s="158" t="s">
        <v>416</v>
      </c>
      <c r="E37" s="159"/>
      <c r="F37" s="160"/>
      <c r="G37" s="766"/>
      <c r="H37" s="850">
        <f>H38+H39+H40</f>
        <v>7000</v>
      </c>
      <c r="I37" s="342">
        <f>SUM(I38,I39,I40)</f>
        <v>4012.6</v>
      </c>
      <c r="J37" s="342">
        <f>J38+J39+J40</f>
        <v>3000</v>
      </c>
      <c r="K37" s="342">
        <f>SUM(K38,K39,K40)</f>
        <v>4000</v>
      </c>
      <c r="L37" s="767">
        <f>SUM(L38,L39,L40)</f>
        <v>3000</v>
      </c>
      <c r="M37" s="342">
        <f>SUM(M38,M39,M40)</f>
        <v>3000</v>
      </c>
      <c r="N37" s="342">
        <f>SUM(N38,N39,N40)</f>
        <v>3000</v>
      </c>
    </row>
    <row r="38" spans="1:14" x14ac:dyDescent="0.2">
      <c r="A38" s="130">
        <v>32</v>
      </c>
      <c r="B38" s="183"/>
      <c r="C38" s="212" t="s">
        <v>364</v>
      </c>
      <c r="D38" s="213" t="s">
        <v>210</v>
      </c>
      <c r="E38" s="395" t="s">
        <v>417</v>
      </c>
      <c r="F38" s="422"/>
      <c r="G38" s="423"/>
      <c r="H38" s="424">
        <f>výdavky!D643</f>
        <v>0</v>
      </c>
      <c r="I38" s="396">
        <f>výdavky!E643</f>
        <v>0</v>
      </c>
      <c r="J38" s="396">
        <f>výdavky!F643</f>
        <v>0</v>
      </c>
      <c r="K38" s="396">
        <f>výdavky!G643</f>
        <v>0</v>
      </c>
      <c r="L38" s="424">
        <f>výdavky!H643</f>
        <v>0</v>
      </c>
      <c r="M38" s="396">
        <f>výdavky!I643</f>
        <v>0</v>
      </c>
      <c r="N38" s="396">
        <f>výdavky!J643</f>
        <v>0</v>
      </c>
    </row>
    <row r="39" spans="1:14" x14ac:dyDescent="0.2">
      <c r="A39" s="130">
        <v>33</v>
      </c>
      <c r="B39" s="183"/>
      <c r="C39" s="212" t="s">
        <v>364</v>
      </c>
      <c r="D39" s="213" t="s">
        <v>212</v>
      </c>
      <c r="E39" s="395" t="s">
        <v>418</v>
      </c>
      <c r="F39" s="422"/>
      <c r="G39" s="423"/>
      <c r="H39" s="424">
        <f>výdavky!D644+výdavky!D645</f>
        <v>7000</v>
      </c>
      <c r="I39" s="396">
        <f>výdavky!E645+výdavky!E644</f>
        <v>4012.6</v>
      </c>
      <c r="J39" s="396">
        <f>výdavky!F644+výdavky!F645</f>
        <v>3000</v>
      </c>
      <c r="K39" s="396">
        <f>výdavky!G645+výdavky!G644</f>
        <v>4000</v>
      </c>
      <c r="L39" s="424">
        <f>výdavky!H645+výdavky!H644</f>
        <v>3000</v>
      </c>
      <c r="M39" s="396">
        <f>výdavky!I645+výdavky!I644</f>
        <v>3000</v>
      </c>
      <c r="N39" s="396">
        <f>+výdavky!J644+výdavky!J645</f>
        <v>3000</v>
      </c>
    </row>
    <row r="40" spans="1:14" x14ac:dyDescent="0.2">
      <c r="A40" s="242">
        <v>34</v>
      </c>
      <c r="B40" s="360"/>
      <c r="C40" s="279" t="s">
        <v>364</v>
      </c>
      <c r="D40" s="280" t="s">
        <v>223</v>
      </c>
      <c r="E40" s="332" t="s">
        <v>490</v>
      </c>
      <c r="F40" s="333"/>
      <c r="G40" s="425"/>
      <c r="H40" s="285">
        <f>výdavky!D641</f>
        <v>0</v>
      </c>
      <c r="I40" s="426">
        <f>výdavky!E641</f>
        <v>0</v>
      </c>
      <c r="J40" s="426">
        <f>výdavky!F641</f>
        <v>0</v>
      </c>
      <c r="K40" s="426">
        <f>výdavky!G642</f>
        <v>0</v>
      </c>
      <c r="L40" s="427">
        <f>výdavky!H641</f>
        <v>0</v>
      </c>
      <c r="M40" s="426">
        <f>výdavky!I641</f>
        <v>0</v>
      </c>
      <c r="N40" s="426">
        <f>výdavky!J641</f>
        <v>0</v>
      </c>
    </row>
  </sheetData>
  <mergeCells count="6">
    <mergeCell ref="G3:N3"/>
    <mergeCell ref="D4:F6"/>
    <mergeCell ref="D27:E27"/>
    <mergeCell ref="C35:E35"/>
    <mergeCell ref="C30:F30"/>
    <mergeCell ref="D32:F32"/>
  </mergeCells>
  <phoneticPr fontId="43" type="noConversion"/>
  <pageMargins left="0.25" right="0.25" top="0.75" bottom="0.75" header="0.3" footer="0.3"/>
  <pageSetup paperSize="9" scale="85" firstPageNumber="0" fitToHeight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5"/>
  <sheetViews>
    <sheetView workbookViewId="0">
      <selection activeCell="A16" sqref="A16:I16"/>
    </sheetView>
  </sheetViews>
  <sheetFormatPr defaultRowHeight="12.75" x14ac:dyDescent="0.2"/>
  <sheetData>
    <row r="1" spans="1:9" ht="23.25" x14ac:dyDescent="0.2">
      <c r="A1" s="2332" t="s">
        <v>1358</v>
      </c>
      <c r="B1" s="2332"/>
      <c r="C1" s="2332"/>
      <c r="D1" s="2332" t="s">
        <v>1359</v>
      </c>
      <c r="E1" s="2332"/>
      <c r="F1" s="2332"/>
      <c r="G1" s="2332"/>
      <c r="H1" s="2332"/>
      <c r="I1" s="2332"/>
    </row>
    <row r="2" spans="1:9" x14ac:dyDescent="0.2">
      <c r="A2" s="2058"/>
      <c r="B2" s="2058"/>
      <c r="C2" s="2058"/>
      <c r="D2" s="2058"/>
      <c r="E2" s="2058"/>
      <c r="F2" s="2058"/>
      <c r="G2" s="2058"/>
      <c r="H2" s="2058"/>
      <c r="I2" s="2058"/>
    </row>
    <row r="3" spans="1:9" ht="15" x14ac:dyDescent="0.2">
      <c r="A3" s="2330" t="s">
        <v>1360</v>
      </c>
      <c r="B3" s="2331"/>
      <c r="C3" s="2331"/>
      <c r="D3" s="2331"/>
      <c r="E3" s="2331"/>
      <c r="F3" s="2331"/>
      <c r="G3" s="2331"/>
      <c r="H3" s="2331"/>
      <c r="I3" s="2331"/>
    </row>
    <row r="4" spans="1:9" ht="15.75" x14ac:dyDescent="0.2">
      <c r="A4" s="2104" t="s">
        <v>1361</v>
      </c>
      <c r="B4" s="2058"/>
      <c r="C4" s="2058"/>
      <c r="D4" s="2058"/>
      <c r="E4" s="2058"/>
      <c r="F4" s="2058"/>
      <c r="G4" s="2058"/>
      <c r="H4" s="2058"/>
      <c r="I4" s="2058"/>
    </row>
    <row r="5" spans="1:9" s="2058" customFormat="1" x14ac:dyDescent="0.2"/>
    <row r="6" spans="1:9" ht="15.75" x14ac:dyDescent="0.25">
      <c r="A6" s="2112" t="s">
        <v>1039</v>
      </c>
      <c r="B6" s="2058"/>
      <c r="C6" s="2058"/>
      <c r="D6" s="2058"/>
      <c r="E6" s="2058"/>
      <c r="F6" s="2058"/>
      <c r="G6" s="2058"/>
      <c r="H6" s="2058"/>
      <c r="I6" s="2058"/>
    </row>
    <row r="7" spans="1:9" ht="15.75" x14ac:dyDescent="0.25">
      <c r="A7" s="2071" t="s">
        <v>1040</v>
      </c>
      <c r="B7" s="2071">
        <v>2022</v>
      </c>
      <c r="C7" s="2071">
        <v>2023</v>
      </c>
      <c r="D7" s="2071">
        <v>2024</v>
      </c>
      <c r="E7" s="2071" t="s">
        <v>984</v>
      </c>
      <c r="F7" s="2071">
        <v>2025</v>
      </c>
      <c r="G7" s="2071">
        <v>2026</v>
      </c>
      <c r="H7" s="2071">
        <v>2027</v>
      </c>
      <c r="I7" s="2058"/>
    </row>
    <row r="8" spans="1:9" ht="15.75" x14ac:dyDescent="0.25">
      <c r="A8" s="2070" t="s">
        <v>170</v>
      </c>
      <c r="B8" s="1579">
        <f>'Program 10'!H7</f>
        <v>106410</v>
      </c>
      <c r="C8" s="1579">
        <f>'Program 10'!I7</f>
        <v>131781.97000000003</v>
      </c>
      <c r="D8" s="1579">
        <f>'Program 10'!J7</f>
        <v>124500</v>
      </c>
      <c r="E8" s="1579">
        <f>'Program 10'!K7</f>
        <v>132718</v>
      </c>
      <c r="F8" s="2072">
        <f>'Program 10'!L7</f>
        <v>131650</v>
      </c>
      <c r="G8" s="1579">
        <f>'Program 10'!M7</f>
        <v>131150</v>
      </c>
      <c r="H8" s="1579">
        <f>'Program 10'!N7</f>
        <v>130650</v>
      </c>
      <c r="I8" s="2058"/>
    </row>
    <row r="9" spans="1:9" x14ac:dyDescent="0.2">
      <c r="A9" s="2058"/>
      <c r="B9" s="2058"/>
      <c r="C9" s="2058"/>
      <c r="D9" s="2058"/>
      <c r="E9" s="2058"/>
      <c r="F9" s="2058"/>
      <c r="G9" s="2058"/>
      <c r="H9" s="2058"/>
      <c r="I9" s="2058"/>
    </row>
    <row r="10" spans="1:9" ht="15" x14ac:dyDescent="0.25">
      <c r="A10" s="2309" t="s">
        <v>1124</v>
      </c>
      <c r="B10" s="2309"/>
      <c r="C10" s="2309"/>
      <c r="D10" s="2309"/>
      <c r="E10" s="2309"/>
      <c r="F10" s="2309"/>
      <c r="G10" s="2309"/>
      <c r="H10" s="2309"/>
      <c r="I10" s="2309"/>
    </row>
    <row r="11" spans="1:9" ht="48.75" customHeight="1" x14ac:dyDescent="0.2">
      <c r="A11" s="2392" t="s">
        <v>1362</v>
      </c>
      <c r="B11" s="2392"/>
      <c r="C11" s="2392"/>
      <c r="D11" s="2392"/>
      <c r="E11" s="2392"/>
      <c r="F11" s="2392"/>
      <c r="G11" s="2392"/>
      <c r="H11" s="2392"/>
      <c r="I11" s="2392"/>
    </row>
    <row r="12" spans="1:9" x14ac:dyDescent="0.2">
      <c r="A12" s="2392"/>
      <c r="B12" s="2392"/>
      <c r="C12" s="2392"/>
      <c r="D12" s="2392"/>
      <c r="E12" s="2392"/>
      <c r="F12" s="2392"/>
      <c r="G12" s="2392"/>
      <c r="H12" s="2392"/>
      <c r="I12" s="2392"/>
    </row>
    <row r="13" spans="1:9" s="2058" customFormat="1" ht="15.75" x14ac:dyDescent="0.2">
      <c r="A13" s="2131"/>
      <c r="B13" s="2131"/>
      <c r="C13" s="2131"/>
      <c r="D13" s="2131"/>
      <c r="E13" s="2131"/>
      <c r="F13" s="2131"/>
      <c r="G13" s="2131"/>
      <c r="H13" s="2131"/>
      <c r="I13" s="2131"/>
    </row>
    <row r="14" spans="1:9" ht="15" x14ac:dyDescent="0.25">
      <c r="A14" s="2306" t="s">
        <v>1363</v>
      </c>
      <c r="B14" s="2306"/>
      <c r="C14" s="2306"/>
      <c r="D14" s="2306" t="s">
        <v>401</v>
      </c>
      <c r="E14" s="2306"/>
      <c r="F14" s="2306"/>
      <c r="G14" s="2306"/>
      <c r="H14" s="2306"/>
      <c r="I14" s="2306"/>
    </row>
    <row r="15" spans="1:9" x14ac:dyDescent="0.2">
      <c r="A15" s="2058"/>
      <c r="B15" s="2058"/>
      <c r="C15" s="2058"/>
      <c r="D15" s="2058"/>
      <c r="E15" s="2058"/>
      <c r="F15" s="2058"/>
      <c r="G15" s="2058"/>
      <c r="H15" s="2058"/>
      <c r="I15" s="2058"/>
    </row>
    <row r="16" spans="1:9" ht="15" x14ac:dyDescent="0.25">
      <c r="A16" s="2307" t="s">
        <v>1162</v>
      </c>
      <c r="B16" s="2307"/>
      <c r="C16" s="2307"/>
      <c r="D16" s="2307"/>
      <c r="E16" s="2307"/>
      <c r="F16" s="2307"/>
      <c r="G16" s="2307"/>
      <c r="H16" s="2307"/>
      <c r="I16" s="2307"/>
    </row>
    <row r="17" spans="1:9" ht="15" x14ac:dyDescent="0.2">
      <c r="A17" s="2105" t="s">
        <v>1364</v>
      </c>
      <c r="B17" s="2106"/>
      <c r="C17" s="2106"/>
      <c r="D17" s="2106"/>
      <c r="E17" s="2106"/>
      <c r="F17" s="2106"/>
      <c r="G17" s="2106"/>
      <c r="H17" s="2106"/>
      <c r="I17" s="2106"/>
    </row>
    <row r="18" spans="1:9" x14ac:dyDescent="0.2">
      <c r="A18" s="2106"/>
      <c r="B18" s="2106"/>
      <c r="C18" s="2106"/>
      <c r="D18" s="2106"/>
      <c r="E18" s="2106"/>
      <c r="F18" s="2106"/>
      <c r="G18" s="2106"/>
      <c r="H18" s="2106"/>
      <c r="I18" s="2106"/>
    </row>
    <row r="19" spans="1:9" ht="15" x14ac:dyDescent="0.25">
      <c r="A19" s="2076" t="s">
        <v>1039</v>
      </c>
      <c r="B19" s="2058"/>
      <c r="C19" s="2058"/>
      <c r="D19" s="2058"/>
      <c r="E19" s="2058"/>
      <c r="F19" s="2058"/>
      <c r="G19" s="2058"/>
      <c r="H19" s="2058"/>
      <c r="I19" s="2058"/>
    </row>
    <row r="20" spans="1:9" ht="15" x14ac:dyDescent="0.25">
      <c r="A20" s="2074" t="s">
        <v>1040</v>
      </c>
      <c r="B20" s="2074">
        <v>2022</v>
      </c>
      <c r="C20" s="2074">
        <v>2023</v>
      </c>
      <c r="D20" s="2074">
        <v>2024</v>
      </c>
      <c r="E20" s="2074" t="s">
        <v>984</v>
      </c>
      <c r="F20" s="2074">
        <v>2025</v>
      </c>
      <c r="G20" s="2074">
        <v>2026</v>
      </c>
      <c r="H20" s="2074">
        <v>2027</v>
      </c>
      <c r="I20" s="2058"/>
    </row>
    <row r="21" spans="1:9" ht="15" x14ac:dyDescent="0.25">
      <c r="A21" s="2075" t="s">
        <v>170</v>
      </c>
      <c r="B21" s="2077">
        <f>'Program 10'!H11</f>
        <v>11560</v>
      </c>
      <c r="C21" s="2077">
        <f>'Program 10'!I11</f>
        <v>11735.6</v>
      </c>
      <c r="D21" s="2077">
        <f>'Program 10'!J11</f>
        <v>12500</v>
      </c>
      <c r="E21" s="2077">
        <f>'Program 10'!K11</f>
        <v>12300</v>
      </c>
      <c r="F21" s="2078">
        <f>'Program 10'!L11</f>
        <v>12500</v>
      </c>
      <c r="G21" s="2077">
        <f>'Program 10'!M11</f>
        <v>12500</v>
      </c>
      <c r="H21" s="2077">
        <f>'Program 10'!N11</f>
        <v>12500</v>
      </c>
      <c r="I21" s="2058"/>
    </row>
    <row r="22" spans="1:9" x14ac:dyDescent="0.2">
      <c r="A22" s="2058"/>
      <c r="B22" s="2058"/>
      <c r="C22" s="2058"/>
      <c r="D22" s="2058"/>
      <c r="E22" s="2058"/>
      <c r="F22" s="2058"/>
      <c r="G22" s="2058"/>
      <c r="H22" s="2058"/>
      <c r="I22" s="2058"/>
    </row>
    <row r="23" spans="1:9" x14ac:dyDescent="0.2">
      <c r="A23" s="2316" t="s">
        <v>1044</v>
      </c>
      <c r="B23" s="2316"/>
      <c r="C23" s="2316"/>
      <c r="D23" s="2316"/>
      <c r="E23" s="2316"/>
      <c r="F23" s="2316"/>
      <c r="G23" s="2316"/>
      <c r="H23" s="2316"/>
      <c r="I23" s="2316"/>
    </row>
    <row r="24" spans="1:9" ht="28.5" customHeight="1" x14ac:dyDescent="0.2">
      <c r="A24" s="2308" t="s">
        <v>1365</v>
      </c>
      <c r="B24" s="2308"/>
      <c r="C24" s="2308"/>
      <c r="D24" s="2308"/>
      <c r="E24" s="2308"/>
      <c r="F24" s="2308"/>
      <c r="G24" s="2308"/>
      <c r="H24" s="2308"/>
      <c r="I24" s="2308"/>
    </row>
    <row r="25" spans="1:9" x14ac:dyDescent="0.2">
      <c r="A25" s="2058"/>
      <c r="B25" s="2058"/>
      <c r="C25" s="2058"/>
      <c r="D25" s="2058"/>
      <c r="E25" s="2058"/>
      <c r="F25" s="2058"/>
      <c r="G25" s="2058"/>
      <c r="H25" s="2058"/>
      <c r="I25" s="2058"/>
    </row>
    <row r="26" spans="1:9" ht="15" x14ac:dyDescent="0.25">
      <c r="A26" s="2076" t="s">
        <v>1051</v>
      </c>
      <c r="B26" s="2058"/>
      <c r="C26" s="2058"/>
      <c r="D26" s="2058"/>
      <c r="E26" s="2058"/>
      <c r="F26" s="2058"/>
      <c r="G26" s="2058"/>
      <c r="H26" s="2080"/>
      <c r="I26" s="2080"/>
    </row>
    <row r="27" spans="1:9" ht="38.25" x14ac:dyDescent="0.2">
      <c r="A27" s="2310" t="s">
        <v>1052</v>
      </c>
      <c r="B27" s="2310"/>
      <c r="C27" s="2310"/>
      <c r="D27" s="2310" t="s">
        <v>1056</v>
      </c>
      <c r="E27" s="2310"/>
      <c r="F27" s="2310"/>
      <c r="G27" s="2087" t="s">
        <v>1054</v>
      </c>
      <c r="H27" s="2087" t="s">
        <v>1055</v>
      </c>
      <c r="I27" s="2087" t="s">
        <v>1053</v>
      </c>
    </row>
    <row r="28" spans="1:9" ht="39.75" customHeight="1" x14ac:dyDescent="0.2">
      <c r="A28" s="2305" t="s">
        <v>1369</v>
      </c>
      <c r="B28" s="2305"/>
      <c r="C28" s="2305"/>
      <c r="D28" s="2305" t="s">
        <v>1366</v>
      </c>
      <c r="E28" s="2305"/>
      <c r="F28" s="2305"/>
      <c r="G28" s="2113">
        <v>20</v>
      </c>
      <c r="H28" s="2113">
        <v>20</v>
      </c>
      <c r="I28" s="2113">
        <v>20</v>
      </c>
    </row>
    <row r="29" spans="1:9" ht="67.5" customHeight="1" x14ac:dyDescent="0.2">
      <c r="A29" s="2305" t="s">
        <v>1370</v>
      </c>
      <c r="B29" s="2305"/>
      <c r="C29" s="2305"/>
      <c r="D29" s="2311" t="s">
        <v>1367</v>
      </c>
      <c r="E29" s="2311"/>
      <c r="F29" s="2311"/>
      <c r="G29" s="2100">
        <v>1</v>
      </c>
      <c r="H29" s="2100">
        <v>1</v>
      </c>
      <c r="I29" s="2100">
        <v>1</v>
      </c>
    </row>
    <row r="30" spans="1:9" s="2058" customFormat="1" ht="41.25" customHeight="1" x14ac:dyDescent="0.2">
      <c r="A30" s="2305" t="s">
        <v>1371</v>
      </c>
      <c r="B30" s="2305"/>
      <c r="C30" s="2305"/>
      <c r="D30" s="2311" t="s">
        <v>1368</v>
      </c>
      <c r="E30" s="2311"/>
      <c r="F30" s="2311"/>
      <c r="G30" s="2100">
        <v>20</v>
      </c>
      <c r="H30" s="2100">
        <v>25</v>
      </c>
      <c r="I30" s="2100">
        <v>30</v>
      </c>
    </row>
    <row r="31" spans="1:9" s="2058" customFormat="1" x14ac:dyDescent="0.2">
      <c r="A31" s="2098"/>
      <c r="B31" s="2098"/>
      <c r="C31" s="2098"/>
      <c r="D31" s="2132"/>
      <c r="E31" s="2132"/>
      <c r="F31" s="2132"/>
      <c r="G31" s="2097"/>
      <c r="H31" s="2097"/>
      <c r="I31" s="2097"/>
    </row>
    <row r="32" spans="1:9" s="2058" customFormat="1" x14ac:dyDescent="0.2">
      <c r="A32" s="2098"/>
      <c r="B32" s="2098"/>
      <c r="C32" s="2098"/>
      <c r="D32" s="2132"/>
      <c r="E32" s="2132"/>
      <c r="F32" s="2132"/>
      <c r="G32" s="2097"/>
      <c r="H32" s="2097"/>
      <c r="I32" s="2097"/>
    </row>
    <row r="33" spans="1:9" ht="15" x14ac:dyDescent="0.25">
      <c r="A33" s="2306" t="s">
        <v>1372</v>
      </c>
      <c r="B33" s="2306"/>
      <c r="C33" s="2306"/>
      <c r="D33" s="2306" t="s">
        <v>407</v>
      </c>
      <c r="E33" s="2306"/>
      <c r="F33" s="2306"/>
      <c r="G33" s="2306"/>
      <c r="H33" s="2306"/>
      <c r="I33" s="2306"/>
    </row>
    <row r="34" spans="1:9" x14ac:dyDescent="0.2">
      <c r="A34" s="2058"/>
      <c r="B34" s="2058"/>
      <c r="C34" s="2058"/>
      <c r="D34" s="2058"/>
      <c r="E34" s="2058"/>
      <c r="F34" s="2058"/>
      <c r="G34" s="2058"/>
      <c r="H34" s="2058"/>
      <c r="I34" s="2058"/>
    </row>
    <row r="35" spans="1:9" ht="15" x14ac:dyDescent="0.25">
      <c r="A35" s="2307" t="s">
        <v>1162</v>
      </c>
      <c r="B35" s="2307"/>
      <c r="C35" s="2307"/>
      <c r="D35" s="2307"/>
      <c r="E35" s="2307"/>
      <c r="F35" s="2307"/>
      <c r="G35" s="2307"/>
      <c r="H35" s="2307"/>
      <c r="I35" s="2307"/>
    </row>
    <row r="36" spans="1:9" ht="15" x14ac:dyDescent="0.2">
      <c r="A36" s="2105" t="s">
        <v>1373</v>
      </c>
      <c r="B36" s="2106"/>
      <c r="C36" s="2106"/>
      <c r="D36" s="2106"/>
      <c r="E36" s="2106"/>
      <c r="F36" s="2106"/>
      <c r="G36" s="2106"/>
      <c r="H36" s="2106"/>
      <c r="I36" s="2106"/>
    </row>
    <row r="37" spans="1:9" s="2058" customFormat="1" ht="15" x14ac:dyDescent="0.2">
      <c r="A37" s="2105"/>
      <c r="B37" s="2106"/>
      <c r="C37" s="2106"/>
      <c r="D37" s="2106"/>
      <c r="E37" s="2106"/>
      <c r="F37" s="2106"/>
      <c r="G37" s="2106"/>
      <c r="H37" s="2106"/>
      <c r="I37" s="2106"/>
    </row>
    <row r="38" spans="1:9" s="2058" customFormat="1" ht="15" x14ac:dyDescent="0.2">
      <c r="A38" s="2105"/>
      <c r="B38" s="2106"/>
      <c r="C38" s="2106"/>
      <c r="D38" s="2106"/>
      <c r="E38" s="2106"/>
      <c r="F38" s="2106"/>
      <c r="G38" s="2106"/>
      <c r="H38" s="2106"/>
      <c r="I38" s="2106"/>
    </row>
    <row r="39" spans="1:9" s="2058" customFormat="1" ht="15" x14ac:dyDescent="0.2">
      <c r="A39" s="2105"/>
      <c r="B39" s="2106"/>
      <c r="C39" s="2106"/>
      <c r="D39" s="2106"/>
      <c r="E39" s="2106"/>
      <c r="F39" s="2106"/>
      <c r="G39" s="2106"/>
      <c r="H39" s="2106"/>
      <c r="I39" s="2106"/>
    </row>
    <row r="40" spans="1:9" x14ac:dyDescent="0.2">
      <c r="A40" s="2106"/>
      <c r="B40" s="2106"/>
      <c r="C40" s="2106"/>
      <c r="D40" s="2106"/>
      <c r="E40" s="2106"/>
      <c r="F40" s="2106"/>
      <c r="G40" s="2106"/>
      <c r="H40" s="2106"/>
      <c r="I40" s="2106"/>
    </row>
    <row r="41" spans="1:9" ht="15" x14ac:dyDescent="0.25">
      <c r="A41" s="2076" t="s">
        <v>1039</v>
      </c>
      <c r="B41" s="2058"/>
      <c r="C41" s="2058"/>
      <c r="D41" s="2058"/>
      <c r="E41" s="2058"/>
      <c r="F41" s="2058"/>
      <c r="G41" s="2058"/>
      <c r="H41" s="2058"/>
      <c r="I41" s="2058"/>
    </row>
    <row r="42" spans="1:9" ht="15" x14ac:dyDescent="0.25">
      <c r="A42" s="2074" t="s">
        <v>1040</v>
      </c>
      <c r="B42" s="2074">
        <v>2022</v>
      </c>
      <c r="C42" s="2074">
        <v>2023</v>
      </c>
      <c r="D42" s="2074">
        <v>2024</v>
      </c>
      <c r="E42" s="2074" t="s">
        <v>984</v>
      </c>
      <c r="F42" s="2074">
        <v>2025</v>
      </c>
      <c r="G42" s="2074">
        <v>2026</v>
      </c>
      <c r="H42" s="2074">
        <v>2027</v>
      </c>
      <c r="I42" s="2058"/>
    </row>
    <row r="43" spans="1:9" ht="15" x14ac:dyDescent="0.25">
      <c r="A43" s="2075" t="s">
        <v>170</v>
      </c>
      <c r="B43" s="2077">
        <f>'Program 10'!H17</f>
        <v>4800</v>
      </c>
      <c r="C43" s="2077">
        <f>'Program 10'!I17</f>
        <v>3773.09</v>
      </c>
      <c r="D43" s="2077">
        <f>'Program 10'!J17</f>
        <v>1000</v>
      </c>
      <c r="E43" s="2077">
        <f>'Program 10'!K17</f>
        <v>1918</v>
      </c>
      <c r="F43" s="2078">
        <f>'Program 10'!L17</f>
        <v>1000</v>
      </c>
      <c r="G43" s="2077">
        <f>'Program 10'!M17</f>
        <v>1000</v>
      </c>
      <c r="H43" s="2077">
        <f>'Program 10'!N17</f>
        <v>1000</v>
      </c>
      <c r="I43" s="2058"/>
    </row>
    <row r="44" spans="1:9" x14ac:dyDescent="0.2">
      <c r="A44" s="2058"/>
      <c r="B44" s="2058"/>
      <c r="C44" s="2058"/>
      <c r="D44" s="2058"/>
      <c r="E44" s="2058"/>
      <c r="F44" s="2058"/>
      <c r="G44" s="2058"/>
      <c r="H44" s="2058"/>
      <c r="I44" s="2058"/>
    </row>
    <row r="45" spans="1:9" ht="15" x14ac:dyDescent="0.25">
      <c r="A45" s="2309" t="s">
        <v>1181</v>
      </c>
      <c r="B45" s="2309"/>
      <c r="C45" s="2309"/>
      <c r="D45" s="2309"/>
      <c r="E45" s="2309"/>
      <c r="F45" s="2309"/>
      <c r="G45" s="2309"/>
      <c r="H45" s="2309"/>
      <c r="I45" s="2309"/>
    </row>
    <row r="46" spans="1:9" ht="68.25" customHeight="1" x14ac:dyDescent="0.2">
      <c r="A46" s="2308" t="s">
        <v>1374</v>
      </c>
      <c r="B46" s="2308"/>
      <c r="C46" s="2308"/>
      <c r="D46" s="2308"/>
      <c r="E46" s="2308"/>
      <c r="F46" s="2308"/>
      <c r="G46" s="2308"/>
      <c r="H46" s="2308"/>
      <c r="I46" s="2308"/>
    </row>
    <row r="47" spans="1:9" x14ac:dyDescent="0.2">
      <c r="A47" s="2058"/>
      <c r="B47" s="2058"/>
      <c r="C47" s="2058"/>
      <c r="D47" s="2058"/>
      <c r="E47" s="2058"/>
      <c r="F47" s="2058"/>
      <c r="G47" s="2058"/>
      <c r="H47" s="2058"/>
      <c r="I47" s="2058"/>
    </row>
    <row r="48" spans="1:9" ht="15" x14ac:dyDescent="0.25">
      <c r="A48" s="2076" t="s">
        <v>1051</v>
      </c>
      <c r="B48" s="2058"/>
      <c r="C48" s="2058"/>
      <c r="D48" s="2058"/>
      <c r="E48" s="2058"/>
      <c r="F48" s="2058"/>
      <c r="G48" s="2058"/>
      <c r="H48" s="2080"/>
      <c r="I48" s="2080"/>
    </row>
    <row r="49" spans="1:9" ht="38.25" x14ac:dyDescent="0.2">
      <c r="A49" s="2310" t="s">
        <v>1052</v>
      </c>
      <c r="B49" s="2310"/>
      <c r="C49" s="2310"/>
      <c r="D49" s="2310" t="s">
        <v>1056</v>
      </c>
      <c r="E49" s="2310"/>
      <c r="F49" s="2310"/>
      <c r="G49" s="2087" t="s">
        <v>1054</v>
      </c>
      <c r="H49" s="2087" t="s">
        <v>1055</v>
      </c>
      <c r="I49" s="2087" t="s">
        <v>1053</v>
      </c>
    </row>
    <row r="50" spans="1:9" ht="15" customHeight="1" x14ac:dyDescent="0.2">
      <c r="A50" s="2311" t="s">
        <v>1378</v>
      </c>
      <c r="B50" s="2311"/>
      <c r="C50" s="2311"/>
      <c r="D50" s="2205" t="s">
        <v>1375</v>
      </c>
      <c r="E50" s="2205"/>
      <c r="F50" s="2205"/>
      <c r="G50" s="2100">
        <v>20</v>
      </c>
      <c r="H50" s="2100">
        <v>20</v>
      </c>
      <c r="I50" s="2100">
        <v>20</v>
      </c>
    </row>
    <row r="51" spans="1:9" ht="27" customHeight="1" x14ac:dyDescent="0.2">
      <c r="A51" s="2311"/>
      <c r="B51" s="2311"/>
      <c r="C51" s="2311"/>
      <c r="D51" s="2342" t="s">
        <v>1376</v>
      </c>
      <c r="E51" s="2342"/>
      <c r="F51" s="2342"/>
      <c r="G51" s="2100">
        <v>5</v>
      </c>
      <c r="H51" s="2100">
        <v>5</v>
      </c>
      <c r="I51" s="2100">
        <v>5</v>
      </c>
    </row>
    <row r="52" spans="1:9" ht="26.25" customHeight="1" x14ac:dyDescent="0.2">
      <c r="A52" s="2305" t="s">
        <v>1379</v>
      </c>
      <c r="B52" s="2305"/>
      <c r="C52" s="2305"/>
      <c r="D52" s="2305" t="s">
        <v>1377</v>
      </c>
      <c r="E52" s="2305"/>
      <c r="F52" s="2305"/>
      <c r="G52" s="2100">
        <v>2</v>
      </c>
      <c r="H52" s="2100">
        <v>2</v>
      </c>
      <c r="I52" s="2100">
        <v>2</v>
      </c>
    </row>
    <row r="53" spans="1:9" ht="12.75" customHeight="1" x14ac:dyDescent="0.2">
      <c r="A53" s="2099"/>
      <c r="B53" s="2099"/>
      <c r="C53" s="2099"/>
      <c r="D53" s="2098"/>
      <c r="E53" s="2098"/>
      <c r="F53" s="2098"/>
      <c r="G53" s="2097"/>
      <c r="H53" s="2097"/>
      <c r="I53" s="2097"/>
    </row>
    <row r="54" spans="1:9" ht="15" x14ac:dyDescent="0.25">
      <c r="A54" s="2306" t="s">
        <v>1380</v>
      </c>
      <c r="B54" s="2306"/>
      <c r="C54" s="2306"/>
      <c r="D54" s="2306" t="s">
        <v>412</v>
      </c>
      <c r="E54" s="2306"/>
      <c r="F54" s="2306"/>
      <c r="G54" s="2306"/>
      <c r="H54" s="2306"/>
      <c r="I54" s="2306"/>
    </row>
    <row r="55" spans="1:9" x14ac:dyDescent="0.2">
      <c r="A55" s="2058"/>
      <c r="B55" s="2058"/>
      <c r="C55" s="2058"/>
      <c r="D55" s="2058"/>
      <c r="E55" s="2058"/>
      <c r="F55" s="2058"/>
      <c r="G55" s="2058"/>
      <c r="H55" s="2058"/>
      <c r="I55" s="2058"/>
    </row>
    <row r="56" spans="1:9" ht="15" x14ac:dyDescent="0.25">
      <c r="A56" s="2307" t="s">
        <v>1162</v>
      </c>
      <c r="B56" s="2307"/>
      <c r="C56" s="2307"/>
      <c r="D56" s="2307"/>
      <c r="E56" s="2307"/>
      <c r="F56" s="2307"/>
      <c r="G56" s="2307"/>
      <c r="H56" s="2307"/>
      <c r="I56" s="2307"/>
    </row>
    <row r="57" spans="1:9" ht="27.75" customHeight="1" x14ac:dyDescent="0.2">
      <c r="A57" s="2308" t="s">
        <v>1381</v>
      </c>
      <c r="B57" s="2308"/>
      <c r="C57" s="2308"/>
      <c r="D57" s="2308"/>
      <c r="E57" s="2308"/>
      <c r="F57" s="2308"/>
      <c r="G57" s="2308"/>
      <c r="H57" s="2308"/>
      <c r="I57" s="2308"/>
    </row>
    <row r="58" spans="1:9" x14ac:dyDescent="0.2">
      <c r="A58" s="2106"/>
      <c r="B58" s="2106"/>
      <c r="C58" s="2106"/>
      <c r="D58" s="2106"/>
      <c r="E58" s="2106"/>
      <c r="F58" s="2106"/>
      <c r="G58" s="2106"/>
      <c r="H58" s="2106"/>
      <c r="I58" s="2106"/>
    </row>
    <row r="59" spans="1:9" ht="15" x14ac:dyDescent="0.25">
      <c r="A59" s="2076" t="s">
        <v>1039</v>
      </c>
      <c r="B59" s="2058"/>
      <c r="C59" s="2058"/>
      <c r="D59" s="2058"/>
      <c r="E59" s="2058"/>
      <c r="F59" s="2058"/>
      <c r="G59" s="2058"/>
      <c r="H59" s="2058"/>
      <c r="I59" s="2058"/>
    </row>
    <row r="60" spans="1:9" ht="15" x14ac:dyDescent="0.25">
      <c r="A60" s="2074" t="s">
        <v>1040</v>
      </c>
      <c r="B60" s="2074">
        <v>2022</v>
      </c>
      <c r="C60" s="2074">
        <v>2023</v>
      </c>
      <c r="D60" s="2074">
        <v>2024</v>
      </c>
      <c r="E60" s="2074" t="s">
        <v>984</v>
      </c>
      <c r="F60" s="2074">
        <v>2025</v>
      </c>
      <c r="G60" s="2074">
        <v>2026</v>
      </c>
      <c r="H60" s="2074">
        <v>2027</v>
      </c>
      <c r="I60" s="2058"/>
    </row>
    <row r="61" spans="1:9" ht="15" x14ac:dyDescent="0.25">
      <c r="A61" s="2075" t="s">
        <v>170</v>
      </c>
      <c r="B61" s="2077">
        <f>'Program 10'!H22</f>
        <v>57550</v>
      </c>
      <c r="C61" s="2077">
        <f>'Program 10'!I22</f>
        <v>74326.900000000009</v>
      </c>
      <c r="D61" s="2077">
        <f>'Program 10'!J22</f>
        <v>70000</v>
      </c>
      <c r="E61" s="2077">
        <f>'Program 10'!K22</f>
        <v>76300</v>
      </c>
      <c r="F61" s="2078">
        <f>'Program 10'!L22</f>
        <v>77150</v>
      </c>
      <c r="G61" s="2077">
        <f>'Program 10'!M22</f>
        <v>77150</v>
      </c>
      <c r="H61" s="2077">
        <f>'Program 10'!N22</f>
        <v>76650</v>
      </c>
      <c r="I61" s="2058"/>
    </row>
    <row r="62" spans="1:9" x14ac:dyDescent="0.2">
      <c r="A62" s="2058"/>
      <c r="B62" s="2058"/>
      <c r="C62" s="2058"/>
      <c r="D62" s="2058"/>
      <c r="E62" s="2058"/>
      <c r="F62" s="2058"/>
      <c r="G62" s="2058"/>
      <c r="H62" s="2058"/>
      <c r="I62" s="2058"/>
    </row>
    <row r="63" spans="1:9" ht="15" x14ac:dyDescent="0.25">
      <c r="A63" s="2309" t="s">
        <v>1181</v>
      </c>
      <c r="B63" s="2309"/>
      <c r="C63" s="2309"/>
      <c r="D63" s="2309"/>
      <c r="E63" s="2309"/>
      <c r="F63" s="2309"/>
      <c r="G63" s="2309"/>
      <c r="H63" s="2309"/>
      <c r="I63" s="2309"/>
    </row>
    <row r="64" spans="1:9" ht="44.25" customHeight="1" x14ac:dyDescent="0.2">
      <c r="A64" s="2308" t="s">
        <v>1382</v>
      </c>
      <c r="B64" s="2308"/>
      <c r="C64" s="2308"/>
      <c r="D64" s="2308"/>
      <c r="E64" s="2308"/>
      <c r="F64" s="2308"/>
      <c r="G64" s="2308"/>
      <c r="H64" s="2308"/>
      <c r="I64" s="2308"/>
    </row>
    <row r="65" spans="1:9" x14ac:dyDescent="0.2">
      <c r="A65" s="2058"/>
      <c r="B65" s="2058"/>
      <c r="C65" s="2058"/>
      <c r="D65" s="2058"/>
      <c r="E65" s="2058"/>
      <c r="F65" s="2058"/>
      <c r="G65" s="2058"/>
      <c r="H65" s="2058"/>
      <c r="I65" s="2058"/>
    </row>
    <row r="66" spans="1:9" ht="15" x14ac:dyDescent="0.25">
      <c r="A66" s="2076" t="s">
        <v>1051</v>
      </c>
      <c r="B66" s="2058"/>
      <c r="C66" s="2058"/>
      <c r="D66" s="2058"/>
      <c r="E66" s="2058"/>
      <c r="F66" s="2058"/>
      <c r="G66" s="2058"/>
      <c r="H66" s="2080"/>
      <c r="I66" s="2080"/>
    </row>
    <row r="67" spans="1:9" ht="38.25" x14ac:dyDescent="0.2">
      <c r="A67" s="2310" t="s">
        <v>1052</v>
      </c>
      <c r="B67" s="2310"/>
      <c r="C67" s="2310"/>
      <c r="D67" s="2310" t="s">
        <v>1056</v>
      </c>
      <c r="E67" s="2310"/>
      <c r="F67" s="2310"/>
      <c r="G67" s="2087" t="s">
        <v>1054</v>
      </c>
      <c r="H67" s="2087" t="s">
        <v>1055</v>
      </c>
      <c r="I67" s="2087" t="s">
        <v>1053</v>
      </c>
    </row>
    <row r="68" spans="1:9" ht="26.25" customHeight="1" x14ac:dyDescent="0.2">
      <c r="A68" s="2311" t="s">
        <v>1385</v>
      </c>
      <c r="B68" s="2311"/>
      <c r="C68" s="2311"/>
      <c r="D68" s="2305" t="s">
        <v>1383</v>
      </c>
      <c r="E68" s="2305"/>
      <c r="F68" s="2305"/>
      <c r="G68" s="2100">
        <v>4</v>
      </c>
      <c r="H68" s="2100">
        <v>4</v>
      </c>
      <c r="I68" s="2100">
        <v>4</v>
      </c>
    </row>
    <row r="69" spans="1:9" ht="28.5" customHeight="1" x14ac:dyDescent="0.2">
      <c r="A69" s="2311"/>
      <c r="B69" s="2311"/>
      <c r="C69" s="2311"/>
      <c r="D69" s="2305" t="s">
        <v>1384</v>
      </c>
      <c r="E69" s="2305"/>
      <c r="F69" s="2305"/>
      <c r="G69" s="2100">
        <v>200</v>
      </c>
      <c r="H69" s="2100">
        <v>250</v>
      </c>
      <c r="I69" s="2100">
        <v>300</v>
      </c>
    </row>
    <row r="70" spans="1:9" ht="12.75" customHeight="1" x14ac:dyDescent="0.2">
      <c r="A70" s="2099"/>
      <c r="B70" s="2099"/>
      <c r="C70" s="2099"/>
      <c r="D70" s="2098"/>
      <c r="E70" s="2098"/>
      <c r="F70" s="2098"/>
      <c r="G70" s="2097"/>
      <c r="H70" s="2097"/>
      <c r="I70" s="2097"/>
    </row>
    <row r="71" spans="1:9" x14ac:dyDescent="0.2">
      <c r="A71" s="2068"/>
      <c r="B71" s="2068"/>
      <c r="C71" s="2068"/>
      <c r="D71" s="2068"/>
      <c r="E71" s="2068"/>
      <c r="F71" s="2068"/>
      <c r="G71" s="2068"/>
      <c r="H71" s="2068"/>
      <c r="I71" s="2068"/>
    </row>
    <row r="72" spans="1:9" ht="15" x14ac:dyDescent="0.25">
      <c r="A72" s="2306" t="s">
        <v>1386</v>
      </c>
      <c r="B72" s="2306"/>
      <c r="C72" s="2306"/>
      <c r="D72" s="2306" t="s">
        <v>656</v>
      </c>
      <c r="E72" s="2306"/>
      <c r="F72" s="2306"/>
      <c r="G72" s="2306"/>
      <c r="H72" s="2306"/>
      <c r="I72" s="2306"/>
    </row>
    <row r="73" spans="1:9" x14ac:dyDescent="0.2">
      <c r="A73" s="2058"/>
      <c r="B73" s="2058"/>
      <c r="C73" s="2058"/>
      <c r="D73" s="2058"/>
      <c r="E73" s="2058"/>
      <c r="F73" s="2058"/>
      <c r="G73" s="2058"/>
      <c r="H73" s="2058"/>
      <c r="I73" s="2058"/>
    </row>
    <row r="74" spans="1:9" ht="15" x14ac:dyDescent="0.25">
      <c r="A74" s="2307" t="s">
        <v>1162</v>
      </c>
      <c r="B74" s="2307"/>
      <c r="C74" s="2307"/>
      <c r="D74" s="2307"/>
      <c r="E74" s="2307"/>
      <c r="F74" s="2307"/>
      <c r="G74" s="2307"/>
      <c r="H74" s="2307"/>
      <c r="I74" s="2307"/>
    </row>
    <row r="75" spans="1:9" ht="28.5" customHeight="1" x14ac:dyDescent="0.25">
      <c r="A75" s="2309" t="s">
        <v>1387</v>
      </c>
      <c r="B75" s="2309"/>
      <c r="C75" s="2309"/>
      <c r="D75" s="2309"/>
      <c r="E75" s="2309"/>
      <c r="F75" s="2309"/>
      <c r="G75" s="2309"/>
      <c r="H75" s="2309"/>
      <c r="I75" s="2309"/>
    </row>
    <row r="76" spans="1:9" s="2058" customFormat="1" ht="28.5" customHeight="1" x14ac:dyDescent="0.25">
      <c r="A76" s="2073"/>
      <c r="B76" s="2073"/>
      <c r="C76" s="2073"/>
      <c r="D76" s="2073"/>
      <c r="E76" s="2073"/>
      <c r="F76" s="2073"/>
      <c r="G76" s="2073"/>
      <c r="H76" s="2073"/>
      <c r="I76" s="2073"/>
    </row>
    <row r="77" spans="1:9" x14ac:dyDescent="0.2">
      <c r="A77" s="2106"/>
      <c r="B77" s="2106"/>
      <c r="C77" s="2106"/>
      <c r="D77" s="2106"/>
      <c r="E77" s="2106"/>
      <c r="F77" s="2106"/>
      <c r="G77" s="2106"/>
      <c r="H77" s="2106"/>
      <c r="I77" s="2106"/>
    </row>
    <row r="78" spans="1:9" ht="15" x14ac:dyDescent="0.25">
      <c r="A78" s="2076" t="s">
        <v>1039</v>
      </c>
      <c r="B78" s="2058"/>
      <c r="C78" s="2058"/>
      <c r="D78" s="2058"/>
      <c r="E78" s="2058"/>
      <c r="F78" s="2058"/>
      <c r="G78" s="2058"/>
      <c r="H78" s="2058"/>
      <c r="I78" s="2058"/>
    </row>
    <row r="79" spans="1:9" ht="15" x14ac:dyDescent="0.25">
      <c r="A79" s="2074" t="s">
        <v>1040</v>
      </c>
      <c r="B79" s="2074">
        <v>2022</v>
      </c>
      <c r="C79" s="2074">
        <v>2023</v>
      </c>
      <c r="D79" s="2074">
        <v>2024</v>
      </c>
      <c r="E79" s="2074" t="s">
        <v>984</v>
      </c>
      <c r="F79" s="2074">
        <v>2025</v>
      </c>
      <c r="G79" s="2074">
        <v>2026</v>
      </c>
      <c r="H79" s="2074">
        <v>2027</v>
      </c>
      <c r="I79" s="2058"/>
    </row>
    <row r="80" spans="1:9" ht="15" x14ac:dyDescent="0.25">
      <c r="A80" s="2075" t="s">
        <v>170</v>
      </c>
      <c r="B80" s="2077">
        <f>'Program 10'!H30</f>
        <v>25500</v>
      </c>
      <c r="C80" s="2077">
        <f>'Program 10'!I30</f>
        <v>37933.78</v>
      </c>
      <c r="D80" s="2077">
        <f>'Program 10'!J30</f>
        <v>38000</v>
      </c>
      <c r="E80" s="2077">
        <f>'Program 10'!K30</f>
        <v>38200</v>
      </c>
      <c r="F80" s="2078">
        <f>'Program 10'!L30</f>
        <v>38000</v>
      </c>
      <c r="G80" s="2077">
        <f>'Program 10'!M30</f>
        <v>37500</v>
      </c>
      <c r="H80" s="2077">
        <f>'Program 10'!N30</f>
        <v>37500</v>
      </c>
      <c r="I80" s="2058"/>
    </row>
    <row r="81" spans="1:9" x14ac:dyDescent="0.2">
      <c r="A81" s="2068"/>
      <c r="B81" s="2068"/>
      <c r="C81" s="2068"/>
      <c r="D81" s="2068"/>
      <c r="E81" s="2068"/>
      <c r="F81" s="2068"/>
      <c r="G81" s="2068"/>
      <c r="H81" s="2068"/>
      <c r="I81" s="2068"/>
    </row>
    <row r="82" spans="1:9" ht="15" x14ac:dyDescent="0.25">
      <c r="A82" s="2309" t="s">
        <v>1181</v>
      </c>
      <c r="B82" s="2309"/>
      <c r="C82" s="2309"/>
      <c r="D82" s="2309"/>
      <c r="E82" s="2309"/>
      <c r="F82" s="2309"/>
      <c r="G82" s="2309"/>
      <c r="H82" s="2309"/>
      <c r="I82" s="2309"/>
    </row>
    <row r="83" spans="1:9" ht="44.25" customHeight="1" x14ac:dyDescent="0.2">
      <c r="A83" s="2308" t="s">
        <v>1388</v>
      </c>
      <c r="B83" s="2308"/>
      <c r="C83" s="2308"/>
      <c r="D83" s="2308"/>
      <c r="E83" s="2308"/>
      <c r="F83" s="2308"/>
      <c r="G83" s="2308"/>
      <c r="H83" s="2308"/>
      <c r="I83" s="2308"/>
    </row>
    <row r="84" spans="1:9" x14ac:dyDescent="0.2">
      <c r="A84" s="2068"/>
      <c r="B84" s="2068"/>
      <c r="C84" s="2068"/>
      <c r="D84" s="2068"/>
      <c r="E84" s="2068"/>
      <c r="F84" s="2068"/>
      <c r="G84" s="2068"/>
      <c r="H84" s="2068"/>
      <c r="I84" s="2068"/>
    </row>
    <row r="85" spans="1:9" ht="15" x14ac:dyDescent="0.25">
      <c r="A85" s="2076" t="s">
        <v>1051</v>
      </c>
      <c r="B85" s="2058"/>
      <c r="C85" s="2058"/>
      <c r="D85" s="2058"/>
      <c r="E85" s="2058"/>
      <c r="F85" s="2058"/>
      <c r="G85" s="2058"/>
      <c r="H85" s="2080"/>
      <c r="I85" s="2080"/>
    </row>
    <row r="86" spans="1:9" ht="38.25" x14ac:dyDescent="0.2">
      <c r="A86" s="2310" t="s">
        <v>1052</v>
      </c>
      <c r="B86" s="2310"/>
      <c r="C86" s="2310"/>
      <c r="D86" s="2310" t="s">
        <v>1056</v>
      </c>
      <c r="E86" s="2310"/>
      <c r="F86" s="2310"/>
      <c r="G86" s="2087" t="s">
        <v>1054</v>
      </c>
      <c r="H86" s="2087" t="s">
        <v>1055</v>
      </c>
      <c r="I86" s="2087" t="s">
        <v>1053</v>
      </c>
    </row>
    <row r="87" spans="1:9" ht="12.75" customHeight="1" x14ac:dyDescent="0.2">
      <c r="A87" s="2311" t="s">
        <v>1391</v>
      </c>
      <c r="B87" s="2311"/>
      <c r="C87" s="2311"/>
      <c r="D87" s="2205" t="s">
        <v>1389</v>
      </c>
      <c r="E87" s="2205"/>
      <c r="F87" s="2205"/>
      <c r="G87" s="2081">
        <v>2</v>
      </c>
      <c r="H87" s="2081">
        <v>2</v>
      </c>
      <c r="I87" s="2081">
        <v>2</v>
      </c>
    </row>
    <row r="88" spans="1:9" ht="27.75" customHeight="1" x14ac:dyDescent="0.2">
      <c r="A88" s="2311"/>
      <c r="B88" s="2311"/>
      <c r="C88" s="2311"/>
      <c r="D88" s="2305" t="s">
        <v>1390</v>
      </c>
      <c r="E88" s="2305"/>
      <c r="F88" s="2305"/>
      <c r="G88" s="2100">
        <v>200</v>
      </c>
      <c r="H88" s="2100">
        <v>200</v>
      </c>
      <c r="I88" s="2100">
        <v>200</v>
      </c>
    </row>
    <row r="89" spans="1:9" ht="12.75" customHeight="1" x14ac:dyDescent="0.2">
      <c r="A89" s="2099"/>
      <c r="B89" s="2099"/>
      <c r="C89" s="2099"/>
      <c r="D89" s="2121"/>
      <c r="E89" s="2121"/>
      <c r="F89" s="2121"/>
      <c r="G89" s="2115"/>
      <c r="H89" s="2115"/>
      <c r="I89" s="2115"/>
    </row>
    <row r="90" spans="1:9" ht="12.75" customHeight="1" x14ac:dyDescent="0.25">
      <c r="A90" s="2306" t="s">
        <v>1392</v>
      </c>
      <c r="B90" s="2306"/>
      <c r="C90" s="2306"/>
      <c r="D90" s="2306" t="s">
        <v>414</v>
      </c>
      <c r="E90" s="2306"/>
      <c r="F90" s="2306"/>
      <c r="G90" s="2306"/>
      <c r="H90" s="2306"/>
      <c r="I90" s="2306"/>
    </row>
    <row r="91" spans="1:9" ht="12.75" customHeight="1" x14ac:dyDescent="0.2">
      <c r="A91" s="2058"/>
      <c r="B91" s="2058"/>
      <c r="C91" s="2058"/>
      <c r="D91" s="2058"/>
      <c r="E91" s="2058"/>
      <c r="F91" s="2058"/>
      <c r="G91" s="2058"/>
      <c r="H91" s="2058"/>
      <c r="I91" s="2058"/>
    </row>
    <row r="92" spans="1:9" ht="15" x14ac:dyDescent="0.25">
      <c r="A92" s="2307" t="s">
        <v>1162</v>
      </c>
      <c r="B92" s="2307"/>
      <c r="C92" s="2307"/>
      <c r="D92" s="2307"/>
      <c r="E92" s="2307"/>
      <c r="F92" s="2307"/>
      <c r="G92" s="2307"/>
      <c r="H92" s="2307"/>
      <c r="I92" s="2307"/>
    </row>
    <row r="93" spans="1:9" ht="12.75" customHeight="1" x14ac:dyDescent="0.25">
      <c r="A93" s="2105" t="s">
        <v>1393</v>
      </c>
      <c r="B93" s="2127"/>
      <c r="C93" s="2127"/>
      <c r="D93" s="2127"/>
      <c r="E93" s="2127"/>
      <c r="F93" s="2127"/>
      <c r="G93" s="2127"/>
      <c r="H93" s="2127"/>
      <c r="I93" s="2127"/>
    </row>
    <row r="94" spans="1:9" ht="12.75" customHeight="1" x14ac:dyDescent="0.2">
      <c r="A94" s="2106"/>
      <c r="B94" s="2106"/>
      <c r="C94" s="2106"/>
      <c r="D94" s="2106"/>
      <c r="E94" s="2106"/>
      <c r="F94" s="2106"/>
      <c r="G94" s="2106"/>
      <c r="H94" s="2106"/>
      <c r="I94" s="2106"/>
    </row>
    <row r="95" spans="1:9" ht="15" x14ac:dyDescent="0.25">
      <c r="A95" s="2076" t="s">
        <v>1039</v>
      </c>
      <c r="B95" s="2058"/>
      <c r="C95" s="2058"/>
      <c r="D95" s="2058"/>
      <c r="E95" s="2058"/>
      <c r="F95" s="2058"/>
      <c r="G95" s="2058"/>
      <c r="H95" s="2058"/>
      <c r="I95" s="2058"/>
    </row>
    <row r="96" spans="1:9" ht="15" x14ac:dyDescent="0.25">
      <c r="A96" s="2074" t="s">
        <v>1040</v>
      </c>
      <c r="B96" s="2074">
        <v>2022</v>
      </c>
      <c r="C96" s="2074">
        <v>2023</v>
      </c>
      <c r="D96" s="2074">
        <v>2024</v>
      </c>
      <c r="E96" s="2074" t="s">
        <v>984</v>
      </c>
      <c r="F96" s="2074">
        <v>2025</v>
      </c>
      <c r="G96" s="2074">
        <v>2026</v>
      </c>
      <c r="H96" s="2074">
        <v>2027</v>
      </c>
      <c r="I96" s="2058"/>
    </row>
    <row r="97" spans="1:9" ht="15" x14ac:dyDescent="0.25">
      <c r="A97" s="2075" t="s">
        <v>170</v>
      </c>
      <c r="B97" s="2077">
        <f>'Program 10'!H35</f>
        <v>7000</v>
      </c>
      <c r="C97" s="2077">
        <f>'Program 10'!I35</f>
        <v>4012.6</v>
      </c>
      <c r="D97" s="2077">
        <f>'Program 10'!J35</f>
        <v>3000</v>
      </c>
      <c r="E97" s="2077">
        <f>'Program 10'!K35</f>
        <v>4000</v>
      </c>
      <c r="F97" s="2078">
        <f>'Program 10'!L35</f>
        <v>3000</v>
      </c>
      <c r="G97" s="2077">
        <f>'Program 10'!M35</f>
        <v>3000</v>
      </c>
      <c r="H97" s="2077">
        <f>'Program 10'!N35</f>
        <v>3000</v>
      </c>
      <c r="I97" s="2058"/>
    </row>
    <row r="98" spans="1:9" x14ac:dyDescent="0.2">
      <c r="A98" s="2068"/>
      <c r="B98" s="2068"/>
      <c r="C98" s="2068"/>
      <c r="D98" s="2068"/>
      <c r="E98" s="2068"/>
      <c r="F98" s="2068"/>
      <c r="G98" s="2068"/>
      <c r="H98" s="2068"/>
      <c r="I98" s="2068"/>
    </row>
    <row r="99" spans="1:9" ht="15" x14ac:dyDescent="0.25">
      <c r="A99" s="2309" t="s">
        <v>1181</v>
      </c>
      <c r="B99" s="2309"/>
      <c r="C99" s="2309"/>
      <c r="D99" s="2309"/>
      <c r="E99" s="2309"/>
      <c r="F99" s="2309"/>
      <c r="G99" s="2309"/>
      <c r="H99" s="2309"/>
      <c r="I99" s="2309"/>
    </row>
    <row r="100" spans="1:9" ht="47.25" customHeight="1" x14ac:dyDescent="0.2">
      <c r="A100" s="2308" t="s">
        <v>1394</v>
      </c>
      <c r="B100" s="2308"/>
      <c r="C100" s="2308"/>
      <c r="D100" s="2308"/>
      <c r="E100" s="2308"/>
      <c r="F100" s="2308"/>
      <c r="G100" s="2308"/>
      <c r="H100" s="2308"/>
      <c r="I100" s="2308"/>
    </row>
    <row r="101" spans="1:9" x14ac:dyDescent="0.2">
      <c r="A101" s="2068"/>
      <c r="B101" s="2068"/>
      <c r="C101" s="2068"/>
      <c r="D101" s="2068"/>
      <c r="E101" s="2068"/>
      <c r="F101" s="2068"/>
      <c r="G101" s="2068"/>
      <c r="H101" s="2068"/>
      <c r="I101" s="2068"/>
    </row>
    <row r="102" spans="1:9" ht="15" x14ac:dyDescent="0.25">
      <c r="A102" s="2076" t="s">
        <v>1051</v>
      </c>
      <c r="B102" s="2058"/>
      <c r="C102" s="2058"/>
      <c r="D102" s="2058"/>
      <c r="E102" s="2058"/>
      <c r="F102" s="2058"/>
      <c r="G102" s="2058"/>
      <c r="H102" s="2080"/>
      <c r="I102" s="2080"/>
    </row>
    <row r="103" spans="1:9" ht="38.25" x14ac:dyDescent="0.2">
      <c r="A103" s="2310" t="s">
        <v>1052</v>
      </c>
      <c r="B103" s="2310"/>
      <c r="C103" s="2310"/>
      <c r="D103" s="2310" t="s">
        <v>1056</v>
      </c>
      <c r="E103" s="2310"/>
      <c r="F103" s="2310"/>
      <c r="G103" s="2087" t="s">
        <v>1054</v>
      </c>
      <c r="H103" s="2087" t="s">
        <v>1055</v>
      </c>
      <c r="I103" s="2087" t="s">
        <v>1053</v>
      </c>
    </row>
    <row r="104" spans="1:9" ht="30" customHeight="1" x14ac:dyDescent="0.2">
      <c r="A104" s="2305" t="s">
        <v>1397</v>
      </c>
      <c r="B104" s="2305"/>
      <c r="C104" s="2305"/>
      <c r="D104" s="2305" t="s">
        <v>1395</v>
      </c>
      <c r="E104" s="2305"/>
      <c r="F104" s="2305"/>
      <c r="G104" s="2081">
        <v>100</v>
      </c>
      <c r="H104" s="2081">
        <v>100</v>
      </c>
      <c r="I104" s="2081">
        <v>100</v>
      </c>
    </row>
    <row r="105" spans="1:9" ht="24.75" customHeight="1" x14ac:dyDescent="0.2">
      <c r="A105" s="2305"/>
      <c r="B105" s="2305"/>
      <c r="C105" s="2305"/>
      <c r="D105" s="2305" t="s">
        <v>1396</v>
      </c>
      <c r="E105" s="2305"/>
      <c r="F105" s="2305"/>
      <c r="G105" s="2100">
        <v>5</v>
      </c>
      <c r="H105" s="2100">
        <v>5</v>
      </c>
      <c r="I105" s="2100">
        <v>5</v>
      </c>
    </row>
  </sheetData>
  <mergeCells count="62">
    <mergeCell ref="A99:I99"/>
    <mergeCell ref="A100:I100"/>
    <mergeCell ref="A103:C103"/>
    <mergeCell ref="D103:F103"/>
    <mergeCell ref="A104:C105"/>
    <mergeCell ref="D104:F104"/>
    <mergeCell ref="D105:F105"/>
    <mergeCell ref="D30:F30"/>
    <mergeCell ref="A29:C29"/>
    <mergeCell ref="A30:C30"/>
    <mergeCell ref="A52:C52"/>
    <mergeCell ref="D29:F29"/>
    <mergeCell ref="A33:C33"/>
    <mergeCell ref="D33:I33"/>
    <mergeCell ref="A35:I35"/>
    <mergeCell ref="A45:I45"/>
    <mergeCell ref="A46:I46"/>
    <mergeCell ref="A68:C69"/>
    <mergeCell ref="A75:I75"/>
    <mergeCell ref="A90:C90"/>
    <mergeCell ref="D90:I90"/>
    <mergeCell ref="D69:F69"/>
    <mergeCell ref="A72:C72"/>
    <mergeCell ref="D72:I72"/>
    <mergeCell ref="A74:I74"/>
    <mergeCell ref="D68:F68"/>
    <mergeCell ref="A92:I92"/>
    <mergeCell ref="A82:I82"/>
    <mergeCell ref="A83:I83"/>
    <mergeCell ref="A86:C86"/>
    <mergeCell ref="D86:F86"/>
    <mergeCell ref="A87:C88"/>
    <mergeCell ref="D88:F88"/>
    <mergeCell ref="D87:F87"/>
    <mergeCell ref="A56:I56"/>
    <mergeCell ref="A63:I63"/>
    <mergeCell ref="A64:I64"/>
    <mergeCell ref="A67:C67"/>
    <mergeCell ref="D67:F67"/>
    <mergeCell ref="A57:I57"/>
    <mergeCell ref="A54:C54"/>
    <mergeCell ref="D54:I54"/>
    <mergeCell ref="A49:C49"/>
    <mergeCell ref="D49:F49"/>
    <mergeCell ref="A50:C51"/>
    <mergeCell ref="D50:F50"/>
    <mergeCell ref="D51:F51"/>
    <mergeCell ref="D52:F52"/>
    <mergeCell ref="A28:C28"/>
    <mergeCell ref="D28:F28"/>
    <mergeCell ref="A1:C1"/>
    <mergeCell ref="D1:I1"/>
    <mergeCell ref="A3:I3"/>
    <mergeCell ref="A10:I10"/>
    <mergeCell ref="A14:C14"/>
    <mergeCell ref="D14:I14"/>
    <mergeCell ref="A11:I12"/>
    <mergeCell ref="A16:I16"/>
    <mergeCell ref="A23:I23"/>
    <mergeCell ref="A24:I24"/>
    <mergeCell ref="A27:C27"/>
    <mergeCell ref="D27:F2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44"/>
  <sheetViews>
    <sheetView workbookViewId="0">
      <selection activeCell="G31" sqref="G31"/>
    </sheetView>
  </sheetViews>
  <sheetFormatPr defaultRowHeight="12.75" x14ac:dyDescent="0.2"/>
  <cols>
    <col min="2" max="2" width="29.140625" customWidth="1"/>
    <col min="3" max="3" width="12.7109375" customWidth="1"/>
    <col min="4" max="9" width="10.7109375" customWidth="1"/>
    <col min="11" max="11" width="11.5703125" customWidth="1"/>
  </cols>
  <sheetData>
    <row r="1" spans="1:13" ht="15.75" x14ac:dyDescent="0.25">
      <c r="A1" s="2393" t="s">
        <v>419</v>
      </c>
      <c r="B1" s="2393"/>
      <c r="C1" s="2393"/>
      <c r="D1" s="2393"/>
      <c r="E1" s="2393"/>
      <c r="F1" s="2393"/>
      <c r="G1" s="2393"/>
      <c r="H1" s="2393"/>
      <c r="I1" s="2393"/>
    </row>
    <row r="2" spans="1:13" s="428" customFormat="1" ht="15.75" x14ac:dyDescent="0.25">
      <c r="A2" s="2393"/>
      <c r="B2" s="2393"/>
      <c r="C2" s="2393"/>
      <c r="D2" s="2393"/>
      <c r="E2" s="2393"/>
      <c r="F2" s="2393"/>
      <c r="G2" s="2393"/>
      <c r="H2" s="2393"/>
      <c r="I2" s="2393"/>
    </row>
    <row r="3" spans="1:13" x14ac:dyDescent="0.2">
      <c r="A3" s="429"/>
      <c r="B3" s="429"/>
      <c r="C3" s="429"/>
      <c r="D3" s="429"/>
      <c r="E3" s="429"/>
      <c r="F3" s="429"/>
      <c r="G3" s="429"/>
      <c r="H3" s="430"/>
      <c r="I3" s="430"/>
    </row>
    <row r="4" spans="1:13" ht="13.5" thickBot="1" x14ac:dyDescent="0.25">
      <c r="A4" s="429"/>
      <c r="B4" s="429"/>
      <c r="C4" s="429"/>
      <c r="D4" s="429"/>
      <c r="E4" s="429"/>
      <c r="F4" s="429"/>
      <c r="G4" s="429"/>
      <c r="H4" s="430"/>
      <c r="I4" s="430"/>
    </row>
    <row r="5" spans="1:13" ht="13.5" thickBot="1" x14ac:dyDescent="0.25">
      <c r="A5" s="431" t="s">
        <v>420</v>
      </c>
      <c r="B5" s="432"/>
      <c r="C5" s="2401" t="s">
        <v>421</v>
      </c>
      <c r="D5" s="2402"/>
      <c r="E5" s="2402"/>
      <c r="F5" s="2402"/>
      <c r="G5" s="2402"/>
      <c r="H5" s="2402"/>
      <c r="I5" s="2403"/>
    </row>
    <row r="6" spans="1:13" ht="13.5" thickBot="1" x14ac:dyDescent="0.25">
      <c r="A6" s="433"/>
      <c r="B6" s="434"/>
      <c r="C6" s="829">
        <v>2022</v>
      </c>
      <c r="D6" s="828">
        <v>2023</v>
      </c>
      <c r="E6" s="435">
        <v>2024</v>
      </c>
      <c r="F6" s="435" t="s">
        <v>1024</v>
      </c>
      <c r="G6" s="1516">
        <v>2025</v>
      </c>
      <c r="H6" s="1517">
        <v>2026</v>
      </c>
      <c r="I6" s="1518">
        <v>2027</v>
      </c>
    </row>
    <row r="7" spans="1:13" x14ac:dyDescent="0.2">
      <c r="A7" s="433"/>
      <c r="B7" s="434"/>
      <c r="C7" s="840" t="s">
        <v>170</v>
      </c>
      <c r="D7" s="830" t="s">
        <v>170</v>
      </c>
      <c r="E7" s="436" t="s">
        <v>170</v>
      </c>
      <c r="F7" s="436" t="s">
        <v>170</v>
      </c>
      <c r="G7" s="436" t="s">
        <v>170</v>
      </c>
      <c r="H7" s="436" t="s">
        <v>170</v>
      </c>
      <c r="I7" s="436" t="s">
        <v>170</v>
      </c>
    </row>
    <row r="8" spans="1:13" ht="13.5" thickBot="1" x14ac:dyDescent="0.25">
      <c r="A8" s="437"/>
      <c r="B8" s="438"/>
      <c r="C8" s="832">
        <v>-3</v>
      </c>
      <c r="D8" s="831">
        <v>-2</v>
      </c>
      <c r="E8" s="439">
        <v>-1</v>
      </c>
      <c r="F8" s="439">
        <v>-1</v>
      </c>
      <c r="G8" s="439">
        <v>0</v>
      </c>
      <c r="H8" s="440">
        <v>1</v>
      </c>
      <c r="I8" s="440">
        <v>2</v>
      </c>
    </row>
    <row r="9" spans="1:13" x14ac:dyDescent="0.2">
      <c r="A9" s="441" t="s">
        <v>422</v>
      </c>
      <c r="B9" s="442"/>
      <c r="C9" s="836"/>
      <c r="D9" s="833"/>
      <c r="E9" s="443"/>
      <c r="F9" s="443"/>
      <c r="G9" s="443"/>
      <c r="H9" s="444"/>
      <c r="I9" s="444"/>
    </row>
    <row r="10" spans="1:13" x14ac:dyDescent="0.2">
      <c r="A10" s="445" t="s">
        <v>1</v>
      </c>
      <c r="B10" s="446"/>
      <c r="C10" s="868">
        <f>príjmy!M299</f>
        <v>1610786</v>
      </c>
      <c r="D10" s="311">
        <f>SUM(príjmy!O299)</f>
        <v>1879494.78</v>
      </c>
      <c r="E10" s="716">
        <f>príjmy!P299</f>
        <v>1763829</v>
      </c>
      <c r="F10" s="716">
        <f>príjmy!Q299</f>
        <v>1796470.08</v>
      </c>
      <c r="G10" s="716">
        <f>príjmy!R299</f>
        <v>1584419</v>
      </c>
      <c r="H10" s="716">
        <f>príjmy!S299</f>
        <v>1710543</v>
      </c>
      <c r="I10" s="716">
        <f>príjmy!T299</f>
        <v>1765383</v>
      </c>
    </row>
    <row r="11" spans="1:13" x14ac:dyDescent="0.2">
      <c r="A11" s="445" t="s">
        <v>77</v>
      </c>
      <c r="B11" s="446"/>
      <c r="C11" s="868">
        <f>príjmy!M300</f>
        <v>23000</v>
      </c>
      <c r="D11" s="311">
        <f>SUM(príjmy!O300)</f>
        <v>25385</v>
      </c>
      <c r="E11" s="716">
        <f>príjmy!P300</f>
        <v>55000</v>
      </c>
      <c r="F11" s="716">
        <f>príjmy!Q300</f>
        <v>28144</v>
      </c>
      <c r="G11" s="716">
        <f>príjmy!R300</f>
        <v>570200</v>
      </c>
      <c r="H11" s="716">
        <f>príjmy!S300</f>
        <v>5000</v>
      </c>
      <c r="I11" s="716">
        <f>príjmy!T300</f>
        <v>5000</v>
      </c>
      <c r="J11" s="98"/>
      <c r="K11" s="393"/>
      <c r="L11" s="98"/>
    </row>
    <row r="12" spans="1:13" x14ac:dyDescent="0.2">
      <c r="A12" s="448" t="s">
        <v>423</v>
      </c>
      <c r="B12" s="449"/>
      <c r="C12" s="887">
        <f>príjmy!M301</f>
        <v>192106</v>
      </c>
      <c r="D12" s="310">
        <f>príjmy!O301</f>
        <v>135675.05000000002</v>
      </c>
      <c r="E12" s="915">
        <f>príjmy!P301</f>
        <v>10000</v>
      </c>
      <c r="F12" s="915">
        <f>príjmy!Q301</f>
        <v>184482.49</v>
      </c>
      <c r="G12" s="915">
        <f>príjmy!R301</f>
        <v>32501</v>
      </c>
      <c r="H12" s="915">
        <f>príjmy!S301</f>
        <v>0</v>
      </c>
      <c r="I12" s="915">
        <f>príjmy!T301</f>
        <v>0</v>
      </c>
      <c r="J12" s="98"/>
      <c r="K12" s="101"/>
      <c r="L12" s="101"/>
      <c r="M12" s="98"/>
    </row>
    <row r="13" spans="1:13" x14ac:dyDescent="0.2">
      <c r="A13" s="1179" t="s">
        <v>738</v>
      </c>
      <c r="B13" s="1180"/>
      <c r="C13" s="1181">
        <f>príjmy!M302</f>
        <v>979772</v>
      </c>
      <c r="D13" s="1182">
        <f>príjmy!O302</f>
        <v>1145604.33</v>
      </c>
      <c r="E13" s="1183">
        <f>príjmy!P302</f>
        <v>1048851</v>
      </c>
      <c r="F13" s="1183">
        <f>príjmy!Q302</f>
        <v>1138224.6000000001</v>
      </c>
      <c r="G13" s="1183">
        <f>príjmy!R286</f>
        <v>1214739</v>
      </c>
      <c r="H13" s="1183">
        <f>príjmy!S286</f>
        <v>1063223</v>
      </c>
      <c r="I13" s="1184">
        <f>príjmy!T286</f>
        <v>1063323</v>
      </c>
      <c r="J13" s="98"/>
      <c r="K13" s="101"/>
      <c r="L13" s="101"/>
      <c r="M13" s="98"/>
    </row>
    <row r="14" spans="1:13" ht="13.5" thickBot="1" x14ac:dyDescent="0.25">
      <c r="A14" s="1174" t="s">
        <v>424</v>
      </c>
      <c r="B14" s="1175"/>
      <c r="C14" s="1176">
        <f>C10+C11+C12+C13</f>
        <v>2805664</v>
      </c>
      <c r="D14" s="1177">
        <f>SUM(D10,D11,D12)+D13</f>
        <v>3186159.16</v>
      </c>
      <c r="E14" s="1178">
        <f>E10+E11+E12+E13</f>
        <v>2877680</v>
      </c>
      <c r="F14" s="1178">
        <f>SUM(F10,F11,F12,F13,)</f>
        <v>3147321.17</v>
      </c>
      <c r="G14" s="1178">
        <f>SUM(G10,G11,G12)+G13</f>
        <v>3401859</v>
      </c>
      <c r="H14" s="1178">
        <f>SUM(H10,H11,H12)+H13</f>
        <v>2778766</v>
      </c>
      <c r="I14" s="1511">
        <f>SUM(I10:I13)</f>
        <v>2833706</v>
      </c>
      <c r="K14" s="451"/>
      <c r="L14" s="451"/>
    </row>
    <row r="15" spans="1:13" x14ac:dyDescent="0.2">
      <c r="A15" s="452"/>
      <c r="B15" s="453"/>
      <c r="C15" s="837"/>
      <c r="D15" s="835"/>
      <c r="E15" s="454"/>
      <c r="F15" s="454"/>
      <c r="G15" s="454"/>
      <c r="H15" s="1507"/>
      <c r="I15" s="1512"/>
      <c r="K15" s="451"/>
      <c r="L15" s="451"/>
      <c r="M15" s="98"/>
    </row>
    <row r="16" spans="1:13" x14ac:dyDescent="0.2">
      <c r="A16" s="455" t="s">
        <v>425</v>
      </c>
      <c r="B16" s="456"/>
      <c r="C16" s="838"/>
      <c r="D16" s="834"/>
      <c r="E16" s="447"/>
      <c r="F16" s="447"/>
      <c r="G16" s="447"/>
      <c r="H16" s="1508"/>
      <c r="I16" s="1513"/>
      <c r="K16" s="451"/>
      <c r="L16" s="451"/>
    </row>
    <row r="17" spans="1:12" x14ac:dyDescent="0.2">
      <c r="A17" s="448" t="s">
        <v>426</v>
      </c>
      <c r="B17" s="449"/>
      <c r="C17" s="887">
        <f>výdavky!D833</f>
        <v>1252210.52</v>
      </c>
      <c r="D17" s="310">
        <f>SUM(výdavky!E833)</f>
        <v>1292688.96</v>
      </c>
      <c r="E17" s="915">
        <f>výdavky!F833</f>
        <v>1209940</v>
      </c>
      <c r="F17" s="915">
        <f>výdavky!G833</f>
        <v>1383214</v>
      </c>
      <c r="G17" s="915">
        <f>SUM(výdavky!H833)</f>
        <v>1330745</v>
      </c>
      <c r="H17" s="1498">
        <f>výdavky!I833</f>
        <v>1318135</v>
      </c>
      <c r="I17" s="887">
        <f>výdavky!J833</f>
        <v>1303140</v>
      </c>
      <c r="K17" s="98"/>
    </row>
    <row r="18" spans="1:12" x14ac:dyDescent="0.2">
      <c r="A18" s="445" t="s">
        <v>427</v>
      </c>
      <c r="B18" s="446"/>
      <c r="C18" s="868">
        <f>výdavky!D834</f>
        <v>134227</v>
      </c>
      <c r="D18" s="311">
        <f>SUM(výdavky!E834)</f>
        <v>83284.52</v>
      </c>
      <c r="E18" s="716">
        <f>výdavky!F834</f>
        <v>0</v>
      </c>
      <c r="F18" s="716">
        <f>výdavky!G791</f>
        <v>26931.200000000001</v>
      </c>
      <c r="G18" s="716">
        <f>výdavky!H834</f>
        <v>380966.40000000002</v>
      </c>
      <c r="H18" s="1364">
        <f>výdavky!I834</f>
        <v>2000</v>
      </c>
      <c r="I18" s="868">
        <f>výdavky!J834</f>
        <v>2000</v>
      </c>
      <c r="J18" s="98"/>
      <c r="L18" s="98"/>
    </row>
    <row r="19" spans="1:12" x14ac:dyDescent="0.2">
      <c r="A19" s="1499" t="s">
        <v>428</v>
      </c>
      <c r="B19" s="1500"/>
      <c r="C19" s="1501">
        <f>výdavky!D835</f>
        <v>142501</v>
      </c>
      <c r="D19" s="1502">
        <f>SUM(výdavky!E835)</f>
        <v>230678.74</v>
      </c>
      <c r="E19" s="1503">
        <f>výdavky!F835</f>
        <v>153504</v>
      </c>
      <c r="F19" s="1503">
        <f>výdavky!G814</f>
        <v>206291</v>
      </c>
      <c r="G19" s="1503">
        <f>výdavky!H835</f>
        <v>183005</v>
      </c>
      <c r="H19" s="1509">
        <f>výdavky!I835</f>
        <v>130004</v>
      </c>
      <c r="I19" s="1501">
        <f>výdavky!J835</f>
        <v>115004</v>
      </c>
      <c r="J19" s="98"/>
      <c r="L19" s="98"/>
    </row>
    <row r="20" spans="1:12" s="1474" customFormat="1" ht="13.5" thickBot="1" x14ac:dyDescent="0.25">
      <c r="A20" s="448" t="s">
        <v>927</v>
      </c>
      <c r="B20" s="457"/>
      <c r="C20" s="887">
        <f>výdavky!D836</f>
        <v>1275473</v>
      </c>
      <c r="D20" s="310">
        <f>výdavky!E836</f>
        <v>1447489.2</v>
      </c>
      <c r="E20" s="915">
        <f>výdavky!F836</f>
        <v>1513168</v>
      </c>
      <c r="F20" s="915">
        <f>výdavky!G836</f>
        <v>1530207</v>
      </c>
      <c r="G20" s="915">
        <f>výdavky!H836</f>
        <v>1500914</v>
      </c>
      <c r="H20" s="1498">
        <f>výdavky!I836</f>
        <v>1167317</v>
      </c>
      <c r="I20" s="887">
        <f>výdavky!J836</f>
        <v>1167217</v>
      </c>
      <c r="J20" s="98"/>
      <c r="L20" s="98"/>
    </row>
    <row r="21" spans="1:12" ht="13.5" thickBot="1" x14ac:dyDescent="0.25">
      <c r="A21" s="450" t="s">
        <v>429</v>
      </c>
      <c r="B21" s="458"/>
      <c r="C21" s="916">
        <f>SUM(C17:C19)+C20</f>
        <v>2804411.52</v>
      </c>
      <c r="D21" s="919">
        <f>SUM(D17,D18,D19)+D20</f>
        <v>3054141.42</v>
      </c>
      <c r="E21" s="920">
        <f>SUM(E17:E19)+E20</f>
        <v>2876612</v>
      </c>
      <c r="F21" s="920">
        <f>SUM(F17,F18,F19)+F20</f>
        <v>3146643.2</v>
      </c>
      <c r="G21" s="920">
        <f>SUM(G17,G18,G19)+G20</f>
        <v>3395630.4</v>
      </c>
      <c r="H21" s="1510">
        <f>SUM(H17,H18,H19)+H20</f>
        <v>2617456</v>
      </c>
      <c r="I21" s="1514">
        <f>SUM(I17,I18,I19)+I20</f>
        <v>2587361</v>
      </c>
      <c r="J21" s="98"/>
      <c r="L21" s="98"/>
    </row>
    <row r="22" spans="1:12" ht="13.5" thickBot="1" x14ac:dyDescent="0.25">
      <c r="A22" s="459"/>
      <c r="B22" s="449"/>
      <c r="C22" s="1505"/>
      <c r="D22" s="917"/>
      <c r="E22" s="1506"/>
      <c r="F22" s="917"/>
      <c r="G22" s="1506"/>
      <c r="H22" s="918"/>
      <c r="I22" s="1515"/>
    </row>
    <row r="23" spans="1:12" ht="13.5" thickBot="1" x14ac:dyDescent="0.25">
      <c r="A23" s="2394" t="s">
        <v>430</v>
      </c>
      <c r="B23" s="2394"/>
      <c r="C23" s="1504">
        <f>C14-C21</f>
        <v>1252.4799999999814</v>
      </c>
      <c r="D23" s="921">
        <f>SUM(D14-D21)</f>
        <v>132017.74000000022</v>
      </c>
      <c r="E23" s="922">
        <f>E14-E21</f>
        <v>1068</v>
      </c>
      <c r="F23" s="922">
        <f>SUM(F14-F21)</f>
        <v>677.96999999973923</v>
      </c>
      <c r="G23" s="922">
        <f>SUM(G14-G21)</f>
        <v>6228.6000000000931</v>
      </c>
      <c r="H23" s="922">
        <f>SUM(H14-H21)</f>
        <v>161310</v>
      </c>
      <c r="I23" s="923">
        <f>SUM(I14-I21)</f>
        <v>246345</v>
      </c>
    </row>
    <row r="25" spans="1:12" ht="13.5" thickBot="1" x14ac:dyDescent="0.25"/>
    <row r="26" spans="1:12" ht="13.5" thickBot="1" x14ac:dyDescent="0.25">
      <c r="A26" s="431" t="s">
        <v>431</v>
      </c>
      <c r="B26" s="827"/>
      <c r="C26" s="2404" t="s">
        <v>421</v>
      </c>
      <c r="D26" s="2405"/>
      <c r="E26" s="2405"/>
      <c r="F26" s="2405"/>
      <c r="G26" s="2405"/>
      <c r="H26" s="2405"/>
      <c r="I26" s="2406"/>
    </row>
    <row r="27" spans="1:12" ht="13.5" thickBot="1" x14ac:dyDescent="0.25">
      <c r="A27" s="433"/>
      <c r="B27" s="434"/>
      <c r="C27" s="829">
        <v>2022</v>
      </c>
      <c r="D27" s="828">
        <v>2023</v>
      </c>
      <c r="E27" s="435">
        <v>2024</v>
      </c>
      <c r="F27" s="435" t="s">
        <v>1024</v>
      </c>
      <c r="G27" s="1516">
        <v>2025</v>
      </c>
      <c r="H27" s="1517">
        <v>2026</v>
      </c>
      <c r="I27" s="1518">
        <v>2027</v>
      </c>
    </row>
    <row r="28" spans="1:12" x14ac:dyDescent="0.2">
      <c r="A28" s="433"/>
      <c r="B28" s="434"/>
      <c r="C28" s="840" t="s">
        <v>170</v>
      </c>
      <c r="D28" s="841" t="s">
        <v>170</v>
      </c>
      <c r="E28" s="830" t="s">
        <v>170</v>
      </c>
      <c r="F28" s="436" t="s">
        <v>170</v>
      </c>
      <c r="G28" s="436" t="s">
        <v>170</v>
      </c>
      <c r="H28" s="436" t="s">
        <v>170</v>
      </c>
      <c r="I28" s="436" t="s">
        <v>170</v>
      </c>
    </row>
    <row r="29" spans="1:12" ht="13.5" thickBot="1" x14ac:dyDescent="0.25">
      <c r="A29" s="437"/>
      <c r="B29" s="438"/>
      <c r="C29" s="832">
        <v>-3</v>
      </c>
      <c r="D29" s="842">
        <v>-2</v>
      </c>
      <c r="E29" s="839">
        <v>-1</v>
      </c>
      <c r="F29" s="460">
        <v>-1</v>
      </c>
      <c r="G29" s="460">
        <v>0</v>
      </c>
      <c r="H29" s="440">
        <v>1</v>
      </c>
      <c r="I29" s="440">
        <v>2</v>
      </c>
    </row>
    <row r="30" spans="1:12" x14ac:dyDescent="0.2">
      <c r="A30" s="2397" t="s">
        <v>1</v>
      </c>
      <c r="B30" s="2397"/>
      <c r="C30" s="948">
        <f t="shared" ref="C30:I30" si="0">C10+C13</f>
        <v>2590558</v>
      </c>
      <c r="D30" s="924">
        <f t="shared" si="0"/>
        <v>3025099.1100000003</v>
      </c>
      <c r="E30" s="925">
        <f t="shared" si="0"/>
        <v>2812680</v>
      </c>
      <c r="F30" s="926">
        <f t="shared" si="0"/>
        <v>2934694.68</v>
      </c>
      <c r="G30" s="926">
        <f>G10+G13</f>
        <v>2799158</v>
      </c>
      <c r="H30" s="926">
        <f t="shared" si="0"/>
        <v>2773766</v>
      </c>
      <c r="I30" s="927">
        <f t="shared" si="0"/>
        <v>2828706</v>
      </c>
    </row>
    <row r="31" spans="1:12" x14ac:dyDescent="0.2">
      <c r="A31" s="2395" t="s">
        <v>426</v>
      </c>
      <c r="B31" s="2395"/>
      <c r="C31" s="949">
        <f>C17+C20</f>
        <v>2527683.52</v>
      </c>
      <c r="D31" s="928">
        <f>SUM(D17)+D20</f>
        <v>2740178.16</v>
      </c>
      <c r="E31" s="929">
        <f>E17+E20</f>
        <v>2723108</v>
      </c>
      <c r="F31" s="930">
        <f>F17+F20</f>
        <v>2913421</v>
      </c>
      <c r="G31" s="930">
        <f>G17+G20</f>
        <v>2831659</v>
      </c>
      <c r="H31" s="930">
        <f>H17+H20</f>
        <v>2485452</v>
      </c>
      <c r="I31" s="931">
        <f>I17+I20</f>
        <v>2470357</v>
      </c>
    </row>
    <row r="32" spans="1:12" x14ac:dyDescent="0.2">
      <c r="A32" s="2396" t="s">
        <v>432</v>
      </c>
      <c r="B32" s="2396"/>
      <c r="C32" s="950">
        <f t="shared" ref="C32:I32" si="1">C30-C31</f>
        <v>62874.479999999981</v>
      </c>
      <c r="D32" s="932">
        <f t="shared" si="1"/>
        <v>284920.95000000019</v>
      </c>
      <c r="E32" s="933">
        <f t="shared" si="1"/>
        <v>89572</v>
      </c>
      <c r="F32" s="934">
        <f t="shared" si="1"/>
        <v>21273.680000000168</v>
      </c>
      <c r="G32" s="934">
        <f t="shared" si="1"/>
        <v>-32501</v>
      </c>
      <c r="H32" s="934">
        <f>H30-H31</f>
        <v>288314</v>
      </c>
      <c r="I32" s="935">
        <f t="shared" si="1"/>
        <v>358349</v>
      </c>
    </row>
    <row r="33" spans="1:9" x14ac:dyDescent="0.2">
      <c r="A33" s="2398"/>
      <c r="B33" s="2398"/>
      <c r="C33" s="156"/>
      <c r="D33" s="917"/>
      <c r="E33" s="917"/>
      <c r="F33" s="917"/>
      <c r="G33" s="216"/>
      <c r="H33" s="216"/>
      <c r="I33" s="321"/>
    </row>
    <row r="34" spans="1:9" x14ac:dyDescent="0.2">
      <c r="A34" s="2399" t="s">
        <v>77</v>
      </c>
      <c r="B34" s="2399"/>
      <c r="C34" s="951">
        <f>C11</f>
        <v>23000</v>
      </c>
      <c r="D34" s="936">
        <f>D11</f>
        <v>25385</v>
      </c>
      <c r="E34" s="936">
        <f>E11</f>
        <v>55000</v>
      </c>
      <c r="F34" s="937">
        <f>F11</f>
        <v>28144</v>
      </c>
      <c r="G34" s="937">
        <f>SUM(G11)</f>
        <v>570200</v>
      </c>
      <c r="H34" s="937">
        <f>SUM(H11)</f>
        <v>5000</v>
      </c>
      <c r="I34" s="938">
        <f>SUM(I11)</f>
        <v>5000</v>
      </c>
    </row>
    <row r="35" spans="1:9" x14ac:dyDescent="0.2">
      <c r="A35" s="2395" t="s">
        <v>427</v>
      </c>
      <c r="B35" s="2395"/>
      <c r="C35" s="952">
        <f>C18</f>
        <v>134227</v>
      </c>
      <c r="D35" s="939">
        <f>D18</f>
        <v>83284.52</v>
      </c>
      <c r="E35" s="939">
        <f>E18</f>
        <v>0</v>
      </c>
      <c r="F35" s="940">
        <f>F18</f>
        <v>26931.200000000001</v>
      </c>
      <c r="G35" s="940">
        <f>SUM(G18)</f>
        <v>380966.40000000002</v>
      </c>
      <c r="H35" s="940">
        <f>SUM(H18)</f>
        <v>2000</v>
      </c>
      <c r="I35" s="941">
        <f>SUM(I18)</f>
        <v>2000</v>
      </c>
    </row>
    <row r="36" spans="1:9" x14ac:dyDescent="0.2">
      <c r="A36" s="2396" t="s">
        <v>432</v>
      </c>
      <c r="B36" s="2396"/>
      <c r="C36" s="953">
        <f t="shared" ref="C36:I36" si="2">C34-C35</f>
        <v>-111227</v>
      </c>
      <c r="D36" s="942">
        <f t="shared" si="2"/>
        <v>-57899.520000000004</v>
      </c>
      <c r="E36" s="942">
        <f t="shared" si="2"/>
        <v>55000</v>
      </c>
      <c r="F36" s="943">
        <f t="shared" si="2"/>
        <v>1212.7999999999993</v>
      </c>
      <c r="G36" s="943">
        <f t="shared" si="2"/>
        <v>189233.59999999998</v>
      </c>
      <c r="H36" s="943">
        <f t="shared" si="2"/>
        <v>3000</v>
      </c>
      <c r="I36" s="944">
        <f t="shared" si="2"/>
        <v>3000</v>
      </c>
    </row>
    <row r="37" spans="1:9" x14ac:dyDescent="0.2">
      <c r="A37" s="2398"/>
      <c r="B37" s="2398"/>
      <c r="C37" s="156"/>
      <c r="D37" s="917"/>
      <c r="E37" s="917"/>
      <c r="F37" s="917"/>
      <c r="G37" s="216"/>
      <c r="H37" s="216"/>
      <c r="I37" s="321"/>
    </row>
    <row r="38" spans="1:9" x14ac:dyDescent="0.2">
      <c r="A38" s="2399" t="s">
        <v>82</v>
      </c>
      <c r="B38" s="2399"/>
      <c r="C38" s="951">
        <f>C12</f>
        <v>192106</v>
      </c>
      <c r="D38" s="936">
        <f>D12</f>
        <v>135675.05000000002</v>
      </c>
      <c r="E38" s="936">
        <f>E12</f>
        <v>10000</v>
      </c>
      <c r="F38" s="937">
        <f>F12</f>
        <v>184482.49</v>
      </c>
      <c r="G38" s="937">
        <f>SUM(G12)</f>
        <v>32501</v>
      </c>
      <c r="H38" s="937">
        <f>H12</f>
        <v>0</v>
      </c>
      <c r="I38" s="938">
        <f>SUM(I12)</f>
        <v>0</v>
      </c>
    </row>
    <row r="39" spans="1:9" x14ac:dyDescent="0.2">
      <c r="A39" s="2395" t="s">
        <v>433</v>
      </c>
      <c r="B39" s="2395"/>
      <c r="C39" s="952">
        <f>C19</f>
        <v>142501</v>
      </c>
      <c r="D39" s="939">
        <f>D19</f>
        <v>230678.74</v>
      </c>
      <c r="E39" s="939">
        <f>E19</f>
        <v>153504</v>
      </c>
      <c r="F39" s="940">
        <f>F19</f>
        <v>206291</v>
      </c>
      <c r="G39" s="940">
        <f>SUM(G19)</f>
        <v>183005</v>
      </c>
      <c r="H39" s="940">
        <f>H19</f>
        <v>130004</v>
      </c>
      <c r="I39" s="941">
        <f>SUM(I19)</f>
        <v>115004</v>
      </c>
    </row>
    <row r="40" spans="1:9" x14ac:dyDescent="0.2">
      <c r="A40" s="2396" t="s">
        <v>432</v>
      </c>
      <c r="B40" s="2396"/>
      <c r="C40" s="953">
        <f t="shared" ref="C40:I40" si="3">C38-C39</f>
        <v>49605</v>
      </c>
      <c r="D40" s="942">
        <f t="shared" si="3"/>
        <v>-95003.689999999973</v>
      </c>
      <c r="E40" s="942">
        <f t="shared" si="3"/>
        <v>-143504</v>
      </c>
      <c r="F40" s="943">
        <f t="shared" si="3"/>
        <v>-21808.510000000009</v>
      </c>
      <c r="G40" s="943">
        <f t="shared" si="3"/>
        <v>-150504</v>
      </c>
      <c r="H40" s="943">
        <f t="shared" si="3"/>
        <v>-130004</v>
      </c>
      <c r="I40" s="944">
        <f t="shared" si="3"/>
        <v>-115004</v>
      </c>
    </row>
    <row r="41" spans="1:9" x14ac:dyDescent="0.2">
      <c r="A41" s="2398"/>
      <c r="B41" s="2398"/>
      <c r="C41" s="156"/>
      <c r="D41" s="216"/>
      <c r="E41" s="216"/>
      <c r="F41" s="216"/>
      <c r="G41" s="216"/>
      <c r="H41" s="216"/>
      <c r="I41" s="321"/>
    </row>
    <row r="42" spans="1:9" x14ac:dyDescent="0.2">
      <c r="A42" s="2399" t="s">
        <v>434</v>
      </c>
      <c r="B42" s="2399"/>
      <c r="C42" s="951">
        <f>C14</f>
        <v>2805664</v>
      </c>
      <c r="D42" s="936">
        <f>D14</f>
        <v>3186159.16</v>
      </c>
      <c r="E42" s="936">
        <f>E14</f>
        <v>2877680</v>
      </c>
      <c r="F42" s="937">
        <f>F14</f>
        <v>3147321.17</v>
      </c>
      <c r="G42" s="937">
        <f>SUM(G14)</f>
        <v>3401859</v>
      </c>
      <c r="H42" s="937">
        <f>H14</f>
        <v>2778766</v>
      </c>
      <c r="I42" s="938">
        <f>I14</f>
        <v>2833706</v>
      </c>
    </row>
    <row r="43" spans="1:9" x14ac:dyDescent="0.2">
      <c r="A43" s="2395" t="s">
        <v>435</v>
      </c>
      <c r="B43" s="2395"/>
      <c r="C43" s="954">
        <f>C21</f>
        <v>2804411.52</v>
      </c>
      <c r="D43" s="939">
        <f>D21</f>
        <v>3054141.42</v>
      </c>
      <c r="E43" s="939">
        <f>E21</f>
        <v>2876612</v>
      </c>
      <c r="F43" s="940">
        <f>F21</f>
        <v>3146643.2</v>
      </c>
      <c r="G43" s="940">
        <f>SUM(G21)</f>
        <v>3395630.4</v>
      </c>
      <c r="H43" s="940">
        <f>H21</f>
        <v>2617456</v>
      </c>
      <c r="I43" s="941">
        <f>I21</f>
        <v>2587361</v>
      </c>
    </row>
    <row r="44" spans="1:9" x14ac:dyDescent="0.2">
      <c r="A44" s="2400" t="s">
        <v>432</v>
      </c>
      <c r="B44" s="2400"/>
      <c r="C44" s="955">
        <f t="shared" ref="C44:I44" si="4">C42-C43</f>
        <v>1252.4799999999814</v>
      </c>
      <c r="D44" s="945">
        <f t="shared" si="4"/>
        <v>132017.74000000022</v>
      </c>
      <c r="E44" s="945">
        <f t="shared" si="4"/>
        <v>1068</v>
      </c>
      <c r="F44" s="946">
        <f t="shared" si="4"/>
        <v>677.96999999973923</v>
      </c>
      <c r="G44" s="946">
        <f t="shared" si="4"/>
        <v>6228.6000000000931</v>
      </c>
      <c r="H44" s="946">
        <f t="shared" si="4"/>
        <v>161310</v>
      </c>
      <c r="I44" s="947">
        <f t="shared" si="4"/>
        <v>246345</v>
      </c>
    </row>
  </sheetData>
  <mergeCells count="20">
    <mergeCell ref="A41:B41"/>
    <mergeCell ref="A42:B42"/>
    <mergeCell ref="A43:B43"/>
    <mergeCell ref="A44:B44"/>
    <mergeCell ref="C5:I5"/>
    <mergeCell ref="C26:I26"/>
    <mergeCell ref="A33:B33"/>
    <mergeCell ref="A34:B34"/>
    <mergeCell ref="A37:B37"/>
    <mergeCell ref="A38:B38"/>
    <mergeCell ref="A39:B39"/>
    <mergeCell ref="A40:B40"/>
    <mergeCell ref="A1:I1"/>
    <mergeCell ref="A2:I2"/>
    <mergeCell ref="A23:B23"/>
    <mergeCell ref="A35:B35"/>
    <mergeCell ref="A36:B36"/>
    <mergeCell ref="A30:B30"/>
    <mergeCell ref="A31:B31"/>
    <mergeCell ref="A32:B32"/>
  </mergeCells>
  <phoneticPr fontId="43" type="noConversion"/>
  <pageMargins left="0.59055118110236227" right="0.19685039370078741" top="0.78740157480314965" bottom="0.78740157480314965" header="0.51181102362204722" footer="0.51181102362204722"/>
  <pageSetup paperSize="9" scale="84" firstPageNumber="0" fitToHeight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S952"/>
  <sheetViews>
    <sheetView showWhiteSpace="0" topLeftCell="A785" zoomScale="95" zoomScaleNormal="95" workbookViewId="0">
      <selection activeCell="H812" sqref="H812"/>
    </sheetView>
  </sheetViews>
  <sheetFormatPr defaultColWidth="6.28515625" defaultRowHeight="12.75" x14ac:dyDescent="0.2"/>
  <cols>
    <col min="1" max="1" width="5.28515625" style="16" customWidth="1"/>
    <col min="2" max="2" width="4.5703125" style="16" customWidth="1"/>
    <col min="3" max="3" width="35.5703125" style="16" customWidth="1"/>
    <col min="4" max="5" width="10.7109375" style="461" customWidth="1"/>
    <col min="6" max="7" width="12.28515625" style="1304" customWidth="1"/>
    <col min="8" max="8" width="10.7109375" style="461" customWidth="1"/>
    <col min="9" max="10" width="10.7109375" style="462" customWidth="1"/>
    <col min="11" max="14" width="10.7109375" style="20" customWidth="1"/>
    <col min="15" max="15" width="19.85546875" style="16" customWidth="1"/>
    <col min="16" max="16" width="9.140625" style="16" customWidth="1"/>
    <col min="17" max="16384" width="6.28515625" style="16"/>
  </cols>
  <sheetData>
    <row r="1" spans="1:16" ht="15.75" x14ac:dyDescent="0.25">
      <c r="A1" s="2408" t="s">
        <v>994</v>
      </c>
      <c r="B1" s="2408"/>
      <c r="C1" s="2408"/>
      <c r="D1" s="2408"/>
      <c r="E1" s="2408"/>
      <c r="F1" s="2408"/>
      <c r="G1" s="2408"/>
      <c r="H1" s="2408"/>
      <c r="I1" s="2408"/>
      <c r="J1" s="2408"/>
      <c r="K1" s="463"/>
      <c r="L1" s="463"/>
      <c r="M1" s="463"/>
      <c r="N1" s="463"/>
    </row>
    <row r="2" spans="1:16" x14ac:dyDescent="0.2">
      <c r="F2" s="1331"/>
      <c r="G2" s="1331"/>
    </row>
    <row r="3" spans="1:16" x14ac:dyDescent="0.2">
      <c r="C3" s="464" t="s">
        <v>426</v>
      </c>
      <c r="F3" s="1331"/>
      <c r="G3" s="1331"/>
    </row>
    <row r="4" spans="1:16" x14ac:dyDescent="0.2">
      <c r="E4" s="2407" t="s">
        <v>1463</v>
      </c>
      <c r="F4" s="2407"/>
      <c r="G4" s="2407"/>
      <c r="H4" s="2407"/>
      <c r="I4" s="2407"/>
      <c r="J4" s="1795"/>
      <c r="K4" s="86"/>
      <c r="L4" s="86"/>
      <c r="M4" s="86"/>
      <c r="N4" s="86"/>
    </row>
    <row r="5" spans="1:16" ht="15.75" hidden="1" x14ac:dyDescent="0.25">
      <c r="A5" s="2294"/>
      <c r="B5" s="2294"/>
      <c r="C5" s="2294"/>
      <c r="D5" s="2294"/>
      <c r="E5" s="465"/>
      <c r="H5" s="465" t="s">
        <v>436</v>
      </c>
    </row>
    <row r="6" spans="1:16" s="470" customFormat="1" x14ac:dyDescent="0.2">
      <c r="A6" s="1544" t="s">
        <v>426</v>
      </c>
      <c r="B6" s="1545"/>
      <c r="C6" s="1546"/>
      <c r="D6" s="1548" t="s">
        <v>985</v>
      </c>
      <c r="E6" s="1915" t="s">
        <v>983</v>
      </c>
      <c r="F6" s="1549">
        <v>2024</v>
      </c>
      <c r="G6" s="1549" t="s">
        <v>984</v>
      </c>
      <c r="H6" s="1724">
        <v>2025</v>
      </c>
      <c r="I6" s="1724">
        <v>2026</v>
      </c>
      <c r="J6" s="1724">
        <v>2027</v>
      </c>
      <c r="K6" s="29"/>
      <c r="L6" s="466"/>
      <c r="M6" s="467"/>
      <c r="N6" s="468"/>
      <c r="O6" s="469"/>
    </row>
    <row r="7" spans="1:16" s="17" customFormat="1" x14ac:dyDescent="0.2">
      <c r="A7" s="1550" t="s">
        <v>440</v>
      </c>
      <c r="B7" s="1556"/>
      <c r="C7" s="1557"/>
      <c r="D7" s="1920">
        <f t="shared" ref="D7:F7" si="0">D8+D9+D12+D13+D10</f>
        <v>336455</v>
      </c>
      <c r="E7" s="1921">
        <f t="shared" si="0"/>
        <v>319574.01119999995</v>
      </c>
      <c r="F7" s="1920">
        <f t="shared" si="0"/>
        <v>292650</v>
      </c>
      <c r="G7" s="1920">
        <f>G8+G9+G12+G13+G10</f>
        <v>347586</v>
      </c>
      <c r="H7" s="1558">
        <f>H8+H12+H13+H10</f>
        <v>329012</v>
      </c>
      <c r="I7" s="1558">
        <f>I8+I12+I13+I10</f>
        <v>323960</v>
      </c>
      <c r="J7" s="1558">
        <f>J8+J12+J13+J10</f>
        <v>327260</v>
      </c>
      <c r="K7" s="78"/>
      <c r="L7" s="78"/>
      <c r="M7" s="471"/>
      <c r="N7" s="471"/>
      <c r="O7" s="472"/>
    </row>
    <row r="8" spans="1:16" s="50" customFormat="1" ht="11.25" x14ac:dyDescent="0.2">
      <c r="A8" s="1074">
        <v>610</v>
      </c>
      <c r="B8" s="1559"/>
      <c r="C8" s="1294" t="s">
        <v>441</v>
      </c>
      <c r="D8" s="1333">
        <v>107000</v>
      </c>
      <c r="E8" s="1878">
        <v>110723.65</v>
      </c>
      <c r="F8" s="1333">
        <v>115000</v>
      </c>
      <c r="G8" s="1333">
        <v>121400</v>
      </c>
      <c r="H8" s="1322">
        <v>125000</v>
      </c>
      <c r="I8" s="1071">
        <v>125000</v>
      </c>
      <c r="J8" s="1071">
        <v>125000</v>
      </c>
      <c r="K8" s="76"/>
      <c r="L8" s="76"/>
      <c r="N8" s="58"/>
    </row>
    <row r="9" spans="1:16" s="50" customFormat="1" ht="11.25" x14ac:dyDescent="0.2">
      <c r="A9" s="1560">
        <v>610</v>
      </c>
      <c r="B9" s="1561"/>
      <c r="C9" s="1562" t="s">
        <v>633</v>
      </c>
      <c r="D9" s="1333">
        <v>0</v>
      </c>
      <c r="E9" s="1878">
        <v>0</v>
      </c>
      <c r="F9" s="1333">
        <v>0</v>
      </c>
      <c r="G9" s="1333">
        <v>0</v>
      </c>
      <c r="H9" s="1322">
        <v>0</v>
      </c>
      <c r="I9" s="1297">
        <v>0</v>
      </c>
      <c r="J9" s="1297">
        <v>0</v>
      </c>
      <c r="K9" s="76"/>
      <c r="L9" s="76"/>
      <c r="N9" s="58"/>
    </row>
    <row r="10" spans="1:16" s="50" customFormat="1" ht="11.25" x14ac:dyDescent="0.2">
      <c r="A10" s="1563">
        <v>610</v>
      </c>
      <c r="B10" s="1559"/>
      <c r="C10" s="1564" t="s">
        <v>442</v>
      </c>
      <c r="D10" s="1524">
        <v>3000</v>
      </c>
      <c r="E10" s="1879">
        <v>7165</v>
      </c>
      <c r="F10" s="1524">
        <v>3000</v>
      </c>
      <c r="G10" s="1524">
        <v>14394</v>
      </c>
      <c r="H10" s="1948">
        <v>0</v>
      </c>
      <c r="I10" s="1192">
        <v>0</v>
      </c>
      <c r="J10" s="1192">
        <v>0</v>
      </c>
      <c r="K10" s="473"/>
      <c r="L10" s="76"/>
      <c r="M10" s="469"/>
      <c r="N10" s="58"/>
    </row>
    <row r="11" spans="1:16" s="50" customFormat="1" ht="11.25" x14ac:dyDescent="0.2">
      <c r="A11" s="1565">
        <v>625</v>
      </c>
      <c r="B11" s="1566" t="s">
        <v>89</v>
      </c>
      <c r="C11" s="1564" t="s">
        <v>443</v>
      </c>
      <c r="D11" s="1333">
        <v>0</v>
      </c>
      <c r="E11" s="1803">
        <v>0</v>
      </c>
      <c r="F11" s="1333">
        <v>0</v>
      </c>
      <c r="G11" s="1333">
        <v>0</v>
      </c>
      <c r="H11" s="1322">
        <v>0</v>
      </c>
      <c r="I11" s="1190">
        <v>0</v>
      </c>
      <c r="J11" s="1190">
        <v>0</v>
      </c>
      <c r="K11" s="76"/>
      <c r="L11" s="76"/>
      <c r="M11" s="469"/>
      <c r="N11" s="58"/>
    </row>
    <row r="12" spans="1:16" x14ac:dyDescent="0.2">
      <c r="A12" s="1074">
        <v>620</v>
      </c>
      <c r="B12" s="1074"/>
      <c r="C12" s="1074" t="s">
        <v>188</v>
      </c>
      <c r="D12" s="1333">
        <v>40600</v>
      </c>
      <c r="E12" s="1878">
        <v>39182.080000000002</v>
      </c>
      <c r="F12" s="1333">
        <v>40600</v>
      </c>
      <c r="G12" s="1333">
        <v>43800</v>
      </c>
      <c r="H12" s="1322">
        <v>45000</v>
      </c>
      <c r="I12" s="1071">
        <v>45000</v>
      </c>
      <c r="J12" s="1071">
        <v>45000</v>
      </c>
      <c r="K12" s="76"/>
      <c r="L12" s="76"/>
      <c r="M12" s="50"/>
      <c r="N12" s="58"/>
    </row>
    <row r="13" spans="1:16" s="20" customFormat="1" x14ac:dyDescent="0.2">
      <c r="A13" s="1567">
        <v>630</v>
      </c>
      <c r="B13" s="1568"/>
      <c r="C13" s="1568" t="s">
        <v>356</v>
      </c>
      <c r="D13" s="1779">
        <f>D14+D15+D17+D30+D37+D41+D49+D73</f>
        <v>185855</v>
      </c>
      <c r="E13" s="1880">
        <f t="shared" ref="E13" si="1">E14+E15+E17+E30+E37+E41+E49+E73</f>
        <v>162503.2812</v>
      </c>
      <c r="F13" s="1779">
        <f>F14+F15+F17+F30+F37+F41+F49+F73</f>
        <v>134050</v>
      </c>
      <c r="G13" s="1779">
        <f>G14+G15+G17+G30+G37+G41+G49+G73</f>
        <v>167992</v>
      </c>
      <c r="H13" s="1949">
        <f t="shared" ref="H13:I13" si="2">H14+H15+H17+H30+H37+H41+H49+H73</f>
        <v>159012</v>
      </c>
      <c r="I13" s="1569">
        <f t="shared" si="2"/>
        <v>153960</v>
      </c>
      <c r="J13" s="1569">
        <f t="shared" ref="J13" si="3">J14+J15+J17+J30+J37+J41+J49+J73</f>
        <v>157260</v>
      </c>
      <c r="K13" s="83"/>
      <c r="L13" s="83"/>
      <c r="M13" s="59"/>
      <c r="N13" s="59"/>
      <c r="P13" s="21"/>
    </row>
    <row r="14" spans="1:16" s="20" customFormat="1" x14ac:dyDescent="0.2">
      <c r="A14" s="1570" t="s">
        <v>444</v>
      </c>
      <c r="B14" s="1570"/>
      <c r="C14" s="1570" t="s">
        <v>190</v>
      </c>
      <c r="D14" s="1523">
        <v>100</v>
      </c>
      <c r="E14" s="1881">
        <v>0</v>
      </c>
      <c r="F14" s="1523">
        <v>0</v>
      </c>
      <c r="G14" s="1523">
        <v>0</v>
      </c>
      <c r="H14" s="1950">
        <v>0</v>
      </c>
      <c r="I14" s="1282">
        <v>0</v>
      </c>
      <c r="J14" s="1282">
        <v>200</v>
      </c>
      <c r="K14" s="474"/>
      <c r="L14" s="76"/>
      <c r="M14" s="475"/>
      <c r="N14" s="476"/>
    </row>
    <row r="15" spans="1:16" s="20" customFormat="1" x14ac:dyDescent="0.2">
      <c r="A15" s="1570">
        <v>632</v>
      </c>
      <c r="B15" s="1570"/>
      <c r="C15" s="1570" t="s">
        <v>445</v>
      </c>
      <c r="D15" s="1523">
        <v>25000</v>
      </c>
      <c r="E15" s="1881">
        <v>28466.240000000002</v>
      </c>
      <c r="F15" s="1523">
        <v>30000</v>
      </c>
      <c r="G15" s="1523">
        <v>26000</v>
      </c>
      <c r="H15" s="1950">
        <v>30000</v>
      </c>
      <c r="I15" s="1282">
        <v>30000</v>
      </c>
      <c r="J15" s="1282">
        <v>30000</v>
      </c>
      <c r="K15" s="474"/>
      <c r="L15" s="76"/>
      <c r="M15" s="475"/>
      <c r="N15" s="476"/>
    </row>
    <row r="16" spans="1:16" s="479" customFormat="1" x14ac:dyDescent="0.2">
      <c r="A16" s="1571">
        <v>632</v>
      </c>
      <c r="B16" s="1571" t="s">
        <v>446</v>
      </c>
      <c r="C16" s="1572"/>
      <c r="D16" s="1333">
        <v>0</v>
      </c>
      <c r="E16" s="1882">
        <v>0</v>
      </c>
      <c r="F16" s="1333">
        <v>0</v>
      </c>
      <c r="G16" s="1333">
        <v>0</v>
      </c>
      <c r="H16" s="1322">
        <v>0</v>
      </c>
      <c r="I16" s="1190">
        <v>0</v>
      </c>
      <c r="J16" s="1190">
        <v>0</v>
      </c>
      <c r="K16" s="473"/>
      <c r="L16" s="473"/>
      <c r="M16" s="477"/>
      <c r="N16" s="478"/>
    </row>
    <row r="17" spans="1:16" s="20" customFormat="1" x14ac:dyDescent="0.2">
      <c r="A17" s="1573">
        <v>633</v>
      </c>
      <c r="B17" s="1573"/>
      <c r="C17" s="1573" t="s">
        <v>447</v>
      </c>
      <c r="D17" s="1523">
        <f>SUM(D18,D19,D20,D21,D22,D24,D25,D26,D27,D28,D29)</f>
        <v>46042</v>
      </c>
      <c r="E17" s="1883">
        <f>SUM(E18,E19,E20,E21,E22,E24,E25,E26,E27,E28,E29)+E23</f>
        <v>31750.59</v>
      </c>
      <c r="F17" s="1523">
        <f>SUM(F18,F19,F20,F21,F22,F24,F25,F26,F27,F28,F29)</f>
        <v>24700</v>
      </c>
      <c r="G17" s="1523">
        <f>SUM(G18,G19,G20,G21,G22,G24,G25,G26,G27,G28,G29+G23)</f>
        <v>35449</v>
      </c>
      <c r="H17" s="1951">
        <f>SUM(H18,H19,H20,H21,H22,H24,H25,H26,H27,H28,H23)+H29</f>
        <v>33700</v>
      </c>
      <c r="I17" s="1285">
        <f>SUM(I18,I19,I20,I21,I22,I24,I25,I26,I27,I28,I23)+I29</f>
        <v>35700</v>
      </c>
      <c r="J17" s="1285">
        <f>SUM(J18,J19,J20,J21,J22,J24,J25,J26,J27,J28,J23)+J29</f>
        <v>38700</v>
      </c>
      <c r="K17" s="480"/>
      <c r="L17" s="480"/>
      <c r="M17" s="481"/>
      <c r="N17" s="481"/>
    </row>
    <row r="18" spans="1:16" s="20" customFormat="1" x14ac:dyDescent="0.2">
      <c r="A18" s="914">
        <v>633</v>
      </c>
      <c r="B18" s="914" t="s">
        <v>91</v>
      </c>
      <c r="C18" s="914" t="s">
        <v>448</v>
      </c>
      <c r="D18" s="1333">
        <v>500</v>
      </c>
      <c r="E18" s="1878">
        <v>0</v>
      </c>
      <c r="F18" s="1333"/>
      <c r="G18" s="1333"/>
      <c r="H18" s="1322">
        <v>500</v>
      </c>
      <c r="I18" s="1071">
        <v>500</v>
      </c>
      <c r="J18" s="1071">
        <v>500</v>
      </c>
      <c r="K18" s="76"/>
      <c r="L18" s="76"/>
      <c r="M18" s="50"/>
      <c r="N18" s="58"/>
    </row>
    <row r="19" spans="1:16" x14ac:dyDescent="0.2">
      <c r="A19" s="1074">
        <v>633</v>
      </c>
      <c r="B19" s="1574" t="s">
        <v>94</v>
      </c>
      <c r="C19" s="1074" t="s">
        <v>449</v>
      </c>
      <c r="D19" s="1333">
        <v>500</v>
      </c>
      <c r="E19" s="1878">
        <v>0</v>
      </c>
      <c r="F19" s="1333"/>
      <c r="G19" s="1333"/>
      <c r="H19" s="1322">
        <v>500</v>
      </c>
      <c r="I19" s="1071">
        <v>500</v>
      </c>
      <c r="J19" s="1071">
        <v>500</v>
      </c>
      <c r="K19" s="76"/>
      <c r="L19" s="76"/>
      <c r="M19" s="50"/>
      <c r="N19" s="58"/>
    </row>
    <row r="20" spans="1:16" x14ac:dyDescent="0.2">
      <c r="A20" s="1074">
        <v>633</v>
      </c>
      <c r="B20" s="1574" t="s">
        <v>117</v>
      </c>
      <c r="C20" s="1074" t="s">
        <v>450</v>
      </c>
      <c r="D20" s="1333">
        <v>2000</v>
      </c>
      <c r="E20" s="1878">
        <v>168</v>
      </c>
      <c r="F20" s="1333">
        <v>1000</v>
      </c>
      <c r="G20" s="1333">
        <v>1000</v>
      </c>
      <c r="H20" s="1322">
        <v>1000</v>
      </c>
      <c r="I20" s="1071">
        <v>1000</v>
      </c>
      <c r="J20" s="1071">
        <v>1000</v>
      </c>
      <c r="K20" s="76"/>
      <c r="L20" s="76"/>
      <c r="M20" s="50"/>
      <c r="N20" s="58"/>
    </row>
    <row r="21" spans="1:16" x14ac:dyDescent="0.2">
      <c r="A21" s="1074">
        <v>633</v>
      </c>
      <c r="B21" s="1574" t="s">
        <v>122</v>
      </c>
      <c r="C21" s="1074" t="s">
        <v>451</v>
      </c>
      <c r="D21" s="1333">
        <v>12500</v>
      </c>
      <c r="E21" s="1878">
        <v>0</v>
      </c>
      <c r="F21" s="1333">
        <v>0</v>
      </c>
      <c r="G21" s="1333">
        <v>0</v>
      </c>
      <c r="H21" s="1322">
        <v>0</v>
      </c>
      <c r="I21" s="1071">
        <v>0</v>
      </c>
      <c r="J21" s="1071">
        <v>0</v>
      </c>
      <c r="K21" s="76"/>
      <c r="L21" s="76"/>
      <c r="M21" s="50"/>
      <c r="N21" s="58"/>
    </row>
    <row r="22" spans="1:16" x14ac:dyDescent="0.2">
      <c r="A22" s="1074">
        <v>633</v>
      </c>
      <c r="B22" s="1074" t="s">
        <v>122</v>
      </c>
      <c r="C22" s="1074" t="s">
        <v>452</v>
      </c>
      <c r="D22" s="1333">
        <v>17000</v>
      </c>
      <c r="E22" s="1878">
        <v>11694.68</v>
      </c>
      <c r="F22" s="1333">
        <v>12000</v>
      </c>
      <c r="G22" s="1333">
        <v>17000</v>
      </c>
      <c r="H22" s="1322">
        <v>15000</v>
      </c>
      <c r="I22" s="1071">
        <v>17000</v>
      </c>
      <c r="J22" s="1071">
        <v>20000</v>
      </c>
      <c r="K22" s="76"/>
      <c r="L22" s="76"/>
      <c r="M22" s="50"/>
      <c r="N22" s="58"/>
    </row>
    <row r="23" spans="1:16" x14ac:dyDescent="0.2">
      <c r="A23" s="1575">
        <v>633</v>
      </c>
      <c r="B23" s="1575" t="s">
        <v>122</v>
      </c>
      <c r="C23" s="1113" t="s">
        <v>634</v>
      </c>
      <c r="D23" s="1529">
        <v>0</v>
      </c>
      <c r="E23" s="1803"/>
      <c r="F23" s="1333">
        <v>1000</v>
      </c>
      <c r="G23" s="1333">
        <v>749</v>
      </c>
      <c r="H23" s="1322">
        <v>1000</v>
      </c>
      <c r="I23" s="1118">
        <v>1000</v>
      </c>
      <c r="J23" s="1118">
        <v>1000</v>
      </c>
      <c r="K23" s="473"/>
      <c r="L23" s="76"/>
      <c r="M23" s="469"/>
      <c r="N23" s="58"/>
      <c r="P23" s="482"/>
    </row>
    <row r="24" spans="1:16" x14ac:dyDescent="0.2">
      <c r="A24" s="1074">
        <v>633</v>
      </c>
      <c r="B24" s="1074" t="s">
        <v>453</v>
      </c>
      <c r="C24" s="1074" t="s">
        <v>454</v>
      </c>
      <c r="D24" s="1333">
        <v>3500</v>
      </c>
      <c r="E24" s="1878">
        <v>2491.98</v>
      </c>
      <c r="F24" s="1333">
        <v>3500</v>
      </c>
      <c r="G24" s="1333">
        <v>3500</v>
      </c>
      <c r="H24" s="1322">
        <v>3500</v>
      </c>
      <c r="I24" s="1071">
        <v>3500</v>
      </c>
      <c r="J24" s="1071">
        <v>3500</v>
      </c>
      <c r="K24" s="76"/>
      <c r="L24" s="76"/>
      <c r="M24" s="50"/>
      <c r="N24" s="58"/>
      <c r="O24" s="483"/>
    </row>
    <row r="25" spans="1:16" x14ac:dyDescent="0.2">
      <c r="A25" s="1074">
        <v>633</v>
      </c>
      <c r="B25" s="1074" t="s">
        <v>455</v>
      </c>
      <c r="C25" s="1074" t="s">
        <v>456</v>
      </c>
      <c r="D25" s="1333">
        <v>0</v>
      </c>
      <c r="E25" s="1878">
        <v>0</v>
      </c>
      <c r="F25" s="1333">
        <v>0</v>
      </c>
      <c r="G25" s="1333">
        <v>0</v>
      </c>
      <c r="H25" s="1322">
        <v>0</v>
      </c>
      <c r="I25" s="1071">
        <v>0</v>
      </c>
      <c r="J25" s="1071">
        <v>0</v>
      </c>
      <c r="K25" s="76"/>
      <c r="L25" s="76"/>
      <c r="M25" s="50"/>
      <c r="N25" s="58"/>
    </row>
    <row r="26" spans="1:16" x14ac:dyDescent="0.2">
      <c r="A26" s="1074">
        <v>633</v>
      </c>
      <c r="B26" s="1074" t="s">
        <v>457</v>
      </c>
      <c r="C26" s="1074" t="s">
        <v>458</v>
      </c>
      <c r="D26" s="1333">
        <v>100</v>
      </c>
      <c r="E26" s="1878">
        <v>425</v>
      </c>
      <c r="F26" s="1333">
        <v>100</v>
      </c>
      <c r="G26" s="1333">
        <v>100</v>
      </c>
      <c r="H26" s="1322">
        <v>100</v>
      </c>
      <c r="I26" s="1071">
        <v>100</v>
      </c>
      <c r="J26" s="1071">
        <v>100</v>
      </c>
      <c r="K26" s="76"/>
      <c r="L26" s="76"/>
      <c r="M26" s="50"/>
      <c r="N26" s="58"/>
    </row>
    <row r="27" spans="1:16" x14ac:dyDescent="0.2">
      <c r="A27" s="1074">
        <v>633</v>
      </c>
      <c r="B27" s="1074" t="s">
        <v>100</v>
      </c>
      <c r="C27" s="1074" t="s">
        <v>459</v>
      </c>
      <c r="D27" s="1333">
        <v>4842</v>
      </c>
      <c r="E27" s="1878">
        <v>7881.64</v>
      </c>
      <c r="F27" s="1333">
        <v>3000</v>
      </c>
      <c r="G27" s="1333">
        <v>7000</v>
      </c>
      <c r="H27" s="1322">
        <v>7000</v>
      </c>
      <c r="I27" s="1071">
        <v>7000</v>
      </c>
      <c r="J27" s="1071">
        <v>7000</v>
      </c>
      <c r="K27" s="76"/>
      <c r="L27" s="76"/>
      <c r="M27" s="50"/>
      <c r="N27" s="58"/>
    </row>
    <row r="28" spans="1:16" x14ac:dyDescent="0.2">
      <c r="A28" s="1074">
        <v>633</v>
      </c>
      <c r="B28" s="1074" t="s">
        <v>460</v>
      </c>
      <c r="C28" s="1074" t="s">
        <v>461</v>
      </c>
      <c r="D28" s="1333">
        <v>5000</v>
      </c>
      <c r="E28" s="1878">
        <v>9089.2900000000009</v>
      </c>
      <c r="F28" s="1333">
        <v>5000</v>
      </c>
      <c r="G28" s="1333">
        <v>6000</v>
      </c>
      <c r="H28" s="1322">
        <v>5000</v>
      </c>
      <c r="I28" s="1071">
        <v>5000</v>
      </c>
      <c r="J28" s="1071">
        <v>5000</v>
      </c>
      <c r="K28" s="76"/>
      <c r="L28" s="76"/>
      <c r="M28" s="50"/>
      <c r="N28" s="58"/>
    </row>
    <row r="29" spans="1:16" s="482" customFormat="1" x14ac:dyDescent="0.2">
      <c r="A29" s="1074">
        <v>633</v>
      </c>
      <c r="B29" s="1074" t="s">
        <v>486</v>
      </c>
      <c r="C29" s="1074" t="s">
        <v>635</v>
      </c>
      <c r="D29" s="1525">
        <v>100</v>
      </c>
      <c r="E29" s="1884">
        <v>0</v>
      </c>
      <c r="F29" s="1333">
        <v>100</v>
      </c>
      <c r="G29" s="1333">
        <v>100</v>
      </c>
      <c r="H29" s="1322">
        <v>100</v>
      </c>
      <c r="I29" s="1115">
        <v>100</v>
      </c>
      <c r="J29" s="1115">
        <v>100</v>
      </c>
      <c r="K29" s="473"/>
      <c r="L29" s="473"/>
      <c r="M29" s="484"/>
      <c r="N29" s="485"/>
    </row>
    <row r="30" spans="1:16" s="20" customFormat="1" x14ac:dyDescent="0.2">
      <c r="A30" s="1573">
        <v>634</v>
      </c>
      <c r="B30" s="1573"/>
      <c r="C30" s="1573" t="s">
        <v>462</v>
      </c>
      <c r="D30" s="1523">
        <f>SUM(D31,D33,D34,D35,D36,D32)</f>
        <v>15750</v>
      </c>
      <c r="E30" s="1885">
        <f t="shared" ref="E30" si="4">SUM(E31,E33,E34,E35,E36,E32)</f>
        <v>18678.641200000005</v>
      </c>
      <c r="F30" s="1523">
        <f>SUM(F31,F33,F34,F35,F36,F32)</f>
        <v>14340</v>
      </c>
      <c r="G30" s="1523">
        <f>SUM(G31,G33,G34,G35,G36,G32)</f>
        <v>19390</v>
      </c>
      <c r="H30" s="1952">
        <f t="shared" ref="H30:I30" si="5">SUM(H31,H33,H34,H35,H36,H32)</f>
        <v>15350</v>
      </c>
      <c r="I30" s="1283">
        <f t="shared" si="5"/>
        <v>16350</v>
      </c>
      <c r="J30" s="1283">
        <f t="shared" ref="J30" si="6">SUM(J31,J33,J34,J35,J36,J32)</f>
        <v>15850</v>
      </c>
      <c r="K30" s="486"/>
      <c r="L30" s="486"/>
      <c r="M30" s="487"/>
      <c r="N30" s="487"/>
    </row>
    <row r="31" spans="1:16" x14ac:dyDescent="0.2">
      <c r="A31" s="1074">
        <v>634</v>
      </c>
      <c r="B31" s="1074" t="s">
        <v>91</v>
      </c>
      <c r="C31" s="1074" t="s">
        <v>463</v>
      </c>
      <c r="D31" s="1333">
        <v>8950</v>
      </c>
      <c r="E31" s="1878">
        <v>10027.26</v>
      </c>
      <c r="F31" s="1333">
        <v>9000</v>
      </c>
      <c r="G31" s="1333">
        <v>9000</v>
      </c>
      <c r="H31" s="1322">
        <v>9000</v>
      </c>
      <c r="I31" s="1071">
        <v>10000</v>
      </c>
      <c r="J31" s="1071">
        <v>10000</v>
      </c>
      <c r="K31" s="76"/>
      <c r="L31" s="76"/>
      <c r="M31" s="50"/>
      <c r="N31" s="58"/>
    </row>
    <row r="32" spans="1:16" s="482" customFormat="1" x14ac:dyDescent="0.2">
      <c r="A32" s="1563">
        <v>634</v>
      </c>
      <c r="B32" s="1563" t="s">
        <v>91</v>
      </c>
      <c r="C32" s="1563" t="s">
        <v>464</v>
      </c>
      <c r="D32" s="1529">
        <v>0</v>
      </c>
      <c r="E32" s="1802">
        <v>0</v>
      </c>
      <c r="F32" s="1333">
        <v>0</v>
      </c>
      <c r="G32" s="1333">
        <v>0</v>
      </c>
      <c r="H32" s="1322">
        <v>0</v>
      </c>
      <c r="I32" s="1190">
        <v>0</v>
      </c>
      <c r="J32" s="1190">
        <v>0</v>
      </c>
      <c r="K32" s="473"/>
      <c r="L32" s="473"/>
      <c r="M32" s="484"/>
      <c r="N32" s="485"/>
    </row>
    <row r="33" spans="1:14" x14ac:dyDescent="0.2">
      <c r="A33" s="1074">
        <v>634</v>
      </c>
      <c r="B33" s="1074" t="s">
        <v>94</v>
      </c>
      <c r="C33" s="1074" t="s">
        <v>465</v>
      </c>
      <c r="D33" s="1333">
        <v>4000</v>
      </c>
      <c r="E33" s="1878">
        <v>7052.68</v>
      </c>
      <c r="F33" s="1333">
        <v>3000</v>
      </c>
      <c r="G33" s="1333">
        <v>8000</v>
      </c>
      <c r="H33" s="1322">
        <v>3000</v>
      </c>
      <c r="I33" s="1071">
        <v>3000</v>
      </c>
      <c r="J33" s="1071">
        <v>3000</v>
      </c>
      <c r="K33" s="76"/>
      <c r="L33" s="76"/>
      <c r="M33" s="50"/>
      <c r="N33" s="58"/>
    </row>
    <row r="34" spans="1:14" x14ac:dyDescent="0.2">
      <c r="A34" s="1074">
        <v>634</v>
      </c>
      <c r="B34" s="1074" t="s">
        <v>89</v>
      </c>
      <c r="C34" s="1074" t="s">
        <v>466</v>
      </c>
      <c r="D34" s="1333">
        <v>1200</v>
      </c>
      <c r="E34" s="1878">
        <v>1284.4000000000001</v>
      </c>
      <c r="F34" s="1333">
        <v>1240</v>
      </c>
      <c r="G34" s="1333">
        <v>1240</v>
      </c>
      <c r="H34" s="1322">
        <v>1500</v>
      </c>
      <c r="I34" s="1071">
        <v>1500</v>
      </c>
      <c r="J34" s="1071">
        <v>1000</v>
      </c>
      <c r="K34" s="76"/>
      <c r="L34" s="76"/>
      <c r="M34" s="50"/>
      <c r="N34" s="58"/>
    </row>
    <row r="35" spans="1:14" x14ac:dyDescent="0.2">
      <c r="A35" s="1074">
        <v>634</v>
      </c>
      <c r="B35" s="1074" t="s">
        <v>108</v>
      </c>
      <c r="C35" s="1074" t="s">
        <v>467</v>
      </c>
      <c r="D35" s="1333">
        <v>1500</v>
      </c>
      <c r="E35" s="1878">
        <v>158.40119999999999</v>
      </c>
      <c r="F35" s="1333">
        <v>1000</v>
      </c>
      <c r="G35" s="1333">
        <v>1000</v>
      </c>
      <c r="H35" s="1322">
        <v>1500</v>
      </c>
      <c r="I35" s="1071">
        <v>1500</v>
      </c>
      <c r="J35" s="1071">
        <v>1500</v>
      </c>
      <c r="K35" s="76"/>
      <c r="L35" s="76"/>
      <c r="M35" s="50"/>
      <c r="N35" s="58"/>
    </row>
    <row r="36" spans="1:14" x14ac:dyDescent="0.2">
      <c r="A36" s="1074">
        <v>634</v>
      </c>
      <c r="B36" s="1074" t="s">
        <v>117</v>
      </c>
      <c r="C36" s="1074" t="s">
        <v>468</v>
      </c>
      <c r="D36" s="1333">
        <v>100</v>
      </c>
      <c r="E36" s="1878">
        <v>155.9</v>
      </c>
      <c r="F36" s="1333">
        <v>100</v>
      </c>
      <c r="G36" s="1333">
        <v>150</v>
      </c>
      <c r="H36" s="1322">
        <v>350</v>
      </c>
      <c r="I36" s="1071">
        <v>350</v>
      </c>
      <c r="J36" s="1071">
        <v>350</v>
      </c>
      <c r="K36" s="76"/>
      <c r="L36" s="76"/>
      <c r="M36" s="50"/>
      <c r="N36" s="58"/>
    </row>
    <row r="37" spans="1:14" s="20" customFormat="1" x14ac:dyDescent="0.2">
      <c r="A37" s="1573">
        <v>635</v>
      </c>
      <c r="B37" s="1573"/>
      <c r="C37" s="1573" t="s">
        <v>469</v>
      </c>
      <c r="D37" s="1523">
        <f>SUM(D38,D39,D40)</f>
        <v>5300</v>
      </c>
      <c r="E37" s="1885">
        <f t="shared" ref="E37" si="7">SUM(E38,E39,E40)</f>
        <v>179.26</v>
      </c>
      <c r="F37" s="1523">
        <f>SUM(F38,F39,F40)</f>
        <v>3300</v>
      </c>
      <c r="G37" s="1523">
        <f>SUM(G38,G39,G40)</f>
        <v>1300</v>
      </c>
      <c r="H37" s="1952">
        <f t="shared" ref="H37" si="8">SUM(H38,H39,H40)</f>
        <v>3700</v>
      </c>
      <c r="I37" s="1283">
        <f>SUM(I38:I40)</f>
        <v>4200</v>
      </c>
      <c r="J37" s="1283">
        <f>SUM(J38:J40)</f>
        <v>2200</v>
      </c>
      <c r="K37" s="486"/>
      <c r="L37" s="486"/>
      <c r="M37" s="487"/>
      <c r="N37" s="487"/>
    </row>
    <row r="38" spans="1:14" x14ac:dyDescent="0.2">
      <c r="A38" s="1074">
        <v>635</v>
      </c>
      <c r="B38" s="1074" t="s">
        <v>94</v>
      </c>
      <c r="C38" s="1074" t="s">
        <v>470</v>
      </c>
      <c r="D38" s="1333">
        <v>0</v>
      </c>
      <c r="E38" s="1878">
        <v>0</v>
      </c>
      <c r="F38" s="1333">
        <v>0</v>
      </c>
      <c r="G38" s="1333">
        <v>0</v>
      </c>
      <c r="H38" s="1322">
        <v>200</v>
      </c>
      <c r="I38" s="1071">
        <v>200</v>
      </c>
      <c r="J38" s="1071">
        <v>200</v>
      </c>
      <c r="K38" s="76"/>
      <c r="L38" s="76"/>
      <c r="M38" s="50"/>
      <c r="N38" s="58"/>
    </row>
    <row r="39" spans="1:14" x14ac:dyDescent="0.2">
      <c r="A39" s="1074">
        <v>635</v>
      </c>
      <c r="B39" s="1074" t="s">
        <v>108</v>
      </c>
      <c r="C39" s="1074" t="s">
        <v>471</v>
      </c>
      <c r="D39" s="1333">
        <v>300</v>
      </c>
      <c r="E39" s="1878">
        <v>179.26</v>
      </c>
      <c r="F39" s="1333">
        <v>300</v>
      </c>
      <c r="G39" s="1333">
        <v>300</v>
      </c>
      <c r="H39" s="1322">
        <v>500</v>
      </c>
      <c r="I39" s="1071">
        <v>1000</v>
      </c>
      <c r="J39" s="1071">
        <v>1000</v>
      </c>
      <c r="K39" s="76"/>
      <c r="L39" s="76"/>
      <c r="M39" s="50"/>
      <c r="N39" s="58"/>
    </row>
    <row r="40" spans="1:14" x14ac:dyDescent="0.2">
      <c r="A40" s="1074">
        <v>635</v>
      </c>
      <c r="B40" s="1074" t="s">
        <v>122</v>
      </c>
      <c r="C40" s="1074" t="s">
        <v>472</v>
      </c>
      <c r="D40" s="1538">
        <v>5000</v>
      </c>
      <c r="E40" s="1878">
        <v>0</v>
      </c>
      <c r="F40" s="1333">
        <v>3000</v>
      </c>
      <c r="G40" s="1333">
        <v>1000</v>
      </c>
      <c r="H40" s="1322">
        <v>3000</v>
      </c>
      <c r="I40" s="1071">
        <v>3000</v>
      </c>
      <c r="J40" s="1071">
        <v>1000</v>
      </c>
      <c r="K40" s="76"/>
      <c r="L40" s="76"/>
      <c r="M40" s="50"/>
      <c r="N40" s="58"/>
    </row>
    <row r="41" spans="1:14" s="20" customFormat="1" x14ac:dyDescent="0.2">
      <c r="A41" s="1573">
        <v>636</v>
      </c>
      <c r="B41" s="1573"/>
      <c r="C41" s="1573" t="s">
        <v>473</v>
      </c>
      <c r="D41" s="1283">
        <f t="shared" ref="D41" si="9">SUM(D42,D43,D44)</f>
        <v>215</v>
      </c>
      <c r="E41" s="1885">
        <f t="shared" ref="E41" si="10">SUM(E42,E43,E44)</f>
        <v>436.64</v>
      </c>
      <c r="F41" s="1523">
        <f>SUM(F42,F43,F44)</f>
        <v>10</v>
      </c>
      <c r="G41" s="1523">
        <f>SUM(G42,G43,G44)</f>
        <v>10</v>
      </c>
      <c r="H41" s="1952">
        <f t="shared" ref="H41:I41" si="11">SUM(H42,H43,H44)</f>
        <v>10</v>
      </c>
      <c r="I41" s="1283">
        <f t="shared" si="11"/>
        <v>10</v>
      </c>
      <c r="J41" s="1283">
        <f t="shared" ref="J41" si="12">SUM(J42,J43,J44)</f>
        <v>1010</v>
      </c>
      <c r="K41" s="486"/>
      <c r="L41" s="486"/>
      <c r="M41" s="487"/>
      <c r="N41" s="487"/>
    </row>
    <row r="42" spans="1:14" x14ac:dyDescent="0.2">
      <c r="A42" s="1074">
        <v>636</v>
      </c>
      <c r="B42" s="1074" t="s">
        <v>91</v>
      </c>
      <c r="C42" s="1074" t="s">
        <v>873</v>
      </c>
      <c r="D42" s="1071">
        <v>20</v>
      </c>
      <c r="E42" s="1886">
        <v>20</v>
      </c>
      <c r="F42" s="1333">
        <v>10</v>
      </c>
      <c r="G42" s="1333">
        <v>10</v>
      </c>
      <c r="H42" s="1322">
        <v>10</v>
      </c>
      <c r="I42" s="1071">
        <v>10</v>
      </c>
      <c r="J42" s="1071">
        <v>10</v>
      </c>
      <c r="K42" s="76"/>
      <c r="L42" s="76"/>
      <c r="M42" s="50"/>
      <c r="N42" s="58"/>
    </row>
    <row r="43" spans="1:14" x14ac:dyDescent="0.2">
      <c r="A43" s="1074">
        <v>636</v>
      </c>
      <c r="B43" s="1074" t="s">
        <v>94</v>
      </c>
      <c r="C43" s="1074" t="s">
        <v>471</v>
      </c>
      <c r="D43" s="1071">
        <v>195</v>
      </c>
      <c r="E43" s="1886">
        <v>416.64</v>
      </c>
      <c r="F43" s="1333"/>
      <c r="G43" s="1333"/>
      <c r="H43" s="1322"/>
      <c r="I43" s="1071"/>
      <c r="J43" s="1071">
        <v>1000</v>
      </c>
      <c r="K43" s="76"/>
      <c r="L43" s="76"/>
      <c r="M43" s="50"/>
      <c r="N43" s="58"/>
    </row>
    <row r="44" spans="1:14" x14ac:dyDescent="0.2">
      <c r="A44" s="1074">
        <v>636</v>
      </c>
      <c r="B44" s="1074" t="s">
        <v>108</v>
      </c>
      <c r="C44" s="1074" t="s">
        <v>474</v>
      </c>
      <c r="D44" s="1071">
        <v>0</v>
      </c>
      <c r="E44" s="1886">
        <v>0</v>
      </c>
      <c r="F44" s="1333">
        <v>0</v>
      </c>
      <c r="G44" s="1333">
        <v>0</v>
      </c>
      <c r="H44" s="1322">
        <v>0</v>
      </c>
      <c r="I44" s="1071">
        <v>0</v>
      </c>
      <c r="J44" s="1071">
        <v>0</v>
      </c>
      <c r="K44" s="76"/>
      <c r="L44" s="76"/>
      <c r="M44" s="50"/>
      <c r="N44" s="58"/>
    </row>
    <row r="45" spans="1:14" hidden="1" x14ac:dyDescent="0.2">
      <c r="A45" s="1074"/>
      <c r="B45" s="1074"/>
      <c r="C45" s="1074"/>
      <c r="D45" s="1333"/>
      <c r="E45" s="1886"/>
      <c r="F45" s="1333"/>
      <c r="G45" s="1333"/>
      <c r="H45" s="1953"/>
      <c r="I45" s="1071"/>
      <c r="J45" s="1071"/>
      <c r="K45" s="50"/>
      <c r="L45" s="76"/>
      <c r="M45" s="50"/>
      <c r="N45" s="50"/>
    </row>
    <row r="46" spans="1:14" hidden="1" x14ac:dyDescent="0.2">
      <c r="A46" s="1074"/>
      <c r="B46" s="1074"/>
      <c r="C46" s="1074"/>
      <c r="D46" s="1333"/>
      <c r="E46" s="1886"/>
      <c r="F46" s="1333"/>
      <c r="G46" s="1333"/>
      <c r="H46" s="1953"/>
      <c r="I46" s="1071"/>
      <c r="J46" s="1071"/>
      <c r="K46" s="50"/>
      <c r="L46" s="76"/>
      <c r="M46" s="50"/>
      <c r="N46" s="50"/>
    </row>
    <row r="47" spans="1:14" hidden="1" x14ac:dyDescent="0.2">
      <c r="A47" s="1074"/>
      <c r="B47" s="1074"/>
      <c r="C47" s="1074"/>
      <c r="D47" s="1333"/>
      <c r="E47" s="1887"/>
      <c r="F47" s="1333"/>
      <c r="G47" s="1333"/>
      <c r="H47" s="1954"/>
      <c r="I47" s="1097"/>
      <c r="J47" s="1097"/>
      <c r="L47" s="21"/>
    </row>
    <row r="48" spans="1:14" hidden="1" x14ac:dyDescent="0.2">
      <c r="A48" s="1074"/>
      <c r="B48" s="1074"/>
      <c r="C48" s="1074"/>
      <c r="D48" s="1333"/>
      <c r="E48" s="1887"/>
      <c r="F48" s="1333"/>
      <c r="G48" s="1333"/>
      <c r="H48" s="1954"/>
      <c r="I48" s="1097"/>
      <c r="J48" s="1097"/>
      <c r="L48" s="21"/>
    </row>
    <row r="49" spans="1:14" s="20" customFormat="1" x14ac:dyDescent="0.2">
      <c r="A49" s="1573">
        <v>637</v>
      </c>
      <c r="B49" s="1573"/>
      <c r="C49" s="1573" t="s">
        <v>475</v>
      </c>
      <c r="D49" s="1523">
        <f>D50+D51+D52+D53+D55+D57+D58+D59+D61+D63+D64+D65+D68+D72+D71+D60+D70</f>
        <v>69832</v>
      </c>
      <c r="E49" s="1885">
        <f>E50+E51+E52+E53+E55+E57+E58+E59+E61+E63+E64+E65+E68+E72+E71+E60+E66+E67</f>
        <v>47316.380000000005</v>
      </c>
      <c r="F49" s="1523">
        <f>F50+F51+F52+F53+F55+F57+F58+F59+F61+F63+F64+F65+F68+F72+F71+F60</f>
        <v>33200</v>
      </c>
      <c r="G49" s="1523">
        <f>G50+G51+G52+G53+G55+G57+G58+G59+G61+G63+G64+G65+G68+G72+G71+G60+G67+G56</f>
        <v>59858</v>
      </c>
      <c r="H49" s="1952">
        <f>H50+H51+H52+H53+H55+H57+H58+H59+H61+H63+H64+H68</f>
        <v>33700</v>
      </c>
      <c r="I49" s="1283">
        <f>I50+I51+I52+I53+I55+I57+I58+I59+I61+I63+I64+I68</f>
        <v>33700</v>
      </c>
      <c r="J49" s="1283">
        <f>J50+J51+J52+J53+J55+J57+J58+J59+J61+J63+J64+J68</f>
        <v>34800</v>
      </c>
      <c r="K49" s="486"/>
      <c r="L49" s="486"/>
      <c r="M49" s="487"/>
      <c r="N49" s="487"/>
    </row>
    <row r="50" spans="1:14" x14ac:dyDescent="0.2">
      <c r="A50" s="1074">
        <v>637</v>
      </c>
      <c r="B50" s="1074" t="s">
        <v>91</v>
      </c>
      <c r="C50" s="1074" t="s">
        <v>476</v>
      </c>
      <c r="D50" s="1333">
        <v>380</v>
      </c>
      <c r="E50" s="1878">
        <v>40</v>
      </c>
      <c r="F50" s="1333">
        <v>300</v>
      </c>
      <c r="G50" s="1333">
        <v>300</v>
      </c>
      <c r="H50" s="1322">
        <v>300</v>
      </c>
      <c r="I50" s="1071">
        <v>300</v>
      </c>
      <c r="J50" s="1071">
        <v>300</v>
      </c>
      <c r="K50" s="76"/>
      <c r="L50" s="76"/>
      <c r="M50" s="50"/>
      <c r="N50" s="50"/>
    </row>
    <row r="51" spans="1:14" x14ac:dyDescent="0.2">
      <c r="A51" s="1074">
        <v>637</v>
      </c>
      <c r="B51" s="1074" t="s">
        <v>477</v>
      </c>
      <c r="C51" s="1074" t="s">
        <v>478</v>
      </c>
      <c r="D51" s="1333">
        <v>200</v>
      </c>
      <c r="E51" s="1878">
        <v>396.44</v>
      </c>
      <c r="F51" s="1333"/>
      <c r="G51" s="1333">
        <v>14</v>
      </c>
      <c r="H51" s="1322"/>
      <c r="I51" s="1071"/>
      <c r="J51" s="1071">
        <v>100</v>
      </c>
      <c r="K51" s="76"/>
      <c r="L51" s="76"/>
      <c r="M51" s="50"/>
      <c r="N51" s="50"/>
    </row>
    <row r="52" spans="1:14" x14ac:dyDescent="0.2">
      <c r="A52" s="1074">
        <v>637</v>
      </c>
      <c r="B52" s="1074" t="s">
        <v>89</v>
      </c>
      <c r="C52" s="1074" t="s">
        <v>818</v>
      </c>
      <c r="D52" s="1333">
        <v>2200</v>
      </c>
      <c r="E52" s="1878">
        <v>2081.06</v>
      </c>
      <c r="F52" s="1333">
        <v>2200</v>
      </c>
      <c r="G52" s="1333">
        <v>2200</v>
      </c>
      <c r="H52" s="1322">
        <v>2200</v>
      </c>
      <c r="I52" s="1071">
        <v>2200</v>
      </c>
      <c r="J52" s="1071">
        <v>2200</v>
      </c>
      <c r="K52" s="76"/>
      <c r="L52" s="76"/>
      <c r="M52" s="50"/>
      <c r="N52" s="50"/>
    </row>
    <row r="53" spans="1:14" x14ac:dyDescent="0.2">
      <c r="A53" s="1074">
        <v>637</v>
      </c>
      <c r="B53" s="1074" t="s">
        <v>108</v>
      </c>
      <c r="C53" s="1074" t="s">
        <v>479</v>
      </c>
      <c r="D53" s="1333">
        <v>12000</v>
      </c>
      <c r="E53" s="1878">
        <v>18495.05</v>
      </c>
      <c r="F53" s="1333">
        <v>15000</v>
      </c>
      <c r="G53" s="1333">
        <v>23000</v>
      </c>
      <c r="H53" s="1322">
        <v>15000</v>
      </c>
      <c r="I53" s="1071">
        <v>15000</v>
      </c>
      <c r="J53" s="1071">
        <v>15000</v>
      </c>
      <c r="K53" s="76"/>
      <c r="L53" s="76"/>
      <c r="M53" s="50"/>
      <c r="N53" s="50"/>
    </row>
    <row r="54" spans="1:14" hidden="1" x14ac:dyDescent="0.2">
      <c r="A54" s="1576"/>
      <c r="B54" s="1107"/>
      <c r="C54" s="1577"/>
      <c r="D54" s="1539"/>
      <c r="E54" s="1888"/>
      <c r="F54" s="1333"/>
      <c r="G54" s="1333"/>
      <c r="H54" s="1955"/>
      <c r="I54" s="1191"/>
      <c r="J54" s="1191"/>
      <c r="K54" s="76"/>
      <c r="L54" s="76"/>
      <c r="M54" s="50"/>
      <c r="N54" s="50"/>
    </row>
    <row r="55" spans="1:14" x14ac:dyDescent="0.2">
      <c r="A55" s="1074">
        <v>637</v>
      </c>
      <c r="B55" s="1074" t="s">
        <v>108</v>
      </c>
      <c r="C55" s="1074" t="s">
        <v>636</v>
      </c>
      <c r="D55" s="1333">
        <v>500</v>
      </c>
      <c r="E55" s="1878">
        <v>1984</v>
      </c>
      <c r="F55" s="1333">
        <v>2000</v>
      </c>
      <c r="G55" s="1333">
        <v>3092</v>
      </c>
      <c r="H55" s="1322">
        <v>3000</v>
      </c>
      <c r="I55" s="1071">
        <v>3000</v>
      </c>
      <c r="J55" s="1071">
        <v>2000</v>
      </c>
      <c r="K55" s="39"/>
      <c r="L55" s="76"/>
      <c r="M55" s="488"/>
      <c r="N55" s="50"/>
    </row>
    <row r="56" spans="1:14" x14ac:dyDescent="0.2">
      <c r="A56" s="1074"/>
      <c r="B56" s="1074"/>
      <c r="C56" s="1074" t="s">
        <v>999</v>
      </c>
      <c r="D56" s="1333"/>
      <c r="E56" s="1878"/>
      <c r="F56" s="1333"/>
      <c r="G56" s="1333">
        <v>2266</v>
      </c>
      <c r="H56" s="1322"/>
      <c r="I56" s="1071"/>
      <c r="J56" s="1071"/>
      <c r="K56" s="39"/>
      <c r="L56" s="76"/>
      <c r="M56" s="488"/>
      <c r="N56" s="50"/>
    </row>
    <row r="57" spans="1:14" x14ac:dyDescent="0.2">
      <c r="A57" s="1074">
        <v>637</v>
      </c>
      <c r="B57" s="1074" t="s">
        <v>117</v>
      </c>
      <c r="C57" s="1074" t="s">
        <v>321</v>
      </c>
      <c r="D57" s="1333">
        <v>900</v>
      </c>
      <c r="E57" s="1878">
        <v>0</v>
      </c>
      <c r="F57" s="1333">
        <v>1000</v>
      </c>
      <c r="G57" s="1333">
        <v>1000</v>
      </c>
      <c r="H57" s="1322">
        <v>1000</v>
      </c>
      <c r="I57" s="1071">
        <v>1000</v>
      </c>
      <c r="J57" s="1071">
        <v>1000</v>
      </c>
      <c r="K57" s="76"/>
      <c r="L57" s="76"/>
      <c r="M57" s="50"/>
      <c r="N57" s="50"/>
    </row>
    <row r="58" spans="1:14" x14ac:dyDescent="0.2">
      <c r="A58" s="1074">
        <v>637</v>
      </c>
      <c r="B58" s="1074" t="s">
        <v>457</v>
      </c>
      <c r="C58" s="1074" t="s">
        <v>637</v>
      </c>
      <c r="D58" s="1333">
        <v>200</v>
      </c>
      <c r="E58" s="1878">
        <v>111</v>
      </c>
      <c r="F58" s="1333">
        <v>200</v>
      </c>
      <c r="G58" s="1333">
        <v>200</v>
      </c>
      <c r="H58" s="1322">
        <v>200</v>
      </c>
      <c r="I58" s="1071">
        <v>200</v>
      </c>
      <c r="J58" s="1071">
        <v>200</v>
      </c>
      <c r="K58" s="76"/>
      <c r="L58" s="76"/>
      <c r="M58" s="50"/>
      <c r="N58" s="50"/>
    </row>
    <row r="59" spans="1:14" x14ac:dyDescent="0.2">
      <c r="A59" s="1074">
        <v>637</v>
      </c>
      <c r="B59" s="1074" t="s">
        <v>99</v>
      </c>
      <c r="C59" s="1074" t="s">
        <v>480</v>
      </c>
      <c r="D59" s="1333">
        <v>3000</v>
      </c>
      <c r="E59" s="1878">
        <v>3050.25</v>
      </c>
      <c r="F59" s="1333">
        <v>3000</v>
      </c>
      <c r="G59" s="1333">
        <v>3000</v>
      </c>
      <c r="H59" s="1322">
        <v>3000</v>
      </c>
      <c r="I59" s="1071">
        <v>3000</v>
      </c>
      <c r="J59" s="1071">
        <v>3000</v>
      </c>
      <c r="K59" s="76"/>
      <c r="L59" s="76"/>
      <c r="M59" s="50"/>
      <c r="N59" s="50"/>
    </row>
    <row r="60" spans="1:14" x14ac:dyDescent="0.2">
      <c r="A60" s="1074">
        <v>637</v>
      </c>
      <c r="B60" s="1074" t="s">
        <v>99</v>
      </c>
      <c r="C60" s="1074" t="s">
        <v>746</v>
      </c>
      <c r="D60" s="1333">
        <v>600</v>
      </c>
      <c r="E60" s="1878">
        <v>375</v>
      </c>
      <c r="F60" s="1333">
        <v>500</v>
      </c>
      <c r="G60" s="1333">
        <v>500</v>
      </c>
      <c r="H60" s="1322">
        <v>500</v>
      </c>
      <c r="I60" s="1071">
        <v>500</v>
      </c>
      <c r="J60" s="1071">
        <v>500</v>
      </c>
      <c r="K60" s="76"/>
      <c r="L60" s="76"/>
      <c r="M60" s="50"/>
      <c r="N60" s="50"/>
    </row>
    <row r="61" spans="1:14" x14ac:dyDescent="0.2">
      <c r="A61" s="1074">
        <v>637</v>
      </c>
      <c r="B61" s="1074" t="s">
        <v>102</v>
      </c>
      <c r="C61" s="1074" t="s">
        <v>481</v>
      </c>
      <c r="D61" s="1333">
        <v>16500</v>
      </c>
      <c r="E61" s="1878">
        <v>1569.6</v>
      </c>
      <c r="F61" s="1333"/>
      <c r="G61" s="1333"/>
      <c r="H61" s="1322"/>
      <c r="I61" s="1071"/>
      <c r="J61" s="1071">
        <v>2000</v>
      </c>
      <c r="L61" s="58"/>
      <c r="M61" s="50"/>
      <c r="N61" s="50"/>
    </row>
    <row r="62" spans="1:14" s="482" customFormat="1" x14ac:dyDescent="0.2">
      <c r="A62" s="1563">
        <v>637</v>
      </c>
      <c r="B62" s="1563" t="s">
        <v>102</v>
      </c>
      <c r="C62" s="1563" t="s">
        <v>482</v>
      </c>
      <c r="D62" s="1525">
        <v>0</v>
      </c>
      <c r="E62" s="1884">
        <v>0</v>
      </c>
      <c r="F62" s="1333">
        <v>0</v>
      </c>
      <c r="G62" s="1333">
        <v>0</v>
      </c>
      <c r="H62" s="1322">
        <v>0</v>
      </c>
      <c r="I62" s="1578">
        <v>0</v>
      </c>
      <c r="J62" s="1578">
        <v>0</v>
      </c>
      <c r="K62" s="479"/>
      <c r="L62" s="485"/>
      <c r="M62" s="484"/>
      <c r="N62" s="484"/>
    </row>
    <row r="63" spans="1:14" x14ac:dyDescent="0.2">
      <c r="A63" s="1074">
        <v>637</v>
      </c>
      <c r="B63" s="1074" t="s">
        <v>483</v>
      </c>
      <c r="C63" s="1074" t="s">
        <v>484</v>
      </c>
      <c r="D63" s="1333">
        <v>4500</v>
      </c>
      <c r="E63" s="1878">
        <v>4408.92</v>
      </c>
      <c r="F63" s="1333">
        <v>4500</v>
      </c>
      <c r="G63" s="1333">
        <v>4500</v>
      </c>
      <c r="H63" s="1322">
        <v>4500</v>
      </c>
      <c r="I63" s="1071">
        <v>4500</v>
      </c>
      <c r="J63" s="1071">
        <v>4500</v>
      </c>
      <c r="L63" s="58"/>
      <c r="M63" s="50"/>
      <c r="N63" s="50"/>
    </row>
    <row r="64" spans="1:14" x14ac:dyDescent="0.2">
      <c r="A64" s="1074">
        <v>637</v>
      </c>
      <c r="B64" s="1074" t="s">
        <v>460</v>
      </c>
      <c r="C64" s="1074" t="s">
        <v>485</v>
      </c>
      <c r="D64" s="1333">
        <v>4500</v>
      </c>
      <c r="E64" s="1878">
        <v>4642.07</v>
      </c>
      <c r="F64" s="1333">
        <v>4000</v>
      </c>
      <c r="G64" s="1333">
        <v>4400</v>
      </c>
      <c r="H64" s="1322">
        <v>4000</v>
      </c>
      <c r="I64" s="1071">
        <v>4000</v>
      </c>
      <c r="J64" s="1071">
        <v>4000</v>
      </c>
      <c r="L64" s="58"/>
      <c r="M64" s="50"/>
      <c r="N64" s="50"/>
    </row>
    <row r="65" spans="1:253" x14ac:dyDescent="0.2">
      <c r="A65" s="1074">
        <v>637</v>
      </c>
      <c r="B65" s="1074" t="s">
        <v>486</v>
      </c>
      <c r="C65" s="1074" t="s">
        <v>819</v>
      </c>
      <c r="D65" s="1333">
        <v>23287</v>
      </c>
      <c r="E65" s="1889">
        <v>2776.8</v>
      </c>
      <c r="F65" s="1333">
        <v>0</v>
      </c>
      <c r="G65" s="1333">
        <v>3367</v>
      </c>
      <c r="H65" s="1322">
        <v>0</v>
      </c>
      <c r="I65" s="1071"/>
      <c r="J65" s="1071">
        <v>0</v>
      </c>
      <c r="L65" s="58"/>
      <c r="M65" s="50"/>
      <c r="N65" s="50"/>
    </row>
    <row r="66" spans="1:253" x14ac:dyDescent="0.2">
      <c r="A66" s="1074"/>
      <c r="B66" s="1074"/>
      <c r="C66" s="1074" t="s">
        <v>955</v>
      </c>
      <c r="D66" s="1333"/>
      <c r="E66" s="1889">
        <v>923.19</v>
      </c>
      <c r="F66" s="1333"/>
      <c r="G66" s="1333"/>
      <c r="H66" s="1322"/>
      <c r="I66" s="1071"/>
      <c r="J66" s="1071"/>
      <c r="L66" s="58"/>
      <c r="M66" s="50"/>
      <c r="N66" s="50"/>
    </row>
    <row r="67" spans="1:253" x14ac:dyDescent="0.2">
      <c r="A67" s="1074"/>
      <c r="B67" s="1074"/>
      <c r="C67" s="1074" t="s">
        <v>956</v>
      </c>
      <c r="D67" s="1333"/>
      <c r="E67" s="1889">
        <v>4415</v>
      </c>
      <c r="F67" s="1333"/>
      <c r="G67" s="1333">
        <v>10669</v>
      </c>
      <c r="H67" s="1322"/>
      <c r="I67" s="1071"/>
      <c r="J67" s="1071"/>
      <c r="L67" s="58"/>
      <c r="M67" s="50"/>
      <c r="N67" s="50"/>
    </row>
    <row r="68" spans="1:253" x14ac:dyDescent="0.2">
      <c r="A68" s="1074">
        <v>637</v>
      </c>
      <c r="B68" s="1074" t="s">
        <v>99</v>
      </c>
      <c r="C68" s="1074" t="s">
        <v>487</v>
      </c>
      <c r="D68" s="1333">
        <v>500</v>
      </c>
      <c r="E68" s="1878">
        <v>275</v>
      </c>
      <c r="F68" s="1333">
        <v>500</v>
      </c>
      <c r="G68" s="1333">
        <v>500</v>
      </c>
      <c r="H68" s="1322">
        <v>500</v>
      </c>
      <c r="I68" s="1071">
        <v>500</v>
      </c>
      <c r="J68" s="1071">
        <v>500</v>
      </c>
      <c r="L68" s="50"/>
      <c r="M68" s="50"/>
      <c r="N68" s="50"/>
    </row>
    <row r="69" spans="1:253" hidden="1" x14ac:dyDescent="0.2">
      <c r="A69" s="1323"/>
      <c r="B69" s="1323"/>
      <c r="C69" s="1323"/>
      <c r="D69" s="1333" t="e">
        <v>#REF!</v>
      </c>
      <c r="E69" s="1878">
        <v>14402</v>
      </c>
      <c r="F69" s="1333">
        <v>14402</v>
      </c>
      <c r="G69" s="1333">
        <v>14402</v>
      </c>
      <c r="H69" s="1322" t="e">
        <v>#REF!</v>
      </c>
      <c r="I69" s="1579">
        <v>13924.939999999999</v>
      </c>
      <c r="J69" s="1579" t="e">
        <v>#REF!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x14ac:dyDescent="0.2">
      <c r="A70" s="1324">
        <v>637</v>
      </c>
      <c r="B70" s="1324" t="s">
        <v>821</v>
      </c>
      <c r="C70" s="1324" t="s">
        <v>820</v>
      </c>
      <c r="D70" s="1333">
        <v>115</v>
      </c>
      <c r="E70" s="1878"/>
      <c r="F70" s="1333"/>
      <c r="G70" s="1333"/>
      <c r="H70" s="1322"/>
      <c r="I70" s="1063"/>
      <c r="J70" s="1063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482" customFormat="1" x14ac:dyDescent="0.2">
      <c r="A71" s="1563">
        <v>637</v>
      </c>
      <c r="B71" s="1563" t="s">
        <v>488</v>
      </c>
      <c r="C71" s="1563" t="s">
        <v>839</v>
      </c>
      <c r="D71" s="1525">
        <v>0</v>
      </c>
      <c r="E71" s="1884">
        <v>0</v>
      </c>
      <c r="F71" s="1524">
        <v>0</v>
      </c>
      <c r="G71" s="1524">
        <v>0</v>
      </c>
      <c r="H71" s="1322">
        <v>0</v>
      </c>
      <c r="I71" s="1192">
        <v>0</v>
      </c>
      <c r="J71" s="1192">
        <v>0</v>
      </c>
      <c r="K71" s="479"/>
      <c r="L71" s="484"/>
      <c r="M71" s="469"/>
      <c r="N71" s="484"/>
    </row>
    <row r="72" spans="1:253" s="482" customFormat="1" x14ac:dyDescent="0.2">
      <c r="A72" s="1074">
        <v>637</v>
      </c>
      <c r="B72" s="1074" t="s">
        <v>488</v>
      </c>
      <c r="C72" s="1074" t="s">
        <v>251</v>
      </c>
      <c r="D72" s="1529">
        <v>450</v>
      </c>
      <c r="E72" s="1803">
        <v>1773</v>
      </c>
      <c r="F72" s="1333">
        <v>0</v>
      </c>
      <c r="G72" s="1333">
        <v>850</v>
      </c>
      <c r="H72" s="1322">
        <v>0</v>
      </c>
      <c r="I72" s="1118">
        <v>0</v>
      </c>
      <c r="J72" s="1118">
        <v>0</v>
      </c>
      <c r="K72" s="479"/>
      <c r="L72" s="484"/>
      <c r="M72" s="469"/>
      <c r="N72" s="484"/>
    </row>
    <row r="73" spans="1:253" s="489" customFormat="1" x14ac:dyDescent="0.2">
      <c r="A73" s="1580">
        <v>640</v>
      </c>
      <c r="B73" s="1573"/>
      <c r="C73" s="1573" t="s">
        <v>489</v>
      </c>
      <c r="D73" s="1523">
        <f>SUM(D74:D81)</f>
        <v>23616</v>
      </c>
      <c r="E73" s="1883">
        <f t="shared" ref="E73:I73" si="13">SUM(E74:E80)</f>
        <v>35675.53</v>
      </c>
      <c r="F73" s="1523">
        <f t="shared" si="13"/>
        <v>28500</v>
      </c>
      <c r="G73" s="1523">
        <f>SUM(G74:G80)</f>
        <v>25985</v>
      </c>
      <c r="H73" s="1951">
        <f>SUM(H74:H80)</f>
        <v>42552</v>
      </c>
      <c r="I73" s="1285">
        <f t="shared" si="13"/>
        <v>34000</v>
      </c>
      <c r="J73" s="1285">
        <f t="shared" ref="J73" si="14">SUM(J74:J81)</f>
        <v>34500</v>
      </c>
      <c r="K73" s="481"/>
      <c r="L73" s="481"/>
      <c r="M73" s="481"/>
      <c r="N73" s="481"/>
    </row>
    <row r="74" spans="1:253" s="489" customFormat="1" x14ac:dyDescent="0.2">
      <c r="A74" s="1581">
        <v>641</v>
      </c>
      <c r="B74" s="1112" t="s">
        <v>453</v>
      </c>
      <c r="C74" s="1112" t="s">
        <v>739</v>
      </c>
      <c r="D74" s="1117"/>
      <c r="E74" s="1890"/>
      <c r="F74" s="1333"/>
      <c r="G74" s="1333"/>
      <c r="H74" s="1322"/>
      <c r="I74" s="1117"/>
      <c r="J74" s="1117">
        <v>500</v>
      </c>
      <c r="K74" s="481"/>
      <c r="L74" s="481"/>
      <c r="M74" s="481"/>
      <c r="N74" s="481"/>
    </row>
    <row r="75" spans="1:253" s="20" customFormat="1" x14ac:dyDescent="0.2">
      <c r="A75" s="1119">
        <v>642</v>
      </c>
      <c r="B75" s="914" t="s">
        <v>91</v>
      </c>
      <c r="C75" s="914" t="s">
        <v>490</v>
      </c>
      <c r="D75" s="1071"/>
      <c r="E75" s="1886">
        <v>4860</v>
      </c>
      <c r="F75" s="1333">
        <v>0</v>
      </c>
      <c r="G75" s="1333">
        <v>0</v>
      </c>
      <c r="H75" s="1322">
        <v>0</v>
      </c>
      <c r="I75" s="1071">
        <v>0</v>
      </c>
      <c r="J75" s="1071"/>
      <c r="L75" s="50"/>
      <c r="M75" s="50"/>
      <c r="N75" s="50"/>
    </row>
    <row r="76" spans="1:253" s="20" customFormat="1" x14ac:dyDescent="0.2">
      <c r="A76" s="1119">
        <v>642</v>
      </c>
      <c r="B76" s="914" t="s">
        <v>94</v>
      </c>
      <c r="C76" s="914" t="s">
        <v>931</v>
      </c>
      <c r="D76" s="1071">
        <v>12000</v>
      </c>
      <c r="E76" s="1891">
        <v>12277.11</v>
      </c>
      <c r="F76" s="1333">
        <v>0</v>
      </c>
      <c r="G76" s="1333">
        <v>0</v>
      </c>
      <c r="H76" s="1322">
        <v>0</v>
      </c>
      <c r="I76" s="1071">
        <v>0</v>
      </c>
      <c r="J76" s="1071">
        <v>0</v>
      </c>
      <c r="L76" s="50"/>
      <c r="M76" s="50"/>
      <c r="N76" s="50"/>
    </row>
    <row r="77" spans="1:253" x14ac:dyDescent="0.2">
      <c r="A77" s="1074">
        <v>642</v>
      </c>
      <c r="B77" s="914" t="s">
        <v>122</v>
      </c>
      <c r="C77" s="914" t="s">
        <v>747</v>
      </c>
      <c r="D77" s="1071">
        <v>9400</v>
      </c>
      <c r="E77" s="1886">
        <v>18439.21</v>
      </c>
      <c r="F77" s="1333">
        <v>10500</v>
      </c>
      <c r="G77" s="1333">
        <v>7385</v>
      </c>
      <c r="H77" s="1310">
        <v>16000</v>
      </c>
      <c r="I77" s="1333">
        <v>16000</v>
      </c>
      <c r="J77" s="1333">
        <v>16000</v>
      </c>
      <c r="L77" s="50"/>
      <c r="M77" s="50"/>
      <c r="N77" s="50"/>
    </row>
    <row r="78" spans="1:253" x14ac:dyDescent="0.2">
      <c r="A78" s="1074"/>
      <c r="B78" s="914"/>
      <c r="C78" s="2144" t="s">
        <v>1459</v>
      </c>
      <c r="D78" s="1071"/>
      <c r="E78" s="1886"/>
      <c r="F78" s="1333"/>
      <c r="G78" s="1333"/>
      <c r="H78" s="1310">
        <v>8552</v>
      </c>
      <c r="I78" s="1333"/>
      <c r="J78" s="1333"/>
      <c r="L78" s="50"/>
      <c r="M78" s="50"/>
      <c r="N78" s="50"/>
    </row>
    <row r="79" spans="1:253" x14ac:dyDescent="0.2">
      <c r="A79" s="1074">
        <v>642</v>
      </c>
      <c r="B79" s="914" t="s">
        <v>102</v>
      </c>
      <c r="C79" s="914" t="s">
        <v>921</v>
      </c>
      <c r="D79" s="1071">
        <v>2216</v>
      </c>
      <c r="E79" s="1886">
        <v>0</v>
      </c>
      <c r="F79" s="1333">
        <v>0</v>
      </c>
      <c r="G79" s="1333">
        <v>0</v>
      </c>
      <c r="H79" s="1322">
        <v>0</v>
      </c>
      <c r="I79" s="1071">
        <v>0</v>
      </c>
      <c r="J79" s="1071"/>
      <c r="L79" s="50"/>
      <c r="M79" s="50"/>
      <c r="N79" s="50"/>
    </row>
    <row r="80" spans="1:253" x14ac:dyDescent="0.2">
      <c r="A80" s="1074">
        <v>642</v>
      </c>
      <c r="B80" s="914" t="s">
        <v>102</v>
      </c>
      <c r="C80" s="914" t="s">
        <v>957</v>
      </c>
      <c r="D80" s="1071"/>
      <c r="E80" s="1886">
        <v>99.21</v>
      </c>
      <c r="F80" s="1333">
        <v>18000</v>
      </c>
      <c r="G80" s="1333">
        <v>18600</v>
      </c>
      <c r="H80" s="1322">
        <v>18000</v>
      </c>
      <c r="I80" s="1071">
        <v>18000</v>
      </c>
      <c r="J80" s="1071">
        <v>18000</v>
      </c>
      <c r="L80" s="50"/>
      <c r="M80" s="50"/>
      <c r="N80" s="50"/>
    </row>
    <row r="81" spans="1:15" x14ac:dyDescent="0.2">
      <c r="A81" s="1074">
        <v>642</v>
      </c>
      <c r="B81" s="914" t="s">
        <v>483</v>
      </c>
      <c r="C81" s="914" t="s">
        <v>297</v>
      </c>
      <c r="D81" s="1071"/>
      <c r="E81" s="1886">
        <v>100</v>
      </c>
      <c r="F81" s="1333"/>
      <c r="G81" s="1333"/>
      <c r="H81" s="1322"/>
      <c r="I81" s="1071"/>
      <c r="J81" s="1071"/>
      <c r="L81" s="50"/>
      <c r="M81" s="50"/>
      <c r="N81" s="50"/>
    </row>
    <row r="82" spans="1:15" x14ac:dyDescent="0.2">
      <c r="A82" s="1582" t="s">
        <v>794</v>
      </c>
      <c r="B82" s="1582"/>
      <c r="C82" s="1582"/>
      <c r="D82" s="1922">
        <f>D83+D84</f>
        <v>11198.52</v>
      </c>
      <c r="E82" s="1923">
        <f t="shared" ref="E82:I82" si="15">E83+E84</f>
        <v>11198.52</v>
      </c>
      <c r="F82" s="1922">
        <f>F83+F84</f>
        <v>9500</v>
      </c>
      <c r="G82" s="1922">
        <f>G83+G84</f>
        <v>11557</v>
      </c>
      <c r="H82" s="1583">
        <f t="shared" si="15"/>
        <v>8500</v>
      </c>
      <c r="I82" s="1583">
        <f t="shared" si="15"/>
        <v>7500</v>
      </c>
      <c r="J82" s="1583">
        <f t="shared" ref="J82" si="16">J83+J84</f>
        <v>7000</v>
      </c>
      <c r="L82" s="50"/>
      <c r="M82" s="50"/>
      <c r="N82" s="50"/>
    </row>
    <row r="83" spans="1:15" x14ac:dyDescent="0.2">
      <c r="A83" s="1074">
        <v>651</v>
      </c>
      <c r="B83" s="914" t="s">
        <v>94</v>
      </c>
      <c r="C83" s="914" t="s">
        <v>748</v>
      </c>
      <c r="D83" s="1071">
        <v>10709.9</v>
      </c>
      <c r="E83" s="1886">
        <v>10709.9</v>
      </c>
      <c r="F83" s="1333">
        <v>9000</v>
      </c>
      <c r="G83" s="1333">
        <v>10800</v>
      </c>
      <c r="H83" s="1322">
        <v>8000</v>
      </c>
      <c r="I83" s="1071">
        <v>7000</v>
      </c>
      <c r="J83" s="1071">
        <v>7000</v>
      </c>
      <c r="L83" s="58"/>
      <c r="M83" s="50"/>
      <c r="N83" s="50"/>
    </row>
    <row r="84" spans="1:15" x14ac:dyDescent="0.2">
      <c r="A84" s="914">
        <v>653</v>
      </c>
      <c r="B84" s="914" t="s">
        <v>94</v>
      </c>
      <c r="C84" s="914" t="s">
        <v>845</v>
      </c>
      <c r="D84" s="1071">
        <v>488.62</v>
      </c>
      <c r="E84" s="1886">
        <v>488.62</v>
      </c>
      <c r="F84" s="1333">
        <v>500</v>
      </c>
      <c r="G84" s="1333">
        <v>757</v>
      </c>
      <c r="H84" s="1322">
        <v>500</v>
      </c>
      <c r="I84" s="1071">
        <v>500</v>
      </c>
      <c r="J84" s="1071">
        <v>0</v>
      </c>
      <c r="L84" s="50"/>
      <c r="M84" s="50"/>
      <c r="N84" s="50"/>
    </row>
    <row r="85" spans="1:15" s="17" customFormat="1" x14ac:dyDescent="0.2">
      <c r="A85" s="1584" t="s">
        <v>491</v>
      </c>
      <c r="B85" s="1585"/>
      <c r="C85" s="1585"/>
      <c r="D85" s="1920">
        <f t="shared" ref="D85:G85" si="17">D86+D87+D88+D90+D91+D92</f>
        <v>20800</v>
      </c>
      <c r="E85" s="1924">
        <f>SUM(E86:E92)</f>
        <v>22413.63</v>
      </c>
      <c r="F85" s="1920">
        <f t="shared" si="17"/>
        <v>25100</v>
      </c>
      <c r="G85" s="1920">
        <f t="shared" si="17"/>
        <v>26237</v>
      </c>
      <c r="H85" s="1293">
        <f>H86+H87+H90+H91+H92+H88</f>
        <v>26900</v>
      </c>
      <c r="I85" s="1293">
        <f>I86+I87+I90+I91+I92+I88</f>
        <v>26900</v>
      </c>
      <c r="J85" s="1293">
        <f>J86+J87+J90+J91+J92+J88</f>
        <v>26900</v>
      </c>
      <c r="K85" s="491"/>
      <c r="L85" s="471"/>
      <c r="M85" s="471"/>
      <c r="N85" s="471"/>
    </row>
    <row r="86" spans="1:15" x14ac:dyDescent="0.2">
      <c r="A86" s="1074">
        <v>610</v>
      </c>
      <c r="B86" s="1074"/>
      <c r="C86" s="1294" t="s">
        <v>441</v>
      </c>
      <c r="D86" s="1333">
        <v>9000</v>
      </c>
      <c r="E86" s="1892">
        <v>9542.5</v>
      </c>
      <c r="F86" s="1333">
        <v>9500</v>
      </c>
      <c r="G86" s="1333">
        <v>10267</v>
      </c>
      <c r="H86" s="1322">
        <v>10500</v>
      </c>
      <c r="I86" s="1076">
        <v>10500</v>
      </c>
      <c r="J86" s="1076">
        <v>10500</v>
      </c>
      <c r="L86" s="58"/>
      <c r="M86" s="50"/>
      <c r="N86" s="50"/>
    </row>
    <row r="87" spans="1:15" x14ac:dyDescent="0.2">
      <c r="A87" s="1074">
        <v>620</v>
      </c>
      <c r="B87" s="1074"/>
      <c r="C87" s="914" t="s">
        <v>188</v>
      </c>
      <c r="D87" s="1333">
        <v>3200</v>
      </c>
      <c r="E87" s="1892">
        <v>3369.58</v>
      </c>
      <c r="F87" s="1333">
        <v>3500</v>
      </c>
      <c r="G87" s="1333">
        <v>3710</v>
      </c>
      <c r="H87" s="1322">
        <v>3800</v>
      </c>
      <c r="I87" s="1076">
        <v>3800</v>
      </c>
      <c r="J87" s="1076">
        <v>3800</v>
      </c>
      <c r="L87" s="58"/>
      <c r="M87" s="50"/>
      <c r="N87" s="50"/>
    </row>
    <row r="88" spans="1:15" x14ac:dyDescent="0.2">
      <c r="A88" s="1074">
        <v>631</v>
      </c>
      <c r="B88" s="1074" t="s">
        <v>91</v>
      </c>
      <c r="C88" s="914" t="s">
        <v>506</v>
      </c>
      <c r="D88" s="1333">
        <v>100</v>
      </c>
      <c r="E88" s="1892">
        <v>79.95</v>
      </c>
      <c r="F88" s="1333">
        <v>100</v>
      </c>
      <c r="G88" s="1333">
        <v>100</v>
      </c>
      <c r="H88" s="1322">
        <v>100</v>
      </c>
      <c r="I88" s="1076">
        <v>100</v>
      </c>
      <c r="J88" s="1076">
        <v>100</v>
      </c>
      <c r="L88" s="58"/>
      <c r="M88" s="50"/>
      <c r="N88" s="50"/>
    </row>
    <row r="89" spans="1:15" hidden="1" x14ac:dyDescent="0.2">
      <c r="A89" s="1576"/>
      <c r="B89" s="1107"/>
      <c r="C89" s="1577"/>
      <c r="D89" s="1333"/>
      <c r="E89" s="1893"/>
      <c r="F89" s="1333"/>
      <c r="G89" s="1333"/>
      <c r="H89" s="1955"/>
      <c r="I89" s="1191"/>
      <c r="J89" s="1191"/>
      <c r="L89" s="58"/>
      <c r="M89" s="50"/>
      <c r="N89" s="50"/>
    </row>
    <row r="90" spans="1:15" x14ac:dyDescent="0.2">
      <c r="A90" s="1074">
        <v>637</v>
      </c>
      <c r="B90" s="1074"/>
      <c r="C90" s="914" t="s">
        <v>202</v>
      </c>
      <c r="D90" s="1333">
        <v>500</v>
      </c>
      <c r="E90" s="1892">
        <v>180</v>
      </c>
      <c r="F90" s="1333">
        <v>500</v>
      </c>
      <c r="G90" s="1333">
        <v>500</v>
      </c>
      <c r="H90" s="1322">
        <v>500</v>
      </c>
      <c r="I90" s="1076">
        <v>500</v>
      </c>
      <c r="J90" s="1076">
        <v>500</v>
      </c>
      <c r="L90" s="50"/>
      <c r="M90" s="50"/>
      <c r="N90" s="50"/>
    </row>
    <row r="91" spans="1:15" x14ac:dyDescent="0.2">
      <c r="A91" s="1074">
        <v>637</v>
      </c>
      <c r="B91" s="1074" t="s">
        <v>492</v>
      </c>
      <c r="C91" s="1074" t="s">
        <v>493</v>
      </c>
      <c r="D91" s="1333">
        <v>3500</v>
      </c>
      <c r="E91" s="1886">
        <v>4081.6</v>
      </c>
      <c r="F91" s="1333">
        <v>6500</v>
      </c>
      <c r="G91" s="1333">
        <v>6500</v>
      </c>
      <c r="H91" s="1322">
        <v>6500</v>
      </c>
      <c r="I91" s="1071">
        <v>6500</v>
      </c>
      <c r="J91" s="1071">
        <v>6500</v>
      </c>
      <c r="L91" s="50"/>
      <c r="M91" s="50"/>
      <c r="N91" s="50"/>
    </row>
    <row r="92" spans="1:15" x14ac:dyDescent="0.2">
      <c r="A92" s="1074">
        <v>637</v>
      </c>
      <c r="B92" s="1074"/>
      <c r="C92" s="914" t="s">
        <v>494</v>
      </c>
      <c r="D92" s="1333">
        <v>4500</v>
      </c>
      <c r="E92" s="1892">
        <v>5160</v>
      </c>
      <c r="F92" s="1333">
        <v>5000</v>
      </c>
      <c r="G92" s="1333">
        <v>5160</v>
      </c>
      <c r="H92" s="1322">
        <v>5500</v>
      </c>
      <c r="I92" s="1115">
        <v>5500</v>
      </c>
      <c r="J92" s="1115">
        <v>5500</v>
      </c>
      <c r="L92" s="50"/>
      <c r="M92" s="50"/>
      <c r="N92" s="50"/>
    </row>
    <row r="93" spans="1:15" x14ac:dyDescent="0.2">
      <c r="A93" s="41"/>
      <c r="B93" s="41"/>
      <c r="C93" s="50"/>
      <c r="D93" s="1329"/>
      <c r="E93" s="37"/>
      <c r="F93" s="1329"/>
      <c r="G93" s="1277"/>
      <c r="H93" s="82"/>
      <c r="I93" s="82"/>
      <c r="J93" s="82"/>
      <c r="L93" s="50"/>
      <c r="M93" s="50"/>
      <c r="N93" s="50"/>
    </row>
    <row r="94" spans="1:15" s="17" customFormat="1" x14ac:dyDescent="0.2">
      <c r="A94" s="1550" t="s">
        <v>777</v>
      </c>
      <c r="B94" s="1587"/>
      <c r="C94" s="1587"/>
      <c r="D94" s="1925">
        <f t="shared" ref="D94:G94" si="18">D95+D97+D99+D100+D103+D104+D106+D105</f>
        <v>27444</v>
      </c>
      <c r="E94" s="1921">
        <f t="shared" si="18"/>
        <v>20221.73</v>
      </c>
      <c r="F94" s="1925">
        <f t="shared" si="18"/>
        <v>21370</v>
      </c>
      <c r="G94" s="1925">
        <f t="shared" si="18"/>
        <v>22170</v>
      </c>
      <c r="H94" s="1558">
        <f t="shared" ref="H94:I94" si="19">H95+H97+H99+H100+H103+H104+H106</f>
        <v>22370</v>
      </c>
      <c r="I94" s="1558">
        <f t="shared" si="19"/>
        <v>23570</v>
      </c>
      <c r="J94" s="1558">
        <f t="shared" ref="J94" si="20">J95+J97+J99+J100+J103+J104+J106</f>
        <v>23570</v>
      </c>
      <c r="K94" s="491"/>
      <c r="L94" s="471"/>
      <c r="M94" s="471"/>
      <c r="N94" s="471"/>
      <c r="O94" s="469"/>
    </row>
    <row r="95" spans="1:15" s="20" customFormat="1" x14ac:dyDescent="0.2">
      <c r="A95" s="1074">
        <v>610</v>
      </c>
      <c r="B95" s="1074"/>
      <c r="C95" s="1294" t="s">
        <v>441</v>
      </c>
      <c r="D95" s="1333">
        <v>15988</v>
      </c>
      <c r="E95" s="1878">
        <v>14341.76</v>
      </c>
      <c r="F95" s="1333">
        <v>15000</v>
      </c>
      <c r="G95" s="1333">
        <v>15800</v>
      </c>
      <c r="H95" s="1322">
        <v>15800</v>
      </c>
      <c r="I95" s="1070">
        <v>17000</v>
      </c>
      <c r="J95" s="1070">
        <v>17000</v>
      </c>
      <c r="L95" s="58"/>
      <c r="M95" s="50"/>
      <c r="N95" s="50"/>
    </row>
    <row r="96" spans="1:15" x14ac:dyDescent="0.2">
      <c r="A96" s="1563">
        <v>610</v>
      </c>
      <c r="B96" s="1563"/>
      <c r="C96" s="1564" t="s">
        <v>638</v>
      </c>
      <c r="D96" s="1529">
        <v>6638</v>
      </c>
      <c r="E96" s="1894">
        <v>7051.85</v>
      </c>
      <c r="F96" s="1528">
        <v>7000</v>
      </c>
      <c r="G96" s="1528">
        <v>6300</v>
      </c>
      <c r="H96" s="1332">
        <v>6300</v>
      </c>
      <c r="I96" s="1588">
        <v>7200</v>
      </c>
      <c r="J96" s="1588">
        <v>7200</v>
      </c>
      <c r="L96" s="485"/>
      <c r="M96" s="469"/>
      <c r="N96" s="484"/>
    </row>
    <row r="97" spans="1:15" x14ac:dyDescent="0.2">
      <c r="A97" s="1074">
        <v>620</v>
      </c>
      <c r="B97" s="1074"/>
      <c r="C97" s="914" t="s">
        <v>188</v>
      </c>
      <c r="D97" s="1333">
        <v>6250</v>
      </c>
      <c r="E97" s="1878">
        <v>5529.39</v>
      </c>
      <c r="F97" s="1333">
        <v>5800</v>
      </c>
      <c r="G97" s="1333">
        <v>5800</v>
      </c>
      <c r="H97" s="1322">
        <v>6000</v>
      </c>
      <c r="I97" s="1070">
        <v>6000</v>
      </c>
      <c r="J97" s="1070">
        <v>6000</v>
      </c>
      <c r="L97" s="58"/>
      <c r="M97" s="50"/>
      <c r="N97" s="50"/>
    </row>
    <row r="98" spans="1:15" x14ac:dyDescent="0.2">
      <c r="A98" s="1563">
        <v>620</v>
      </c>
      <c r="B98" s="1563"/>
      <c r="C98" s="1571" t="s">
        <v>495</v>
      </c>
      <c r="D98" s="1529">
        <v>0</v>
      </c>
      <c r="E98" s="1803">
        <v>0</v>
      </c>
      <c r="F98" s="1333">
        <v>0</v>
      </c>
      <c r="G98" s="1333">
        <v>0</v>
      </c>
      <c r="H98" s="1322">
        <v>0</v>
      </c>
      <c r="I98" s="1588">
        <v>0</v>
      </c>
      <c r="J98" s="1588">
        <v>0</v>
      </c>
      <c r="L98" s="485"/>
      <c r="M98" s="469"/>
      <c r="N98" s="484"/>
      <c r="O98" s="484"/>
    </row>
    <row r="99" spans="1:15" x14ac:dyDescent="0.2">
      <c r="A99" s="914">
        <v>632</v>
      </c>
      <c r="B99" s="1074"/>
      <c r="C99" s="914" t="s">
        <v>192</v>
      </c>
      <c r="D99" s="1333">
        <v>20</v>
      </c>
      <c r="E99" s="1878">
        <v>0</v>
      </c>
      <c r="F99" s="1333">
        <v>20</v>
      </c>
      <c r="G99" s="1333">
        <v>20</v>
      </c>
      <c r="H99" s="1322">
        <v>20</v>
      </c>
      <c r="I99" s="1070">
        <v>20</v>
      </c>
      <c r="J99" s="1070">
        <v>20</v>
      </c>
      <c r="L99" s="50"/>
      <c r="M99" s="50"/>
      <c r="N99" s="50"/>
    </row>
    <row r="100" spans="1:15" x14ac:dyDescent="0.2">
      <c r="A100" s="914">
        <v>633</v>
      </c>
      <c r="B100" s="1074"/>
      <c r="C100" s="914" t="s">
        <v>194</v>
      </c>
      <c r="D100" s="1333">
        <f t="shared" ref="D100" si="21">SUM(D101:D102)</f>
        <v>350</v>
      </c>
      <c r="E100" s="1878">
        <f t="shared" ref="E100" si="22">SUM(E101:E102)</f>
        <v>316.98</v>
      </c>
      <c r="F100" s="1333">
        <f t="shared" ref="F100:J100" si="23">SUM(F101:F102)</f>
        <v>300</v>
      </c>
      <c r="G100" s="1333">
        <f t="shared" ref="G100" si="24">SUM(G101:G102)</f>
        <v>300</v>
      </c>
      <c r="H100" s="1322">
        <f t="shared" ref="H100:I100" si="25">SUM(H101:H102)</f>
        <v>300</v>
      </c>
      <c r="I100" s="1070">
        <f t="shared" si="25"/>
        <v>300</v>
      </c>
      <c r="J100" s="1070">
        <f t="shared" si="23"/>
        <v>300</v>
      </c>
      <c r="K100" s="50"/>
      <c r="L100" s="50"/>
      <c r="M100" s="50"/>
      <c r="N100" s="50"/>
    </row>
    <row r="101" spans="1:15" x14ac:dyDescent="0.2">
      <c r="A101" s="914">
        <v>633</v>
      </c>
      <c r="B101" s="1074" t="s">
        <v>122</v>
      </c>
      <c r="C101" s="914" t="s">
        <v>350</v>
      </c>
      <c r="D101" s="1529">
        <v>250</v>
      </c>
      <c r="E101" s="1803">
        <v>216.98</v>
      </c>
      <c r="F101" s="1333">
        <v>200</v>
      </c>
      <c r="G101" s="1333">
        <v>200</v>
      </c>
      <c r="H101" s="1322">
        <v>200</v>
      </c>
      <c r="I101" s="1589">
        <v>200</v>
      </c>
      <c r="J101" s="1589">
        <v>200</v>
      </c>
      <c r="L101" s="50"/>
      <c r="M101" s="50"/>
      <c r="N101" s="50"/>
    </row>
    <row r="102" spans="1:15" x14ac:dyDescent="0.2">
      <c r="A102" s="914">
        <v>633</v>
      </c>
      <c r="B102" s="1074"/>
      <c r="C102" s="914" t="s">
        <v>496</v>
      </c>
      <c r="D102" s="1529">
        <v>100</v>
      </c>
      <c r="E102" s="1803">
        <v>100</v>
      </c>
      <c r="F102" s="1333">
        <v>100</v>
      </c>
      <c r="G102" s="1945">
        <v>100</v>
      </c>
      <c r="H102" s="1956">
        <v>100</v>
      </c>
      <c r="I102" s="1590">
        <v>100</v>
      </c>
      <c r="J102" s="1590">
        <v>100</v>
      </c>
      <c r="L102" s="50"/>
      <c r="M102" s="469"/>
      <c r="N102" s="50"/>
    </row>
    <row r="103" spans="1:15" x14ac:dyDescent="0.2">
      <c r="A103" s="914">
        <v>635</v>
      </c>
      <c r="B103" s="1074"/>
      <c r="C103" s="914" t="s">
        <v>288</v>
      </c>
      <c r="D103" s="1333">
        <v>0</v>
      </c>
      <c r="E103" s="1878">
        <v>0</v>
      </c>
      <c r="F103" s="1333">
        <v>0</v>
      </c>
      <c r="G103" s="1333">
        <v>0</v>
      </c>
      <c r="H103" s="1322">
        <v>0</v>
      </c>
      <c r="I103" s="1070">
        <v>0</v>
      </c>
      <c r="J103" s="1070">
        <v>0</v>
      </c>
      <c r="L103" s="50"/>
      <c r="M103" s="50"/>
      <c r="N103" s="50"/>
    </row>
    <row r="104" spans="1:15" x14ac:dyDescent="0.2">
      <c r="A104" s="914">
        <v>637</v>
      </c>
      <c r="B104" s="1074"/>
      <c r="C104" s="914" t="s">
        <v>202</v>
      </c>
      <c r="D104" s="1333">
        <v>200</v>
      </c>
      <c r="E104" s="1801">
        <v>33.6</v>
      </c>
      <c r="F104" s="1333">
        <v>200</v>
      </c>
      <c r="G104" s="1333">
        <v>200</v>
      </c>
      <c r="H104" s="1322">
        <v>200</v>
      </c>
      <c r="I104" s="1070">
        <v>200</v>
      </c>
      <c r="J104" s="1070">
        <v>200</v>
      </c>
      <c r="L104" s="50"/>
      <c r="M104" s="50"/>
      <c r="N104" s="50"/>
    </row>
    <row r="105" spans="1:15" x14ac:dyDescent="0.2">
      <c r="A105" s="914">
        <v>642</v>
      </c>
      <c r="B105" s="1074"/>
      <c r="C105" s="914" t="s">
        <v>860</v>
      </c>
      <c r="D105" s="1333">
        <v>4586</v>
      </c>
      <c r="E105" s="1801">
        <v>0</v>
      </c>
      <c r="F105" s="1333">
        <v>0</v>
      </c>
      <c r="G105" s="1333">
        <v>0</v>
      </c>
      <c r="H105" s="1322">
        <v>0</v>
      </c>
      <c r="I105" s="1070"/>
      <c r="J105" s="1070"/>
      <c r="L105" s="50"/>
      <c r="M105" s="50"/>
      <c r="N105" s="50"/>
    </row>
    <row r="106" spans="1:15" x14ac:dyDescent="0.2">
      <c r="A106" s="914">
        <v>637</v>
      </c>
      <c r="B106" s="914" t="s">
        <v>91</v>
      </c>
      <c r="C106" s="914" t="s">
        <v>497</v>
      </c>
      <c r="D106" s="1333">
        <v>50</v>
      </c>
      <c r="E106" s="1801">
        <v>0</v>
      </c>
      <c r="F106" s="1333">
        <v>50</v>
      </c>
      <c r="G106" s="1333">
        <v>50</v>
      </c>
      <c r="H106" s="1322">
        <v>50</v>
      </c>
      <c r="I106" s="1070">
        <v>50</v>
      </c>
      <c r="J106" s="1070">
        <v>50</v>
      </c>
      <c r="L106" s="50"/>
      <c r="M106" s="50"/>
      <c r="N106" s="50"/>
    </row>
    <row r="107" spans="1:15" x14ac:dyDescent="0.2">
      <c r="A107" s="1551" t="s">
        <v>498</v>
      </c>
      <c r="B107" s="1104"/>
      <c r="C107" s="1553" t="s">
        <v>499</v>
      </c>
      <c r="D107" s="1555">
        <f t="shared" ref="D107:I107" si="26">D7+D85+D94+D82</f>
        <v>395897.52</v>
      </c>
      <c r="E107" s="1807">
        <f>E94+E85+E82+E7</f>
        <v>373407.89119999995</v>
      </c>
      <c r="F107" s="1321">
        <f>F7+F85+F94+F82</f>
        <v>348620</v>
      </c>
      <c r="G107" s="1321">
        <f>G7+G85+G94+G82</f>
        <v>407550</v>
      </c>
      <c r="H107" s="1555">
        <f t="shared" si="26"/>
        <v>386782</v>
      </c>
      <c r="I107" s="1555">
        <f t="shared" si="26"/>
        <v>381930</v>
      </c>
      <c r="J107" s="1555">
        <f t="shared" ref="J107" si="27">J7+J85+J94+J82</f>
        <v>384730</v>
      </c>
      <c r="K107" s="34"/>
      <c r="L107" s="65"/>
      <c r="M107" s="65"/>
      <c r="N107" s="65"/>
      <c r="O107" s="493"/>
    </row>
    <row r="108" spans="1:15" s="20" customFormat="1" hidden="1" x14ac:dyDescent="0.2">
      <c r="A108" s="50"/>
      <c r="B108" s="50"/>
      <c r="C108" s="50"/>
      <c r="D108" s="494"/>
      <c r="E108" s="494"/>
      <c r="F108" s="1306"/>
      <c r="G108" s="1306"/>
      <c r="H108" s="494"/>
      <c r="I108" s="38"/>
      <c r="J108" s="38"/>
      <c r="O108" s="16"/>
    </row>
    <row r="109" spans="1:15" s="20" customFormat="1" hidden="1" x14ac:dyDescent="0.2">
      <c r="A109" s="50"/>
      <c r="B109" s="50"/>
      <c r="C109" s="50"/>
      <c r="D109" s="494"/>
      <c r="E109" s="494"/>
      <c r="F109" s="1328"/>
      <c r="G109" s="1328"/>
      <c r="H109" s="494"/>
      <c r="I109" s="38"/>
      <c r="J109" s="38"/>
      <c r="O109" s="16"/>
    </row>
    <row r="110" spans="1:15" s="20" customFormat="1" x14ac:dyDescent="0.2">
      <c r="A110" s="50"/>
      <c r="B110" s="50"/>
      <c r="C110" s="50"/>
      <c r="D110" s="494"/>
      <c r="E110" s="494"/>
      <c r="F110" s="1328"/>
      <c r="G110" s="1328"/>
      <c r="H110" s="494"/>
      <c r="I110" s="38"/>
      <c r="J110" s="38"/>
      <c r="O110" s="16"/>
    </row>
    <row r="111" spans="1:15" s="20" customFormat="1" hidden="1" x14ac:dyDescent="0.2">
      <c r="A111" s="50"/>
      <c r="B111" s="50"/>
      <c r="C111" s="50"/>
      <c r="D111" s="494"/>
      <c r="E111" s="494"/>
      <c r="F111" s="1328"/>
      <c r="G111" s="1328"/>
      <c r="H111" s="494"/>
      <c r="I111" s="38"/>
      <c r="J111" s="38"/>
      <c r="O111" s="16"/>
    </row>
    <row r="112" spans="1:15" s="20" customFormat="1" hidden="1" x14ac:dyDescent="0.2">
      <c r="A112" s="50"/>
      <c r="B112" s="50"/>
      <c r="C112" s="50"/>
      <c r="D112" s="494"/>
      <c r="E112" s="494"/>
      <c r="F112" s="1328"/>
      <c r="G112" s="1328"/>
      <c r="H112" s="494"/>
      <c r="I112" s="38"/>
      <c r="J112" s="38"/>
      <c r="O112" s="16"/>
    </row>
    <row r="113" spans="1:15" s="20" customFormat="1" hidden="1" x14ac:dyDescent="0.2">
      <c r="A113" s="50"/>
      <c r="B113" s="50"/>
      <c r="C113" s="50"/>
      <c r="D113" s="494"/>
      <c r="E113" s="494"/>
      <c r="F113" s="1328"/>
      <c r="G113" s="1328"/>
      <c r="H113" s="494"/>
      <c r="I113" s="38"/>
      <c r="J113" s="38"/>
      <c r="O113" s="16"/>
    </row>
    <row r="114" spans="1:15" s="20" customFormat="1" hidden="1" x14ac:dyDescent="0.2">
      <c r="A114" s="50"/>
      <c r="B114" s="50"/>
      <c r="C114" s="50"/>
      <c r="D114" s="494"/>
      <c r="E114" s="494"/>
      <c r="F114" s="1328"/>
      <c r="G114" s="1328"/>
      <c r="H114" s="494"/>
      <c r="I114" s="38"/>
      <c r="J114" s="38"/>
      <c r="O114" s="16"/>
    </row>
    <row r="115" spans="1:15" s="20" customFormat="1" hidden="1" x14ac:dyDescent="0.2">
      <c r="A115" s="50"/>
      <c r="B115" s="50"/>
      <c r="C115" s="50"/>
      <c r="D115" s="494"/>
      <c r="E115" s="494"/>
      <c r="F115" s="1328"/>
      <c r="G115" s="1328"/>
      <c r="H115" s="494"/>
      <c r="I115" s="38"/>
      <c r="J115" s="38"/>
      <c r="O115" s="16"/>
    </row>
    <row r="116" spans="1:15" s="20" customFormat="1" x14ac:dyDescent="0.2">
      <c r="A116" s="50"/>
      <c r="B116" s="50"/>
      <c r="C116" s="50"/>
      <c r="D116" s="494"/>
      <c r="E116" s="2407" t="s">
        <v>500</v>
      </c>
      <c r="F116" s="2407"/>
      <c r="G116" s="2407"/>
      <c r="H116" s="2407"/>
      <c r="I116" s="2407"/>
      <c r="J116" s="1795"/>
      <c r="L116" s="86"/>
      <c r="M116" s="86"/>
      <c r="N116" s="86"/>
      <c r="O116" s="16"/>
    </row>
    <row r="117" spans="1:15" s="20" customFormat="1" hidden="1" x14ac:dyDescent="0.2">
      <c r="A117" s="50"/>
      <c r="B117" s="50"/>
      <c r="C117" s="50"/>
      <c r="D117" s="494"/>
      <c r="E117" s="494"/>
      <c r="F117" s="1306"/>
      <c r="G117" s="1306"/>
      <c r="H117" s="494"/>
      <c r="I117" s="38"/>
      <c r="J117" s="38"/>
      <c r="O117" s="16"/>
    </row>
    <row r="118" spans="1:15" s="470" customFormat="1" x14ac:dyDescent="0.2">
      <c r="A118" s="1544" t="s">
        <v>426</v>
      </c>
      <c r="B118" s="1545"/>
      <c r="C118" s="1546"/>
      <c r="D118" s="1548">
        <v>2022</v>
      </c>
      <c r="E118" s="1915" t="s">
        <v>983</v>
      </c>
      <c r="F118" s="1549">
        <v>2024</v>
      </c>
      <c r="G118" s="1549" t="s">
        <v>984</v>
      </c>
      <c r="H118" s="1724">
        <v>2025</v>
      </c>
      <c r="I118" s="1724">
        <v>2026</v>
      </c>
      <c r="J118" s="1724">
        <v>2027</v>
      </c>
      <c r="K118" s="495"/>
      <c r="L118" s="496"/>
      <c r="M118" s="467"/>
      <c r="N118" s="468"/>
      <c r="O118" s="497"/>
    </row>
    <row r="119" spans="1:15" s="88" customFormat="1" x14ac:dyDescent="0.2">
      <c r="A119" s="1550" t="s">
        <v>501</v>
      </c>
      <c r="B119" s="1587"/>
      <c r="C119" s="1587"/>
      <c r="D119" s="1926">
        <f>D120+D121+D122+D123</f>
        <v>2280</v>
      </c>
      <c r="E119" s="1927">
        <f>E120+E121+E122+E123</f>
        <v>1269.49</v>
      </c>
      <c r="F119" s="1926">
        <f>F120+F121+F122+F123</f>
        <v>1290</v>
      </c>
      <c r="G119" s="1926">
        <f>G120+G121+G122+G123</f>
        <v>1305</v>
      </c>
      <c r="H119" s="1536">
        <f>SUM(H120,H121,H122)</f>
        <v>1290</v>
      </c>
      <c r="I119" s="1536">
        <f>SUM(I120,I121,I122)</f>
        <v>1590</v>
      </c>
      <c r="J119" s="1536">
        <f>SUM(J120,J121,J122)</f>
        <v>1590</v>
      </c>
      <c r="K119" s="498"/>
      <c r="L119" s="499"/>
      <c r="M119" s="499"/>
      <c r="N119" s="499"/>
      <c r="O119" s="500"/>
    </row>
    <row r="120" spans="1:15" s="20" customFormat="1" x14ac:dyDescent="0.2">
      <c r="A120" s="914">
        <v>632</v>
      </c>
      <c r="B120" s="1074" t="s">
        <v>89</v>
      </c>
      <c r="C120" s="914" t="s">
        <v>502</v>
      </c>
      <c r="D120" s="1071">
        <v>150</v>
      </c>
      <c r="E120" s="1301">
        <v>155.01</v>
      </c>
      <c r="F120" s="1333">
        <v>200</v>
      </c>
      <c r="G120" s="1333">
        <v>200</v>
      </c>
      <c r="H120" s="1322">
        <v>200</v>
      </c>
      <c r="I120" s="1070">
        <v>200</v>
      </c>
      <c r="J120" s="1070">
        <v>200</v>
      </c>
      <c r="K120" s="50"/>
      <c r="L120" s="50"/>
      <c r="M120" s="50"/>
      <c r="N120" s="50"/>
      <c r="O120" s="16"/>
    </row>
    <row r="121" spans="1:15" s="20" customFormat="1" x14ac:dyDescent="0.2">
      <c r="A121" s="914">
        <v>637</v>
      </c>
      <c r="B121" s="1074" t="s">
        <v>108</v>
      </c>
      <c r="C121" s="914" t="s">
        <v>202</v>
      </c>
      <c r="D121" s="1071">
        <v>1730</v>
      </c>
      <c r="E121" s="1301">
        <v>680</v>
      </c>
      <c r="F121" s="1333">
        <v>640</v>
      </c>
      <c r="G121" s="1333">
        <v>640</v>
      </c>
      <c r="H121" s="1322">
        <v>640</v>
      </c>
      <c r="I121" s="1070">
        <v>940</v>
      </c>
      <c r="J121" s="1070">
        <v>940</v>
      </c>
      <c r="K121" s="50"/>
      <c r="L121" s="50"/>
      <c r="M121" s="50"/>
      <c r="N121" s="50"/>
      <c r="O121" s="16"/>
    </row>
    <row r="122" spans="1:15" x14ac:dyDescent="0.2">
      <c r="A122" s="914">
        <v>637</v>
      </c>
      <c r="B122" s="1074" t="s">
        <v>492</v>
      </c>
      <c r="C122" s="914" t="s">
        <v>251</v>
      </c>
      <c r="D122" s="1071">
        <v>400</v>
      </c>
      <c r="E122" s="1301">
        <v>434.48</v>
      </c>
      <c r="F122" s="1333">
        <v>450</v>
      </c>
      <c r="G122" s="1333">
        <v>465</v>
      </c>
      <c r="H122" s="1322">
        <v>450</v>
      </c>
      <c r="I122" s="1939">
        <v>450</v>
      </c>
      <c r="J122" s="1070">
        <v>450</v>
      </c>
      <c r="K122" s="50"/>
      <c r="L122" s="50"/>
      <c r="M122" s="50"/>
      <c r="N122" s="50"/>
      <c r="O122" s="41"/>
    </row>
    <row r="123" spans="1:15" x14ac:dyDescent="0.2">
      <c r="A123" s="914">
        <v>637</v>
      </c>
      <c r="B123" s="1074" t="s">
        <v>492</v>
      </c>
      <c r="C123" s="914" t="s">
        <v>846</v>
      </c>
      <c r="D123" s="1071">
        <v>0</v>
      </c>
      <c r="E123" s="1301">
        <v>0</v>
      </c>
      <c r="F123" s="1333">
        <v>0</v>
      </c>
      <c r="G123" s="1333">
        <v>0</v>
      </c>
      <c r="H123" s="1322">
        <v>0</v>
      </c>
      <c r="I123" s="1070"/>
      <c r="J123" s="1070"/>
      <c r="K123" s="50"/>
      <c r="L123" s="50"/>
      <c r="M123" s="50"/>
      <c r="N123" s="50"/>
      <c r="O123" s="41"/>
    </row>
    <row r="124" spans="1:15" x14ac:dyDescent="0.2">
      <c r="A124" s="1551" t="s">
        <v>503</v>
      </c>
      <c r="B124" s="1104"/>
      <c r="C124" s="1553" t="s">
        <v>248</v>
      </c>
      <c r="D124" s="1591">
        <f>SUM(D120,D121,D122)</f>
        <v>2280</v>
      </c>
      <c r="E124" s="1778">
        <f t="shared" ref="E124:J124" si="28">E119</f>
        <v>1269.49</v>
      </c>
      <c r="F124" s="1320">
        <f t="shared" si="28"/>
        <v>1290</v>
      </c>
      <c r="G124" s="1320">
        <f t="shared" si="28"/>
        <v>1305</v>
      </c>
      <c r="H124" s="1591">
        <f t="shared" si="28"/>
        <v>1290</v>
      </c>
      <c r="I124" s="1591">
        <f t="shared" si="28"/>
        <v>1590</v>
      </c>
      <c r="J124" s="1591">
        <f t="shared" si="28"/>
        <v>1590</v>
      </c>
      <c r="K124" s="498"/>
      <c r="L124" s="491"/>
      <c r="M124" s="491"/>
      <c r="N124" s="491"/>
    </row>
    <row r="125" spans="1:15" hidden="1" x14ac:dyDescent="0.2">
      <c r="A125" s="502"/>
      <c r="B125" s="50"/>
      <c r="C125" s="88"/>
      <c r="D125" s="503"/>
      <c r="E125" s="503"/>
      <c r="F125" s="1305"/>
      <c r="G125" s="1305"/>
      <c r="H125" s="503"/>
      <c r="I125" s="504"/>
      <c r="J125" s="504"/>
    </row>
    <row r="126" spans="1:15" x14ac:dyDescent="0.2">
      <c r="A126" s="502"/>
      <c r="B126" s="50"/>
      <c r="C126" s="88"/>
      <c r="D126" s="503"/>
      <c r="E126" s="503"/>
      <c r="F126" s="1277"/>
      <c r="G126" s="1277"/>
      <c r="H126" s="503"/>
      <c r="I126" s="504"/>
      <c r="J126" s="504"/>
    </row>
    <row r="127" spans="1:15" x14ac:dyDescent="0.2">
      <c r="A127" s="502"/>
      <c r="B127" s="50"/>
      <c r="C127" s="88"/>
      <c r="D127" s="503"/>
      <c r="E127" s="2407" t="s">
        <v>504</v>
      </c>
      <c r="F127" s="2407"/>
      <c r="G127" s="2407"/>
      <c r="H127" s="2407"/>
      <c r="I127" s="2407"/>
      <c r="J127" s="1795"/>
      <c r="L127" s="86"/>
      <c r="M127" s="86"/>
      <c r="N127" s="86"/>
    </row>
    <row r="128" spans="1:15" hidden="1" x14ac:dyDescent="0.2">
      <c r="A128" s="502"/>
      <c r="B128" s="50"/>
      <c r="C128" s="88"/>
      <c r="D128" s="503"/>
      <c r="E128" s="503"/>
      <c r="F128" s="1305"/>
      <c r="G128" s="1305"/>
      <c r="H128" s="503"/>
      <c r="I128" s="504"/>
      <c r="J128" s="504"/>
      <c r="L128" s="505"/>
      <c r="M128" s="505"/>
      <c r="N128" s="505"/>
    </row>
    <row r="129" spans="1:15" s="497" customFormat="1" x14ac:dyDescent="0.2">
      <c r="A129" s="1544" t="s">
        <v>426</v>
      </c>
      <c r="B129" s="1545"/>
      <c r="C129" s="1546"/>
      <c r="D129" s="1548">
        <v>2022</v>
      </c>
      <c r="E129" s="1915" t="s">
        <v>983</v>
      </c>
      <c r="F129" s="1549">
        <v>2024</v>
      </c>
      <c r="G129" s="1549" t="s">
        <v>984</v>
      </c>
      <c r="H129" s="1724">
        <v>2025</v>
      </c>
      <c r="I129" s="1724">
        <v>2026</v>
      </c>
      <c r="J129" s="1724">
        <v>2027</v>
      </c>
      <c r="K129" s="495"/>
      <c r="L129" s="496"/>
      <c r="M129" s="467"/>
      <c r="N129" s="468"/>
    </row>
    <row r="130" spans="1:15" s="17" customFormat="1" x14ac:dyDescent="0.2">
      <c r="A130" s="1550" t="s">
        <v>505</v>
      </c>
      <c r="B130" s="1587"/>
      <c r="C130" s="1587"/>
      <c r="D130" s="1536">
        <f t="shared" ref="D130:E130" si="29">D131+D132+D133+D134+D135+D144+D148+D149+D150+D151</f>
        <v>109174</v>
      </c>
      <c r="E130" s="1808">
        <f t="shared" si="29"/>
        <v>117856.56999999999</v>
      </c>
      <c r="F130" s="1926">
        <f>F131+F132+F133+F134+F135+F144+F148+F149+F150+F151</f>
        <v>106280</v>
      </c>
      <c r="G130" s="1926">
        <f>G131+G132+G133+G134+G135+G144+G148+G149+G150+G151</f>
        <v>117770</v>
      </c>
      <c r="H130" s="1536">
        <f>H131+H132+H133+H134+H135+H144+H148+H149+H150</f>
        <v>106880</v>
      </c>
      <c r="I130" s="1536">
        <f>I131+I132+I133+I134+I135+I144+I148+I149+I150</f>
        <v>113880</v>
      </c>
      <c r="J130" s="1536">
        <f>J131+J132+J133+J134+J135+J144+J148+J149+J150</f>
        <v>112880</v>
      </c>
      <c r="K130" s="491"/>
      <c r="L130" s="471"/>
      <c r="M130" s="471"/>
      <c r="N130" s="471"/>
    </row>
    <row r="131" spans="1:15" s="20" customFormat="1" x14ac:dyDescent="0.2">
      <c r="A131" s="1074">
        <v>610</v>
      </c>
      <c r="B131" s="1074"/>
      <c r="C131" s="1294" t="s">
        <v>441</v>
      </c>
      <c r="D131" s="1071">
        <v>70000</v>
      </c>
      <c r="E131" s="1886">
        <v>76136.850000000006</v>
      </c>
      <c r="F131" s="1333">
        <v>70000</v>
      </c>
      <c r="G131" s="1333">
        <v>77500</v>
      </c>
      <c r="H131" s="1322">
        <v>70000</v>
      </c>
      <c r="I131" s="1071">
        <v>75000</v>
      </c>
      <c r="J131" s="1071">
        <v>75000</v>
      </c>
      <c r="L131" s="58"/>
      <c r="M131" s="50"/>
      <c r="N131" s="50"/>
      <c r="O131" s="16"/>
    </row>
    <row r="132" spans="1:15" x14ac:dyDescent="0.2">
      <c r="A132" s="1074">
        <v>620</v>
      </c>
      <c r="B132" s="1074"/>
      <c r="C132" s="914" t="s">
        <v>188</v>
      </c>
      <c r="D132" s="1071">
        <v>25000</v>
      </c>
      <c r="E132" s="1886">
        <v>27251.62</v>
      </c>
      <c r="F132" s="1333">
        <v>25000</v>
      </c>
      <c r="G132" s="1333">
        <v>28300</v>
      </c>
      <c r="H132" s="1322">
        <v>25000</v>
      </c>
      <c r="I132" s="1071">
        <v>27000</v>
      </c>
      <c r="J132" s="1071">
        <v>27000</v>
      </c>
      <c r="L132" s="58"/>
      <c r="M132" s="50"/>
      <c r="N132" s="50"/>
    </row>
    <row r="133" spans="1:15" x14ac:dyDescent="0.2">
      <c r="A133" s="1074">
        <v>631</v>
      </c>
      <c r="B133" s="1074"/>
      <c r="C133" s="914" t="s">
        <v>506</v>
      </c>
      <c r="D133" s="1071">
        <v>50</v>
      </c>
      <c r="E133" s="1886">
        <v>0</v>
      </c>
      <c r="F133" s="1333">
        <v>50</v>
      </c>
      <c r="G133" s="1333">
        <v>50</v>
      </c>
      <c r="H133" s="1322">
        <v>50</v>
      </c>
      <c r="I133" s="1070">
        <v>50</v>
      </c>
      <c r="J133" s="1070">
        <v>50</v>
      </c>
      <c r="L133" s="58"/>
      <c r="M133" s="50"/>
      <c r="N133" s="50"/>
    </row>
    <row r="134" spans="1:15" x14ac:dyDescent="0.2">
      <c r="A134" s="1074">
        <v>632</v>
      </c>
      <c r="B134" s="1074"/>
      <c r="C134" s="914" t="s">
        <v>192</v>
      </c>
      <c r="D134" s="1071">
        <v>880</v>
      </c>
      <c r="E134" s="1886">
        <v>727.26</v>
      </c>
      <c r="F134" s="1333">
        <v>880</v>
      </c>
      <c r="G134" s="1333">
        <v>1100</v>
      </c>
      <c r="H134" s="1322">
        <v>880</v>
      </c>
      <c r="I134" s="1070">
        <v>880</v>
      </c>
      <c r="J134" s="1070">
        <v>880</v>
      </c>
      <c r="L134" s="58"/>
      <c r="M134" s="50"/>
      <c r="N134" s="50"/>
    </row>
    <row r="135" spans="1:15" x14ac:dyDescent="0.2">
      <c r="A135" s="1074">
        <v>633</v>
      </c>
      <c r="B135" s="1074"/>
      <c r="C135" s="914" t="s">
        <v>194</v>
      </c>
      <c r="D135" s="1115">
        <f>D139+D140+D141+D137+D136+D138</f>
        <v>4170</v>
      </c>
      <c r="E135" s="1892">
        <f>E139+E140+E141+E137+E136+E138+E142+E143</f>
        <v>2774.24</v>
      </c>
      <c r="F135" s="1333">
        <f>F139+F140+F141+F137+F136+F138+F142</f>
        <v>3450</v>
      </c>
      <c r="G135" s="1333">
        <f>G139+G140+G141+G137+G136+G138+G142+G143</f>
        <v>4420</v>
      </c>
      <c r="H135" s="1322">
        <f>H139+H140+H141+H137+H136+H138+H142</f>
        <v>4150</v>
      </c>
      <c r="I135" s="1076">
        <f>I139+I140+I141+I137+I136+I138+I142</f>
        <v>4150</v>
      </c>
      <c r="J135" s="1076">
        <f t="shared" ref="J135" si="30">J139+J140+J141+J137+J136+J138</f>
        <v>2950</v>
      </c>
      <c r="K135" s="64"/>
      <c r="L135" s="64"/>
      <c r="M135" s="64"/>
      <c r="N135" s="64"/>
    </row>
    <row r="136" spans="1:15" x14ac:dyDescent="0.2">
      <c r="A136" s="1074">
        <v>633</v>
      </c>
      <c r="B136" s="1074" t="s">
        <v>91</v>
      </c>
      <c r="C136" s="914" t="s">
        <v>448</v>
      </c>
      <c r="D136" s="1118">
        <v>100</v>
      </c>
      <c r="E136" s="1895">
        <v>0</v>
      </c>
      <c r="F136" s="1333">
        <v>0</v>
      </c>
      <c r="G136" s="1333">
        <v>0</v>
      </c>
      <c r="H136" s="1322">
        <v>0</v>
      </c>
      <c r="I136" s="1589">
        <v>0</v>
      </c>
      <c r="J136" s="1589">
        <v>0</v>
      </c>
      <c r="K136" s="64"/>
      <c r="L136" s="64"/>
      <c r="M136" s="64"/>
      <c r="N136" s="64"/>
    </row>
    <row r="137" spans="1:15" x14ac:dyDescent="0.2">
      <c r="A137" s="1074">
        <v>633</v>
      </c>
      <c r="B137" s="1074" t="s">
        <v>94</v>
      </c>
      <c r="C137" s="914" t="s">
        <v>932</v>
      </c>
      <c r="D137" s="1118">
        <v>1320</v>
      </c>
      <c r="E137" s="1895">
        <v>0</v>
      </c>
      <c r="F137" s="1333">
        <v>0</v>
      </c>
      <c r="G137" s="1333">
        <v>0</v>
      </c>
      <c r="H137" s="1322">
        <v>0</v>
      </c>
      <c r="I137" s="1589">
        <v>0</v>
      </c>
      <c r="J137" s="1589">
        <v>0</v>
      </c>
      <c r="K137" s="64"/>
      <c r="L137" s="64"/>
      <c r="M137" s="64"/>
      <c r="N137" s="64"/>
    </row>
    <row r="138" spans="1:15" x14ac:dyDescent="0.2">
      <c r="A138" s="1074">
        <v>633</v>
      </c>
      <c r="B138" s="1074" t="s">
        <v>108</v>
      </c>
      <c r="C138" s="914" t="s">
        <v>450</v>
      </c>
      <c r="D138" s="1118">
        <v>300</v>
      </c>
      <c r="E138" s="1895">
        <v>0</v>
      </c>
      <c r="F138" s="1333">
        <v>500</v>
      </c>
      <c r="G138" s="1333">
        <v>500</v>
      </c>
      <c r="H138" s="1322">
        <v>500</v>
      </c>
      <c r="I138" s="1589">
        <v>500</v>
      </c>
      <c r="J138" s="1589">
        <v>500</v>
      </c>
      <c r="K138" s="64"/>
      <c r="L138" s="64"/>
      <c r="M138" s="64"/>
      <c r="N138" s="64"/>
    </row>
    <row r="139" spans="1:15" x14ac:dyDescent="0.2">
      <c r="A139" s="1074">
        <v>633</v>
      </c>
      <c r="B139" s="1074" t="s">
        <v>122</v>
      </c>
      <c r="C139" s="914" t="s">
        <v>350</v>
      </c>
      <c r="D139" s="1118">
        <v>800</v>
      </c>
      <c r="E139" s="1895">
        <v>1718.76</v>
      </c>
      <c r="F139" s="1333">
        <v>800</v>
      </c>
      <c r="G139" s="1333">
        <v>800</v>
      </c>
      <c r="H139" s="1322">
        <v>800</v>
      </c>
      <c r="I139" s="1589">
        <v>800</v>
      </c>
      <c r="J139" s="1589">
        <v>800</v>
      </c>
      <c r="L139" s="506"/>
      <c r="M139" s="506"/>
      <c r="N139" s="506"/>
    </row>
    <row r="140" spans="1:15" x14ac:dyDescent="0.2">
      <c r="A140" s="1074">
        <v>633</v>
      </c>
      <c r="B140" s="1074" t="s">
        <v>453</v>
      </c>
      <c r="C140" s="914" t="s">
        <v>507</v>
      </c>
      <c r="D140" s="1118">
        <v>150</v>
      </c>
      <c r="E140" s="1895">
        <v>0</v>
      </c>
      <c r="F140" s="1333">
        <v>150</v>
      </c>
      <c r="G140" s="1333">
        <v>150</v>
      </c>
      <c r="H140" s="1322">
        <v>150</v>
      </c>
      <c r="I140" s="1589">
        <v>150</v>
      </c>
      <c r="J140" s="1589">
        <v>150</v>
      </c>
      <c r="L140" s="506"/>
      <c r="M140" s="506"/>
      <c r="N140" s="506"/>
    </row>
    <row r="141" spans="1:15" x14ac:dyDescent="0.2">
      <c r="A141" s="1074">
        <v>633</v>
      </c>
      <c r="B141" s="1074" t="s">
        <v>455</v>
      </c>
      <c r="C141" s="914" t="s">
        <v>508</v>
      </c>
      <c r="D141" s="1118">
        <v>1500</v>
      </c>
      <c r="E141" s="1895">
        <v>506.32</v>
      </c>
      <c r="F141" s="1333">
        <v>1500</v>
      </c>
      <c r="G141" s="1333">
        <v>1500</v>
      </c>
      <c r="H141" s="1322">
        <v>1500</v>
      </c>
      <c r="I141" s="1589">
        <v>1500</v>
      </c>
      <c r="J141" s="1589">
        <v>1500</v>
      </c>
      <c r="L141" s="506"/>
      <c r="M141" s="506"/>
      <c r="N141" s="50"/>
    </row>
    <row r="142" spans="1:15" x14ac:dyDescent="0.2">
      <c r="A142" s="1074">
        <v>633</v>
      </c>
      <c r="B142" s="1074" t="s">
        <v>100</v>
      </c>
      <c r="C142" s="914" t="s">
        <v>459</v>
      </c>
      <c r="D142" s="1118"/>
      <c r="E142" s="1895">
        <v>369.6</v>
      </c>
      <c r="F142" s="1333">
        <v>500</v>
      </c>
      <c r="G142" s="1333">
        <v>1370</v>
      </c>
      <c r="H142" s="1322">
        <v>1200</v>
      </c>
      <c r="I142" s="1589">
        <v>1200</v>
      </c>
      <c r="J142" s="1589">
        <v>1200</v>
      </c>
      <c r="L142" s="506"/>
      <c r="M142" s="506"/>
      <c r="N142" s="50"/>
    </row>
    <row r="143" spans="1:15" x14ac:dyDescent="0.2">
      <c r="A143" s="1074">
        <v>633</v>
      </c>
      <c r="B143" s="1074" t="s">
        <v>460</v>
      </c>
      <c r="C143" s="914" t="s">
        <v>461</v>
      </c>
      <c r="D143" s="1118"/>
      <c r="E143" s="1895">
        <v>179.56</v>
      </c>
      <c r="F143" s="1333"/>
      <c r="G143" s="1333">
        <v>100</v>
      </c>
      <c r="H143" s="1322"/>
      <c r="I143" s="1589"/>
      <c r="J143" s="1589"/>
      <c r="L143" s="506"/>
      <c r="M143" s="506"/>
      <c r="N143" s="50"/>
    </row>
    <row r="144" spans="1:15" x14ac:dyDescent="0.2">
      <c r="A144" s="1074">
        <v>634</v>
      </c>
      <c r="B144" s="1074"/>
      <c r="C144" s="914" t="s">
        <v>196</v>
      </c>
      <c r="D144" s="1071">
        <f t="shared" ref="D144" si="31">SUM(D145,D146,D147)</f>
        <v>7200</v>
      </c>
      <c r="E144" s="1886">
        <f t="shared" ref="E144" si="32">SUM(E145,E146,E147)</f>
        <v>8421.9699999999993</v>
      </c>
      <c r="F144" s="1333">
        <f>F145+F146+F147</f>
        <v>6300</v>
      </c>
      <c r="G144" s="1333">
        <f>G145+G146+G147</f>
        <v>5700</v>
      </c>
      <c r="H144" s="1322">
        <f t="shared" ref="H144:I144" si="33">H145+H146+H147</f>
        <v>6300</v>
      </c>
      <c r="I144" s="1070">
        <f t="shared" si="33"/>
        <v>6300</v>
      </c>
      <c r="J144" s="1070">
        <v>6500</v>
      </c>
      <c r="L144" s="50"/>
      <c r="M144" s="50"/>
      <c r="N144" s="50"/>
    </row>
    <row r="145" spans="1:15" x14ac:dyDescent="0.2">
      <c r="A145" s="1074">
        <v>634</v>
      </c>
      <c r="B145" s="1074" t="s">
        <v>91</v>
      </c>
      <c r="C145" s="914" t="s">
        <v>509</v>
      </c>
      <c r="D145" s="1118">
        <v>4400</v>
      </c>
      <c r="E145" s="1895">
        <v>4433.3</v>
      </c>
      <c r="F145" s="1333">
        <v>4000</v>
      </c>
      <c r="G145" s="1333">
        <v>4000</v>
      </c>
      <c r="H145" s="1322">
        <v>4000</v>
      </c>
      <c r="I145" s="1589">
        <v>4000</v>
      </c>
      <c r="J145" s="1589">
        <v>4000</v>
      </c>
      <c r="L145" s="490"/>
      <c r="M145" s="506"/>
      <c r="N145" s="506"/>
      <c r="O145" s="33"/>
    </row>
    <row r="146" spans="1:15" x14ac:dyDescent="0.2">
      <c r="A146" s="1074">
        <v>634</v>
      </c>
      <c r="B146" s="1074" t="s">
        <v>94</v>
      </c>
      <c r="C146" s="914" t="s">
        <v>510</v>
      </c>
      <c r="D146" s="1118">
        <v>2000</v>
      </c>
      <c r="E146" s="1895">
        <v>3732.18</v>
      </c>
      <c r="F146" s="1333">
        <v>1500</v>
      </c>
      <c r="G146" s="1333">
        <v>1500</v>
      </c>
      <c r="H146" s="1322">
        <v>1500</v>
      </c>
      <c r="I146" s="1589">
        <v>1500</v>
      </c>
      <c r="J146" s="1589">
        <v>1000</v>
      </c>
      <c r="L146" s="506"/>
      <c r="M146" s="506"/>
      <c r="N146" s="506"/>
    </row>
    <row r="147" spans="1:15" x14ac:dyDescent="0.2">
      <c r="A147" s="1074">
        <v>634</v>
      </c>
      <c r="B147" s="1074" t="s">
        <v>89</v>
      </c>
      <c r="C147" s="914" t="s">
        <v>511</v>
      </c>
      <c r="D147" s="1118">
        <v>800</v>
      </c>
      <c r="E147" s="1895">
        <v>256.49</v>
      </c>
      <c r="F147" s="1333">
        <v>800</v>
      </c>
      <c r="G147" s="1333">
        <v>200</v>
      </c>
      <c r="H147" s="1322">
        <v>800</v>
      </c>
      <c r="I147" s="1589">
        <v>800</v>
      </c>
      <c r="J147" s="1589">
        <v>800</v>
      </c>
      <c r="L147" s="506"/>
      <c r="M147" s="506"/>
      <c r="N147" s="506"/>
      <c r="O147" s="41"/>
    </row>
    <row r="148" spans="1:15" x14ac:dyDescent="0.2">
      <c r="A148" s="1074">
        <v>635</v>
      </c>
      <c r="B148" s="1074"/>
      <c r="C148" s="914" t="s">
        <v>512</v>
      </c>
      <c r="D148" s="1071">
        <v>878</v>
      </c>
      <c r="E148" s="1886">
        <v>218.65</v>
      </c>
      <c r="F148" s="1333">
        <v>200</v>
      </c>
      <c r="G148" s="1333">
        <v>200</v>
      </c>
      <c r="H148" s="1322">
        <v>100</v>
      </c>
      <c r="I148" s="1070">
        <v>100</v>
      </c>
      <c r="J148" s="1070">
        <v>100</v>
      </c>
      <c r="L148" s="506"/>
      <c r="M148" s="506"/>
      <c r="N148" s="506"/>
      <c r="O148" s="41"/>
    </row>
    <row r="149" spans="1:15" x14ac:dyDescent="0.2">
      <c r="A149" s="1074">
        <v>637</v>
      </c>
      <c r="B149" s="1074"/>
      <c r="C149" s="914" t="s">
        <v>513</v>
      </c>
      <c r="D149" s="1071">
        <v>930</v>
      </c>
      <c r="E149" s="1886">
        <v>1771.64</v>
      </c>
      <c r="F149" s="1333">
        <v>300</v>
      </c>
      <c r="G149" s="1333">
        <v>400</v>
      </c>
      <c r="H149" s="1322">
        <v>300</v>
      </c>
      <c r="I149" s="1070">
        <v>300</v>
      </c>
      <c r="J149" s="1070">
        <v>300</v>
      </c>
      <c r="L149" s="50"/>
      <c r="M149" s="50"/>
      <c r="N149" s="50"/>
      <c r="O149" s="41"/>
    </row>
    <row r="150" spans="1:15" x14ac:dyDescent="0.2">
      <c r="A150" s="1074">
        <v>642</v>
      </c>
      <c r="B150" s="1074"/>
      <c r="C150" s="914" t="s">
        <v>514</v>
      </c>
      <c r="D150" s="1071">
        <v>66</v>
      </c>
      <c r="E150" s="1886">
        <v>66</v>
      </c>
      <c r="F150" s="1333">
        <v>100</v>
      </c>
      <c r="G150" s="1333">
        <v>100</v>
      </c>
      <c r="H150" s="1322">
        <v>100</v>
      </c>
      <c r="I150" s="1070">
        <v>100</v>
      </c>
      <c r="J150" s="1070">
        <v>100</v>
      </c>
      <c r="L150" s="50"/>
      <c r="M150" s="50"/>
      <c r="N150" s="50"/>
    </row>
    <row r="151" spans="1:15" x14ac:dyDescent="0.2">
      <c r="A151" s="1074">
        <v>642</v>
      </c>
      <c r="B151" s="1074"/>
      <c r="C151" s="914" t="s">
        <v>976</v>
      </c>
      <c r="D151" s="1071">
        <v>0</v>
      </c>
      <c r="E151" s="1886">
        <v>488.34</v>
      </c>
      <c r="F151" s="1333">
        <v>0</v>
      </c>
      <c r="G151" s="1333">
        <v>0</v>
      </c>
      <c r="H151" s="1322">
        <v>0</v>
      </c>
      <c r="I151" s="1070">
        <v>0</v>
      </c>
      <c r="J151" s="1070">
        <v>0</v>
      </c>
      <c r="L151" s="50"/>
      <c r="M151" s="50"/>
      <c r="N151" s="50"/>
      <c r="O151" s="507"/>
    </row>
    <row r="152" spans="1:15" hidden="1" x14ac:dyDescent="0.2">
      <c r="A152" s="508"/>
      <c r="B152" s="20"/>
      <c r="C152" s="20"/>
      <c r="D152" s="75"/>
      <c r="E152" s="74"/>
      <c r="F152" s="1277"/>
      <c r="G152" s="1277"/>
      <c r="H152" s="75"/>
      <c r="I152" s="75"/>
      <c r="J152" s="75"/>
    </row>
    <row r="153" spans="1:15" s="17" customFormat="1" x14ac:dyDescent="0.2">
      <c r="A153" s="1592" t="s">
        <v>515</v>
      </c>
      <c r="B153" s="1585"/>
      <c r="C153" s="1585"/>
      <c r="D153" s="1593">
        <f>SUM(D154,D155,D162,D167,D168,D170,D169)</f>
        <v>14522</v>
      </c>
      <c r="E153" s="1810">
        <f t="shared" ref="E153:J153" si="34">SUM(E154,E155,E162,E167,E168,E170)+E169</f>
        <v>15835.47</v>
      </c>
      <c r="F153" s="1928">
        <f t="shared" si="34"/>
        <v>14350</v>
      </c>
      <c r="G153" s="1928">
        <f t="shared" si="34"/>
        <v>21350</v>
      </c>
      <c r="H153" s="1929">
        <f t="shared" si="34"/>
        <v>17850</v>
      </c>
      <c r="I153" s="1593">
        <f t="shared" si="34"/>
        <v>17850</v>
      </c>
      <c r="J153" s="1593">
        <f t="shared" si="34"/>
        <v>15850</v>
      </c>
      <c r="K153" s="491"/>
      <c r="L153" s="471"/>
      <c r="M153" s="471"/>
      <c r="N153" s="471"/>
    </row>
    <row r="154" spans="1:15" s="20" customFormat="1" x14ac:dyDescent="0.2">
      <c r="A154" s="914">
        <v>632</v>
      </c>
      <c r="B154" s="1074"/>
      <c r="C154" s="914" t="s">
        <v>192</v>
      </c>
      <c r="D154" s="1534">
        <v>5156</v>
      </c>
      <c r="E154" s="1878">
        <v>5576.61</v>
      </c>
      <c r="F154" s="1333">
        <v>5500</v>
      </c>
      <c r="G154" s="1333">
        <v>9000</v>
      </c>
      <c r="H154" s="1322">
        <v>8000</v>
      </c>
      <c r="I154" s="1070">
        <v>8000</v>
      </c>
      <c r="J154" s="1070">
        <v>8000</v>
      </c>
      <c r="L154" s="58"/>
      <c r="M154" s="50"/>
      <c r="N154" s="50"/>
      <c r="O154" s="16"/>
    </row>
    <row r="155" spans="1:15" x14ac:dyDescent="0.2">
      <c r="A155" s="914">
        <v>633</v>
      </c>
      <c r="B155" s="1074"/>
      <c r="C155" s="914" t="s">
        <v>194</v>
      </c>
      <c r="D155" s="1534">
        <v>5000</v>
      </c>
      <c r="E155" s="1878">
        <f>E156+E157+E158+E159+E160+E161</f>
        <v>4897.08</v>
      </c>
      <c r="F155" s="1333">
        <f>F156+F157+F158+F159+F160+F161</f>
        <v>5400</v>
      </c>
      <c r="G155" s="1333">
        <f>G156+G157+G158+G159+G160+G161</f>
        <v>8000</v>
      </c>
      <c r="H155" s="1322">
        <f t="shared" ref="H155:I155" si="35">H156+H157+H158+H159+H160+H161</f>
        <v>6400</v>
      </c>
      <c r="I155" s="1070">
        <f t="shared" si="35"/>
        <v>6400</v>
      </c>
      <c r="J155" s="1070">
        <f>SUM(J156:J159)</f>
        <v>4400</v>
      </c>
      <c r="L155" s="58"/>
      <c r="M155" s="58"/>
      <c r="N155" s="58"/>
    </row>
    <row r="156" spans="1:15" x14ac:dyDescent="0.2">
      <c r="A156" s="914">
        <v>633</v>
      </c>
      <c r="B156" s="1074" t="s">
        <v>91</v>
      </c>
      <c r="C156" s="914" t="s">
        <v>516</v>
      </c>
      <c r="D156" s="1537">
        <v>500</v>
      </c>
      <c r="E156" s="1803">
        <v>0</v>
      </c>
      <c r="F156" s="1333">
        <v>500</v>
      </c>
      <c r="G156" s="1333">
        <v>0</v>
      </c>
      <c r="H156" s="1322">
        <v>500</v>
      </c>
      <c r="I156" s="1589">
        <v>500</v>
      </c>
      <c r="J156" s="1589">
        <v>500</v>
      </c>
      <c r="L156" s="50"/>
      <c r="M156" s="506"/>
      <c r="N156" s="506"/>
    </row>
    <row r="157" spans="1:15" x14ac:dyDescent="0.2">
      <c r="A157" s="1571">
        <v>633</v>
      </c>
      <c r="B157" s="1563" t="s">
        <v>108</v>
      </c>
      <c r="C157" s="1571" t="s">
        <v>517</v>
      </c>
      <c r="D157" s="1541">
        <v>3000</v>
      </c>
      <c r="E157" s="1894">
        <v>3000</v>
      </c>
      <c r="F157" s="1540">
        <v>3000</v>
      </c>
      <c r="G157" s="1540">
        <v>3000</v>
      </c>
      <c r="H157" s="1322">
        <v>3000</v>
      </c>
      <c r="I157" s="1588">
        <v>3000</v>
      </c>
      <c r="J157" s="1588">
        <v>3000</v>
      </c>
      <c r="L157" s="509"/>
      <c r="M157" s="469"/>
      <c r="N157" s="506"/>
    </row>
    <row r="158" spans="1:15" x14ac:dyDescent="0.2">
      <c r="A158" s="914">
        <v>633</v>
      </c>
      <c r="B158" s="1074" t="s">
        <v>108</v>
      </c>
      <c r="C158" s="914" t="s">
        <v>517</v>
      </c>
      <c r="D158" s="1537">
        <v>400</v>
      </c>
      <c r="E158" s="1803">
        <v>255.05</v>
      </c>
      <c r="F158" s="1333">
        <v>400</v>
      </c>
      <c r="G158" s="1333">
        <v>600</v>
      </c>
      <c r="H158" s="1322">
        <v>400</v>
      </c>
      <c r="I158" s="1589">
        <v>400</v>
      </c>
      <c r="J158" s="1589">
        <v>400</v>
      </c>
      <c r="L158" s="58"/>
      <c r="M158" s="506"/>
      <c r="N158" s="506"/>
    </row>
    <row r="159" spans="1:15" x14ac:dyDescent="0.2">
      <c r="A159" s="914">
        <v>633</v>
      </c>
      <c r="B159" s="1074" t="s">
        <v>122</v>
      </c>
      <c r="C159" s="914" t="s">
        <v>350</v>
      </c>
      <c r="D159" s="1537">
        <v>500</v>
      </c>
      <c r="E159" s="1803">
        <v>335.99</v>
      </c>
      <c r="F159" s="1333">
        <v>500</v>
      </c>
      <c r="G159" s="1333">
        <v>1300</v>
      </c>
      <c r="H159" s="1322">
        <v>500</v>
      </c>
      <c r="I159" s="1589">
        <v>500</v>
      </c>
      <c r="J159" s="1589">
        <v>500</v>
      </c>
      <c r="L159" s="50"/>
      <c r="M159" s="506"/>
      <c r="N159" s="506"/>
    </row>
    <row r="160" spans="1:15" x14ac:dyDescent="0.2">
      <c r="A160" s="914">
        <v>633</v>
      </c>
      <c r="B160" s="1074" t="s">
        <v>455</v>
      </c>
      <c r="C160" s="914" t="s">
        <v>822</v>
      </c>
      <c r="D160" s="1537"/>
      <c r="E160" s="1803">
        <v>205.21</v>
      </c>
      <c r="F160" s="1333"/>
      <c r="G160" s="1333">
        <v>2100</v>
      </c>
      <c r="H160" s="1322">
        <v>1000</v>
      </c>
      <c r="I160" s="1589">
        <v>1000</v>
      </c>
      <c r="J160" s="1589">
        <v>1000</v>
      </c>
      <c r="L160" s="50"/>
      <c r="M160" s="506"/>
      <c r="N160" s="506"/>
    </row>
    <row r="161" spans="1:15" x14ac:dyDescent="0.2">
      <c r="A161" s="914">
        <v>633</v>
      </c>
      <c r="B161" s="1074" t="s">
        <v>460</v>
      </c>
      <c r="C161" s="914" t="s">
        <v>351</v>
      </c>
      <c r="D161" s="1537">
        <v>1000</v>
      </c>
      <c r="E161" s="1803">
        <v>1100.83</v>
      </c>
      <c r="F161" s="1333">
        <v>1000</v>
      </c>
      <c r="G161" s="1333">
        <v>1000</v>
      </c>
      <c r="H161" s="1322">
        <v>1000</v>
      </c>
      <c r="I161" s="1589">
        <v>1000</v>
      </c>
      <c r="J161" s="1589">
        <v>1000</v>
      </c>
      <c r="L161" s="50"/>
      <c r="M161" s="506"/>
      <c r="N161" s="50"/>
    </row>
    <row r="162" spans="1:15" x14ac:dyDescent="0.2">
      <c r="A162" s="914">
        <v>634</v>
      </c>
      <c r="B162" s="1074"/>
      <c r="C162" s="914" t="s">
        <v>196</v>
      </c>
      <c r="D162" s="1534">
        <f t="shared" ref="D162" si="36">SUM(D163:D166)</f>
        <v>2560</v>
      </c>
      <c r="E162" s="1878">
        <f>E163+E164+E165+E166</f>
        <v>2748.1800000000003</v>
      </c>
      <c r="F162" s="1333">
        <f>F163+F164+F165+F166</f>
        <v>2150</v>
      </c>
      <c r="G162" s="1333">
        <f>G163+G164+G165+G166</f>
        <v>2150</v>
      </c>
      <c r="H162" s="1322">
        <f t="shared" ref="H162:I162" si="37">H163+H164+H165+H166</f>
        <v>2150</v>
      </c>
      <c r="I162" s="1070">
        <f t="shared" si="37"/>
        <v>2150</v>
      </c>
      <c r="J162" s="1070">
        <f t="shared" ref="J162" si="38">SUM(J163:J166)</f>
        <v>2150</v>
      </c>
      <c r="L162" s="50"/>
      <c r="M162" s="50"/>
      <c r="N162" s="50"/>
    </row>
    <row r="163" spans="1:15" x14ac:dyDescent="0.2">
      <c r="A163" s="1074">
        <v>634</v>
      </c>
      <c r="B163" s="1074" t="s">
        <v>91</v>
      </c>
      <c r="C163" s="914" t="s">
        <v>509</v>
      </c>
      <c r="D163" s="1537">
        <v>500</v>
      </c>
      <c r="E163" s="1803">
        <v>1130.18</v>
      </c>
      <c r="F163" s="1333">
        <v>800</v>
      </c>
      <c r="G163" s="1333">
        <v>800</v>
      </c>
      <c r="H163" s="1322">
        <v>800</v>
      </c>
      <c r="I163" s="1589">
        <v>800</v>
      </c>
      <c r="J163" s="1589">
        <v>800</v>
      </c>
      <c r="L163" s="506"/>
      <c r="M163" s="506"/>
      <c r="N163" s="506"/>
      <c r="O163" s="482"/>
    </row>
    <row r="164" spans="1:15" x14ac:dyDescent="0.2">
      <c r="A164" s="1074">
        <v>634</v>
      </c>
      <c r="B164" s="1074" t="s">
        <v>94</v>
      </c>
      <c r="C164" s="914" t="s">
        <v>639</v>
      </c>
      <c r="D164" s="1537">
        <v>1500</v>
      </c>
      <c r="E164" s="1803">
        <v>1157.2</v>
      </c>
      <c r="F164" s="1333">
        <v>800</v>
      </c>
      <c r="G164" s="1333">
        <v>800</v>
      </c>
      <c r="H164" s="1322">
        <v>800</v>
      </c>
      <c r="I164" s="1589">
        <v>800</v>
      </c>
      <c r="J164" s="1589">
        <v>800</v>
      </c>
      <c r="L164" s="506"/>
      <c r="M164" s="506"/>
      <c r="N164" s="506"/>
      <c r="O164" s="482"/>
    </row>
    <row r="165" spans="1:15" x14ac:dyDescent="0.2">
      <c r="A165" s="1074">
        <v>634</v>
      </c>
      <c r="B165" s="1074" t="s">
        <v>108</v>
      </c>
      <c r="C165" s="914" t="s">
        <v>341</v>
      </c>
      <c r="D165" s="1537">
        <v>200</v>
      </c>
      <c r="E165" s="1803">
        <v>100.8</v>
      </c>
      <c r="F165" s="1333">
        <v>200</v>
      </c>
      <c r="G165" s="1333">
        <v>200</v>
      </c>
      <c r="H165" s="1322">
        <v>200</v>
      </c>
      <c r="I165" s="1589">
        <v>200</v>
      </c>
      <c r="J165" s="1589">
        <v>200</v>
      </c>
      <c r="L165" s="506"/>
      <c r="M165" s="506"/>
      <c r="N165" s="506"/>
    </row>
    <row r="166" spans="1:15" x14ac:dyDescent="0.2">
      <c r="A166" s="1074">
        <v>634</v>
      </c>
      <c r="B166" s="1074" t="s">
        <v>89</v>
      </c>
      <c r="C166" s="914" t="s">
        <v>511</v>
      </c>
      <c r="D166" s="1537">
        <v>360</v>
      </c>
      <c r="E166" s="1803">
        <v>360</v>
      </c>
      <c r="F166" s="1333">
        <v>350</v>
      </c>
      <c r="G166" s="1333">
        <v>350</v>
      </c>
      <c r="H166" s="1322">
        <v>350</v>
      </c>
      <c r="I166" s="1589">
        <v>350</v>
      </c>
      <c r="J166" s="1589">
        <v>350</v>
      </c>
      <c r="L166" s="506"/>
      <c r="M166" s="506"/>
      <c r="N166" s="506"/>
    </row>
    <row r="167" spans="1:15" x14ac:dyDescent="0.2">
      <c r="A167" s="914">
        <v>635</v>
      </c>
      <c r="B167" s="1074"/>
      <c r="C167" s="914" t="s">
        <v>288</v>
      </c>
      <c r="D167" s="1534">
        <v>500</v>
      </c>
      <c r="E167" s="1878">
        <v>0</v>
      </c>
      <c r="F167" s="1333">
        <v>500</v>
      </c>
      <c r="G167" s="1333">
        <v>500</v>
      </c>
      <c r="H167" s="1322">
        <v>500</v>
      </c>
      <c r="I167" s="1070">
        <v>500</v>
      </c>
      <c r="J167" s="1070">
        <v>500</v>
      </c>
      <c r="L167" s="50"/>
      <c r="M167" s="50"/>
      <c r="N167" s="50"/>
    </row>
    <row r="168" spans="1:15" x14ac:dyDescent="0.2">
      <c r="A168" s="1571">
        <v>637</v>
      </c>
      <c r="B168" s="1563" t="s">
        <v>117</v>
      </c>
      <c r="C168" s="1571" t="s">
        <v>315</v>
      </c>
      <c r="D168" s="1542">
        <v>0</v>
      </c>
      <c r="E168" s="1884">
        <v>0</v>
      </c>
      <c r="F168" s="1333">
        <v>0</v>
      </c>
      <c r="G168" s="1333">
        <v>0</v>
      </c>
      <c r="H168" s="1322">
        <v>0</v>
      </c>
      <c r="I168" s="1076">
        <v>0</v>
      </c>
      <c r="J168" s="1076">
        <v>0</v>
      </c>
      <c r="L168" s="509"/>
      <c r="M168" s="469"/>
      <c r="N168" s="50"/>
    </row>
    <row r="169" spans="1:15" x14ac:dyDescent="0.2">
      <c r="A169" s="914">
        <v>637</v>
      </c>
      <c r="B169" s="1074"/>
      <c r="C169" s="914" t="s">
        <v>513</v>
      </c>
      <c r="D169" s="1542">
        <v>600</v>
      </c>
      <c r="E169" s="1884">
        <v>2098.6</v>
      </c>
      <c r="F169" s="1333">
        <v>800</v>
      </c>
      <c r="G169" s="1333">
        <v>1700</v>
      </c>
      <c r="H169" s="1322">
        <v>800</v>
      </c>
      <c r="I169" s="1076">
        <v>800</v>
      </c>
      <c r="J169" s="1076">
        <v>800</v>
      </c>
      <c r="L169" s="509"/>
      <c r="M169" s="469"/>
      <c r="N169" s="50"/>
    </row>
    <row r="170" spans="1:15" x14ac:dyDescent="0.2">
      <c r="A170" s="914">
        <v>642</v>
      </c>
      <c r="B170" s="1074" t="s">
        <v>94</v>
      </c>
      <c r="C170" s="914" t="s">
        <v>518</v>
      </c>
      <c r="D170" s="1534">
        <v>706</v>
      </c>
      <c r="E170" s="1878">
        <v>515</v>
      </c>
      <c r="F170" s="1333"/>
      <c r="G170" s="1333"/>
      <c r="H170" s="1322"/>
      <c r="I170" s="1070"/>
      <c r="J170" s="1070"/>
      <c r="L170" s="50"/>
      <c r="M170" s="50"/>
      <c r="N170" s="50"/>
      <c r="O170" s="510"/>
    </row>
    <row r="171" spans="1:15" x14ac:dyDescent="0.2">
      <c r="A171" s="1551" t="s">
        <v>519</v>
      </c>
      <c r="B171" s="1552"/>
      <c r="C171" s="1553" t="s">
        <v>520</v>
      </c>
      <c r="D171" s="1555">
        <f t="shared" ref="D171:I171" si="39">D130+D153</f>
        <v>123696</v>
      </c>
      <c r="E171" s="1807">
        <f t="shared" si="39"/>
        <v>133692.03999999998</v>
      </c>
      <c r="F171" s="1321">
        <f>F130+F153</f>
        <v>120630</v>
      </c>
      <c r="G171" s="1321">
        <f>G130+G153</f>
        <v>139120</v>
      </c>
      <c r="H171" s="1555">
        <f t="shared" si="39"/>
        <v>124730</v>
      </c>
      <c r="I171" s="1555">
        <f t="shared" si="39"/>
        <v>131730</v>
      </c>
      <c r="J171" s="1555">
        <f t="shared" ref="J171" si="40">J130+J153</f>
        <v>128730</v>
      </c>
      <c r="K171" s="498"/>
      <c r="L171" s="471"/>
      <c r="M171" s="471"/>
      <c r="N171" s="471"/>
      <c r="O171" s="507"/>
    </row>
    <row r="172" spans="1:15" hidden="1" x14ac:dyDescent="0.2">
      <c r="A172" s="511"/>
      <c r="B172" s="512"/>
      <c r="C172" s="513"/>
      <c r="D172" s="514"/>
      <c r="E172" s="514"/>
      <c r="F172" s="1277"/>
      <c r="G172" s="1277"/>
      <c r="H172" s="514"/>
      <c r="I172" s="515"/>
      <c r="J172" s="515"/>
      <c r="K172" s="516"/>
      <c r="L172" s="70"/>
      <c r="M172" s="70"/>
      <c r="N172" s="70"/>
    </row>
    <row r="173" spans="1:15" hidden="1" x14ac:dyDescent="0.2">
      <c r="A173" s="511"/>
      <c r="B173" s="512"/>
      <c r="C173" s="513"/>
      <c r="D173" s="514"/>
      <c r="E173" s="514"/>
      <c r="F173" s="1277"/>
      <c r="G173" s="1277"/>
      <c r="H173" s="514"/>
      <c r="I173" s="515"/>
      <c r="J173" s="515"/>
      <c r="K173" s="516"/>
      <c r="L173" s="70"/>
      <c r="M173" s="70"/>
      <c r="N173" s="70"/>
    </row>
    <row r="174" spans="1:15" hidden="1" x14ac:dyDescent="0.2">
      <c r="A174" s="511"/>
      <c r="B174" s="512"/>
      <c r="C174" s="513"/>
      <c r="D174" s="514"/>
      <c r="E174" s="514"/>
      <c r="F174" s="1277"/>
      <c r="G174" s="1277"/>
      <c r="H174" s="514"/>
      <c r="I174" s="515"/>
      <c r="J174" s="515"/>
      <c r="K174" s="516"/>
      <c r="L174" s="70"/>
      <c r="M174" s="70"/>
      <c r="N174" s="70"/>
    </row>
    <row r="175" spans="1:15" hidden="1" x14ac:dyDescent="0.2">
      <c r="A175" s="511"/>
      <c r="B175" s="512"/>
      <c r="C175" s="513"/>
      <c r="D175" s="514"/>
      <c r="E175" s="514"/>
      <c r="F175" s="1277"/>
      <c r="G175" s="1277"/>
      <c r="H175" s="514"/>
      <c r="I175" s="515"/>
      <c r="J175" s="515"/>
      <c r="K175" s="516"/>
      <c r="L175" s="70"/>
      <c r="M175" s="70"/>
      <c r="N175" s="70"/>
    </row>
    <row r="176" spans="1:15" hidden="1" x14ac:dyDescent="0.2">
      <c r="A176" s="511"/>
      <c r="B176" s="512"/>
      <c r="C176" s="513"/>
      <c r="D176" s="514"/>
      <c r="E176" s="514"/>
      <c r="F176" s="1277"/>
      <c r="G176" s="1277"/>
      <c r="H176" s="514"/>
      <c r="I176" s="515"/>
      <c r="J176" s="515"/>
      <c r="K176" s="516"/>
      <c r="L176" s="70"/>
      <c r="M176" s="70"/>
      <c r="N176" s="70"/>
    </row>
    <row r="177" spans="1:15" hidden="1" x14ac:dyDescent="0.2">
      <c r="A177" s="511"/>
      <c r="B177" s="512"/>
      <c r="C177" s="513"/>
      <c r="D177" s="514"/>
      <c r="E177" s="514"/>
      <c r="F177" s="1277"/>
      <c r="G177" s="1277"/>
      <c r="H177" s="514"/>
      <c r="I177" s="515"/>
      <c r="J177" s="515"/>
      <c r="K177" s="516"/>
      <c r="L177" s="70"/>
      <c r="M177" s="70"/>
      <c r="N177" s="70"/>
    </row>
    <row r="178" spans="1:15" hidden="1" x14ac:dyDescent="0.2">
      <c r="A178" s="511"/>
      <c r="B178" s="512"/>
      <c r="C178" s="513"/>
      <c r="D178" s="514"/>
      <c r="E178" s="514"/>
      <c r="F178" s="1277"/>
      <c r="G178" s="1277"/>
      <c r="H178" s="514"/>
      <c r="I178" s="515"/>
      <c r="J178" s="515"/>
      <c r="K178" s="516"/>
      <c r="L178" s="70"/>
      <c r="M178" s="70"/>
      <c r="N178" s="70"/>
    </row>
    <row r="179" spans="1:15" hidden="1" x14ac:dyDescent="0.2">
      <c r="A179" s="511"/>
      <c r="B179" s="512"/>
      <c r="C179" s="513"/>
      <c r="D179" s="514"/>
      <c r="E179" s="514"/>
      <c r="F179" s="1277"/>
      <c r="G179" s="1277"/>
      <c r="H179" s="514"/>
      <c r="I179" s="515"/>
      <c r="J179" s="515"/>
      <c r="K179" s="516"/>
      <c r="L179" s="70"/>
      <c r="M179" s="70"/>
      <c r="N179" s="70"/>
    </row>
    <row r="180" spans="1:15" hidden="1" x14ac:dyDescent="0.2">
      <c r="A180" s="511"/>
      <c r="B180" s="512"/>
      <c r="C180" s="513"/>
      <c r="D180" s="514"/>
      <c r="E180" s="514"/>
      <c r="F180" s="1277"/>
      <c r="G180" s="1277"/>
      <c r="H180" s="514"/>
      <c r="I180" s="515"/>
      <c r="J180" s="515"/>
      <c r="K180" s="516"/>
      <c r="L180" s="70"/>
      <c r="M180" s="70"/>
      <c r="N180" s="70"/>
    </row>
    <row r="181" spans="1:15" hidden="1" x14ac:dyDescent="0.2">
      <c r="A181" s="511"/>
      <c r="B181" s="512"/>
      <c r="C181" s="513"/>
      <c r="D181" s="514"/>
      <c r="E181" s="514"/>
      <c r="F181" s="1277"/>
      <c r="G181" s="1277"/>
      <c r="H181" s="514"/>
      <c r="I181" s="515"/>
      <c r="J181" s="515"/>
      <c r="K181" s="516"/>
      <c r="L181" s="70"/>
      <c r="M181" s="70"/>
      <c r="N181" s="70"/>
    </row>
    <row r="182" spans="1:15" hidden="1" x14ac:dyDescent="0.2">
      <c r="A182" s="511"/>
      <c r="B182" s="512"/>
      <c r="C182" s="513"/>
      <c r="D182" s="514"/>
      <c r="E182" s="514"/>
      <c r="F182" s="1277"/>
      <c r="G182" s="1277"/>
      <c r="H182" s="514"/>
      <c r="I182" s="515"/>
      <c r="J182" s="515"/>
      <c r="K182" s="516"/>
      <c r="L182" s="70"/>
      <c r="M182" s="70"/>
      <c r="N182" s="70"/>
    </row>
    <row r="183" spans="1:15" hidden="1" x14ac:dyDescent="0.2">
      <c r="A183" s="511"/>
      <c r="B183" s="512"/>
      <c r="C183" s="513"/>
      <c r="D183" s="514"/>
      <c r="E183" s="514"/>
      <c r="F183" s="1277"/>
      <c r="G183" s="1277"/>
      <c r="H183" s="514"/>
      <c r="I183" s="515"/>
      <c r="J183" s="515"/>
      <c r="K183" s="516"/>
      <c r="L183" s="70"/>
      <c r="M183" s="70"/>
      <c r="N183" s="70"/>
    </row>
    <row r="184" spans="1:15" hidden="1" x14ac:dyDescent="0.2">
      <c r="A184" s="511"/>
      <c r="B184" s="512"/>
      <c r="C184" s="513"/>
      <c r="D184" s="514"/>
      <c r="E184" s="514"/>
      <c r="F184" s="1277"/>
      <c r="G184" s="1277"/>
      <c r="H184" s="514"/>
      <c r="I184" s="515"/>
      <c r="J184" s="515"/>
      <c r="K184" s="516"/>
      <c r="L184" s="70"/>
      <c r="M184" s="70"/>
      <c r="N184" s="70"/>
    </row>
    <row r="185" spans="1:15" hidden="1" x14ac:dyDescent="0.2">
      <c r="A185" s="511"/>
      <c r="B185" s="512"/>
      <c r="C185" s="513"/>
      <c r="D185" s="514"/>
      <c r="E185" s="514"/>
      <c r="F185" s="1277"/>
      <c r="G185" s="1277"/>
      <c r="H185" s="514"/>
      <c r="I185" s="515"/>
      <c r="J185" s="515"/>
      <c r="K185" s="516"/>
      <c r="L185" s="70"/>
      <c r="M185" s="70"/>
      <c r="N185" s="70"/>
    </row>
    <row r="186" spans="1:15" x14ac:dyDescent="0.2">
      <c r="A186" s="511"/>
      <c r="B186" s="512"/>
      <c r="C186" s="513"/>
      <c r="D186" s="514"/>
      <c r="E186" s="514"/>
      <c r="F186" s="1277"/>
      <c r="G186" s="1277"/>
      <c r="H186" s="514"/>
      <c r="I186" s="515"/>
      <c r="J186" s="515"/>
      <c r="K186" s="516"/>
      <c r="L186" s="70"/>
      <c r="M186" s="70"/>
      <c r="N186" s="70"/>
    </row>
    <row r="187" spans="1:15" x14ac:dyDescent="0.2">
      <c r="A187" s="502"/>
      <c r="B187" s="50"/>
      <c r="C187" s="88"/>
      <c r="D187" s="2298" t="s">
        <v>521</v>
      </c>
      <c r="E187" s="2298"/>
      <c r="F187" s="2298"/>
      <c r="G187" s="2298"/>
      <c r="H187" s="2298"/>
      <c r="I187" s="2298"/>
      <c r="J187" s="1796"/>
      <c r="K187" s="517"/>
      <c r="L187" s="517"/>
      <c r="M187" s="517"/>
      <c r="N187" s="517"/>
    </row>
    <row r="188" spans="1:15" hidden="1" x14ac:dyDescent="0.2">
      <c r="A188" s="502"/>
      <c r="B188" s="50"/>
      <c r="C188" s="88"/>
      <c r="D188" s="503"/>
      <c r="E188" s="503"/>
      <c r="F188" s="1277"/>
      <c r="G188" s="1277"/>
      <c r="H188" s="503"/>
      <c r="I188" s="504"/>
      <c r="J188" s="504"/>
    </row>
    <row r="189" spans="1:15" s="497" customFormat="1" x14ac:dyDescent="0.2">
      <c r="A189" s="1544" t="s">
        <v>426</v>
      </c>
      <c r="B189" s="1545"/>
      <c r="C189" s="1546"/>
      <c r="D189" s="1548">
        <v>2022</v>
      </c>
      <c r="E189" s="1915" t="s">
        <v>983</v>
      </c>
      <c r="F189" s="1549">
        <v>2024</v>
      </c>
      <c r="G189" s="1549" t="s">
        <v>984</v>
      </c>
      <c r="H189" s="1724">
        <v>2025</v>
      </c>
      <c r="I189" s="1724">
        <v>2026</v>
      </c>
      <c r="J189" s="1724">
        <v>2027</v>
      </c>
      <c r="K189" s="495"/>
      <c r="L189" s="496"/>
      <c r="M189" s="467"/>
      <c r="N189" s="468"/>
    </row>
    <row r="190" spans="1:15" s="17" customFormat="1" x14ac:dyDescent="0.2">
      <c r="A190" s="1550" t="s">
        <v>522</v>
      </c>
      <c r="B190" s="1587"/>
      <c r="C190" s="1587"/>
      <c r="D190" s="1536">
        <f>SUM(D191,D193,D195,D196,D202,D207,D208,D209,D210)+D192</f>
        <v>135560</v>
      </c>
      <c r="E190" s="1808">
        <f>E191+E192+E193+E195+E196+E202+E207+E208+E209+E210</f>
        <v>141896.71000000002</v>
      </c>
      <c r="F190" s="1926">
        <f>F191+F192+F193+F195+F196+F202+F207+F208+F209+F210</f>
        <v>136300</v>
      </c>
      <c r="G190" s="1926">
        <f>G191+G192+G193+G195+G196+G202+G207+G208+G209+G210</f>
        <v>142750</v>
      </c>
      <c r="H190" s="1536">
        <f>H191+H192+H193+H195+H196+H202+H207+H208+H209+H210</f>
        <v>138550</v>
      </c>
      <c r="I190" s="1536">
        <f t="shared" ref="I190" si="41">I191+I192+I193+I195+I196+I202+I207+I208+I209+I210</f>
        <v>139450</v>
      </c>
      <c r="J190" s="1536">
        <f>SUM(J191,J193,J195,J196,J202,J207,J208,J209,J210)</f>
        <v>138550</v>
      </c>
      <c r="K190" s="498"/>
      <c r="L190" s="471"/>
      <c r="M190" s="471"/>
      <c r="N190" s="471"/>
    </row>
    <row r="191" spans="1:15" s="20" customFormat="1" x14ac:dyDescent="0.2">
      <c r="A191" s="1074">
        <v>610</v>
      </c>
      <c r="B191" s="1074"/>
      <c r="C191" s="1294" t="s">
        <v>441</v>
      </c>
      <c r="D191" s="1333">
        <v>84000</v>
      </c>
      <c r="E191" s="1878">
        <v>85822.89</v>
      </c>
      <c r="F191" s="1333">
        <v>85000</v>
      </c>
      <c r="G191" s="1333">
        <v>85000</v>
      </c>
      <c r="H191" s="1322">
        <v>87000</v>
      </c>
      <c r="I191" s="1070">
        <v>87000</v>
      </c>
      <c r="J191" s="1070">
        <v>87000</v>
      </c>
      <c r="L191" s="58"/>
      <c r="M191" s="58"/>
      <c r="N191" s="58"/>
      <c r="O191" s="16"/>
    </row>
    <row r="192" spans="1:15" s="20" customFormat="1" x14ac:dyDescent="0.2">
      <c r="A192" s="1560">
        <v>610</v>
      </c>
      <c r="B192" s="1560"/>
      <c r="C192" s="1562" t="s">
        <v>633</v>
      </c>
      <c r="D192" s="1333">
        <v>0</v>
      </c>
      <c r="E192" s="1878">
        <v>0</v>
      </c>
      <c r="F192" s="1333"/>
      <c r="G192" s="1333"/>
      <c r="H192" s="1957"/>
      <c r="I192" s="1594"/>
      <c r="J192" s="1594">
        <v>0</v>
      </c>
      <c r="L192" s="58"/>
      <c r="M192" s="58"/>
      <c r="N192" s="58"/>
      <c r="O192" s="16"/>
    </row>
    <row r="193" spans="1:14" x14ac:dyDescent="0.2">
      <c r="A193" s="1074">
        <v>620</v>
      </c>
      <c r="B193" s="1074"/>
      <c r="C193" s="914" t="s">
        <v>188</v>
      </c>
      <c r="D193" s="1333">
        <v>29000</v>
      </c>
      <c r="E193" s="1878">
        <v>30682.080000000002</v>
      </c>
      <c r="F193" s="1333">
        <v>30000</v>
      </c>
      <c r="G193" s="1333">
        <v>31400</v>
      </c>
      <c r="H193" s="1322">
        <v>30000</v>
      </c>
      <c r="I193" s="1070">
        <v>30000</v>
      </c>
      <c r="J193" s="1070">
        <v>30000</v>
      </c>
      <c r="L193" s="58"/>
      <c r="M193" s="58"/>
      <c r="N193" s="58"/>
    </row>
    <row r="194" spans="1:14" x14ac:dyDescent="0.2">
      <c r="A194" s="1074"/>
      <c r="B194" s="1074"/>
      <c r="C194" s="914"/>
      <c r="D194" s="1333"/>
      <c r="E194" s="1878"/>
      <c r="F194" s="1333"/>
      <c r="G194" s="1333"/>
      <c r="H194" s="1322"/>
      <c r="I194" s="1070"/>
      <c r="J194" s="1070"/>
      <c r="L194" s="58"/>
      <c r="M194" s="58"/>
      <c r="N194" s="58"/>
    </row>
    <row r="195" spans="1:14" x14ac:dyDescent="0.2">
      <c r="A195" s="1074">
        <v>632</v>
      </c>
      <c r="B195" s="1074"/>
      <c r="C195" s="914" t="s">
        <v>192</v>
      </c>
      <c r="D195" s="1333">
        <v>750</v>
      </c>
      <c r="E195" s="1878">
        <v>541.6</v>
      </c>
      <c r="F195" s="1333">
        <v>750</v>
      </c>
      <c r="G195" s="1333">
        <v>750</v>
      </c>
      <c r="H195" s="1322">
        <v>750</v>
      </c>
      <c r="I195" s="1070">
        <v>750</v>
      </c>
      <c r="J195" s="1070">
        <v>750</v>
      </c>
      <c r="L195" s="58"/>
      <c r="M195" s="50"/>
      <c r="N195" s="50"/>
    </row>
    <row r="196" spans="1:14" x14ac:dyDescent="0.2">
      <c r="A196" s="1074">
        <v>633</v>
      </c>
      <c r="B196" s="1074"/>
      <c r="C196" s="914" t="s">
        <v>194</v>
      </c>
      <c r="D196" s="1525">
        <f>SUM(D197:D201)</f>
        <v>15700</v>
      </c>
      <c r="E196" s="1884">
        <f>E197+E198+E199+E200+E201</f>
        <v>12582.859999999999</v>
      </c>
      <c r="F196" s="1333">
        <f>SUM(F197:F201)</f>
        <v>14800</v>
      </c>
      <c r="G196" s="1333">
        <f>G197+G198+G199+G201</f>
        <v>19750</v>
      </c>
      <c r="H196" s="1322">
        <f>SUM(H197:H201)</f>
        <v>14700</v>
      </c>
      <c r="I196" s="1076">
        <f>SUM(I197:I201)</f>
        <v>14700</v>
      </c>
      <c r="J196" s="1076">
        <f t="shared" ref="J196" si="42">SUM(J197:J201)</f>
        <v>14700</v>
      </c>
      <c r="K196" s="64"/>
      <c r="L196" s="64"/>
      <c r="M196" s="64"/>
      <c r="N196" s="64"/>
    </row>
    <row r="197" spans="1:14" x14ac:dyDescent="0.2">
      <c r="A197" s="1074">
        <v>633</v>
      </c>
      <c r="B197" s="1074" t="s">
        <v>108</v>
      </c>
      <c r="C197" s="914" t="s">
        <v>523</v>
      </c>
      <c r="D197" s="1529">
        <v>1200</v>
      </c>
      <c r="E197" s="1803">
        <v>685.9</v>
      </c>
      <c r="F197" s="1333">
        <v>1200</v>
      </c>
      <c r="G197" s="1333">
        <v>100</v>
      </c>
      <c r="H197" s="1322">
        <v>1200</v>
      </c>
      <c r="I197" s="1589">
        <v>1200</v>
      </c>
      <c r="J197" s="1589">
        <v>1200</v>
      </c>
      <c r="K197" s="64"/>
      <c r="L197" s="64"/>
      <c r="M197" s="64"/>
      <c r="N197" s="64"/>
    </row>
    <row r="198" spans="1:14" x14ac:dyDescent="0.2">
      <c r="A198" s="914">
        <v>633</v>
      </c>
      <c r="B198" s="1074" t="s">
        <v>122</v>
      </c>
      <c r="C198" s="914" t="s">
        <v>350</v>
      </c>
      <c r="D198" s="1529">
        <v>10000</v>
      </c>
      <c r="E198" s="1803">
        <v>8342.39</v>
      </c>
      <c r="F198" s="1333">
        <v>10000</v>
      </c>
      <c r="G198" s="1333">
        <v>16500</v>
      </c>
      <c r="H198" s="1322">
        <v>10000</v>
      </c>
      <c r="I198" s="1589">
        <v>10000</v>
      </c>
      <c r="J198" s="1589">
        <v>10000</v>
      </c>
      <c r="L198" s="50"/>
      <c r="M198" s="506"/>
      <c r="N198" s="506"/>
    </row>
    <row r="199" spans="1:14" x14ac:dyDescent="0.2">
      <c r="A199" s="914">
        <v>633</v>
      </c>
      <c r="B199" s="1074" t="s">
        <v>455</v>
      </c>
      <c r="C199" s="914" t="s">
        <v>524</v>
      </c>
      <c r="D199" s="1529">
        <v>1000</v>
      </c>
      <c r="E199" s="1803">
        <v>135.68</v>
      </c>
      <c r="F199" s="1333">
        <v>1000</v>
      </c>
      <c r="G199" s="1333">
        <v>150</v>
      </c>
      <c r="H199" s="1322">
        <v>1000</v>
      </c>
      <c r="I199" s="1589">
        <v>1000</v>
      </c>
      <c r="J199" s="1589">
        <v>1000</v>
      </c>
      <c r="L199" s="50"/>
      <c r="M199" s="506"/>
      <c r="N199" s="506"/>
    </row>
    <row r="200" spans="1:14" x14ac:dyDescent="0.2">
      <c r="A200" s="1595">
        <v>633</v>
      </c>
      <c r="B200" s="1074" t="s">
        <v>455</v>
      </c>
      <c r="C200" s="914" t="s">
        <v>986</v>
      </c>
      <c r="D200" s="1529">
        <v>0</v>
      </c>
      <c r="E200" s="1803">
        <v>461.75</v>
      </c>
      <c r="F200" s="1333"/>
      <c r="G200" s="1333"/>
      <c r="H200" s="1958"/>
      <c r="I200" s="1596"/>
      <c r="J200" s="1596">
        <v>0</v>
      </c>
      <c r="L200" s="50"/>
      <c r="M200" s="506"/>
      <c r="N200" s="506"/>
    </row>
    <row r="201" spans="1:14" x14ac:dyDescent="0.2">
      <c r="A201" s="914">
        <v>633</v>
      </c>
      <c r="B201" s="1074" t="s">
        <v>483</v>
      </c>
      <c r="C201" s="914" t="s">
        <v>525</v>
      </c>
      <c r="D201" s="1529">
        <v>3500</v>
      </c>
      <c r="E201" s="1803">
        <v>2957.14</v>
      </c>
      <c r="F201" s="1333">
        <v>2600</v>
      </c>
      <c r="G201" s="1333">
        <v>3000</v>
      </c>
      <c r="H201" s="1322">
        <v>2500</v>
      </c>
      <c r="I201" s="1070">
        <v>2500</v>
      </c>
      <c r="J201" s="1589">
        <v>2500</v>
      </c>
      <c r="L201" s="50"/>
      <c r="M201" s="506"/>
      <c r="N201" s="506"/>
    </row>
    <row r="202" spans="1:14" x14ac:dyDescent="0.2">
      <c r="A202" s="914">
        <v>634</v>
      </c>
      <c r="B202" s="1074"/>
      <c r="C202" s="914" t="s">
        <v>196</v>
      </c>
      <c r="D202" s="1333">
        <f>SUM(D203,D204,D205)</f>
        <v>1650</v>
      </c>
      <c r="E202" s="1878">
        <f>E203+E204+E205</f>
        <v>8941.5300000000007</v>
      </c>
      <c r="F202" s="1333">
        <f>F203+F204+F205</f>
        <v>1250</v>
      </c>
      <c r="G202" s="1333">
        <v>350</v>
      </c>
      <c r="H202" s="1322">
        <f>H203+H204+H205</f>
        <v>1600</v>
      </c>
      <c r="I202" s="1589">
        <v>2500</v>
      </c>
      <c r="J202" s="1070">
        <f>SUM(J203,J204,J205)+J206</f>
        <v>1600</v>
      </c>
      <c r="L202" s="58"/>
      <c r="M202" s="58"/>
      <c r="N202" s="58"/>
    </row>
    <row r="203" spans="1:14" x14ac:dyDescent="0.2">
      <c r="A203" s="1074">
        <v>634</v>
      </c>
      <c r="B203" s="1074" t="s">
        <v>91</v>
      </c>
      <c r="C203" s="914" t="s">
        <v>509</v>
      </c>
      <c r="D203" s="1529">
        <v>150</v>
      </c>
      <c r="E203" s="1803">
        <v>0</v>
      </c>
      <c r="F203" s="1333">
        <v>150</v>
      </c>
      <c r="G203" s="1333">
        <v>150</v>
      </c>
      <c r="H203" s="1322">
        <v>500</v>
      </c>
      <c r="I203" s="1589">
        <v>500</v>
      </c>
      <c r="J203" s="1589">
        <v>500</v>
      </c>
      <c r="L203" s="58"/>
      <c r="M203" s="506"/>
      <c r="N203" s="506"/>
    </row>
    <row r="204" spans="1:14" x14ac:dyDescent="0.2">
      <c r="A204" s="1074">
        <v>634</v>
      </c>
      <c r="B204" s="1074" t="s">
        <v>89</v>
      </c>
      <c r="C204" s="914" t="s">
        <v>511</v>
      </c>
      <c r="D204" s="1529">
        <v>100</v>
      </c>
      <c r="E204" s="1803">
        <v>52.86</v>
      </c>
      <c r="F204" s="1333">
        <v>100</v>
      </c>
      <c r="G204" s="1333">
        <v>100</v>
      </c>
      <c r="H204" s="1322">
        <v>100</v>
      </c>
      <c r="I204" s="1589">
        <v>100</v>
      </c>
      <c r="J204" s="1589">
        <v>100</v>
      </c>
      <c r="L204" s="50"/>
      <c r="M204" s="506"/>
      <c r="N204" s="506"/>
    </row>
    <row r="205" spans="1:14" x14ac:dyDescent="0.2">
      <c r="A205" s="1074">
        <v>634</v>
      </c>
      <c r="B205" s="1074" t="s">
        <v>94</v>
      </c>
      <c r="C205" s="914" t="s">
        <v>510</v>
      </c>
      <c r="D205" s="1529">
        <v>1400</v>
      </c>
      <c r="E205" s="1803">
        <v>8888.67</v>
      </c>
      <c r="F205" s="1333">
        <v>1000</v>
      </c>
      <c r="G205" s="1333">
        <v>100</v>
      </c>
      <c r="H205" s="1958">
        <v>1000</v>
      </c>
      <c r="I205" s="1589">
        <v>1000</v>
      </c>
      <c r="J205" s="1589">
        <v>1000</v>
      </c>
      <c r="L205" s="58"/>
      <c r="M205" s="506"/>
      <c r="N205" s="506"/>
    </row>
    <row r="206" spans="1:14" x14ac:dyDescent="0.2">
      <c r="A206" s="1074"/>
      <c r="B206" s="1074"/>
      <c r="C206" s="914" t="s">
        <v>795</v>
      </c>
      <c r="D206" s="1529"/>
      <c r="E206" s="1803">
        <v>0</v>
      </c>
      <c r="F206" s="1333"/>
      <c r="G206" s="1333"/>
      <c r="H206" s="1322">
        <v>0</v>
      </c>
      <c r="I206" s="1070">
        <v>0</v>
      </c>
      <c r="J206" s="1589"/>
      <c r="L206" s="58"/>
      <c r="M206" s="506"/>
      <c r="N206" s="506"/>
    </row>
    <row r="207" spans="1:14" x14ac:dyDescent="0.2">
      <c r="A207" s="914">
        <v>635</v>
      </c>
      <c r="B207" s="1074"/>
      <c r="C207" s="914" t="s">
        <v>288</v>
      </c>
      <c r="D207" s="1333">
        <v>3500</v>
      </c>
      <c r="E207" s="1878">
        <v>3292.37</v>
      </c>
      <c r="F207" s="1333">
        <v>3500</v>
      </c>
      <c r="G207" s="1333">
        <v>4500</v>
      </c>
      <c r="H207" s="1322">
        <v>3500</v>
      </c>
      <c r="I207" s="1070">
        <v>3500</v>
      </c>
      <c r="J207" s="1070">
        <v>3500</v>
      </c>
      <c r="L207" s="58"/>
      <c r="M207" s="50"/>
      <c r="N207" s="50"/>
    </row>
    <row r="208" spans="1:14" x14ac:dyDescent="0.2">
      <c r="A208" s="914">
        <v>637</v>
      </c>
      <c r="B208" s="1074"/>
      <c r="C208" s="914" t="s">
        <v>526</v>
      </c>
      <c r="D208" s="1333">
        <v>960</v>
      </c>
      <c r="E208" s="1878">
        <v>33.380000000000003</v>
      </c>
      <c r="F208" s="1333">
        <v>1000</v>
      </c>
      <c r="G208" s="1333">
        <v>1000</v>
      </c>
      <c r="H208" s="1958">
        <v>1000</v>
      </c>
      <c r="I208" s="1070">
        <v>1000</v>
      </c>
      <c r="J208" s="1070">
        <v>1000</v>
      </c>
      <c r="L208" s="50"/>
      <c r="M208" s="50"/>
      <c r="N208" s="50"/>
    </row>
    <row r="209" spans="1:15" x14ac:dyDescent="0.2">
      <c r="A209" s="914">
        <v>642</v>
      </c>
      <c r="B209" s="1074" t="s">
        <v>99</v>
      </c>
      <c r="C209" s="914" t="s">
        <v>874</v>
      </c>
      <c r="D209" s="1333">
        <v>0</v>
      </c>
      <c r="E209" s="1878">
        <v>0</v>
      </c>
      <c r="F209" s="1333">
        <v>0</v>
      </c>
      <c r="G209" s="1333"/>
      <c r="H209" s="1958">
        <v>0</v>
      </c>
      <c r="I209" s="1076">
        <v>0</v>
      </c>
      <c r="J209" s="1070">
        <v>0</v>
      </c>
      <c r="L209" s="50"/>
      <c r="M209" s="50"/>
      <c r="N209" s="50"/>
      <c r="O209" s="507"/>
    </row>
    <row r="210" spans="1:15" x14ac:dyDescent="0.2">
      <c r="A210" s="914">
        <v>642</v>
      </c>
      <c r="B210" s="1074" t="s">
        <v>483</v>
      </c>
      <c r="C210" s="914" t="s">
        <v>297</v>
      </c>
      <c r="D210" s="1525">
        <v>0</v>
      </c>
      <c r="E210" s="1884">
        <v>0</v>
      </c>
      <c r="F210" s="20"/>
      <c r="G210" s="1333">
        <v>0</v>
      </c>
      <c r="H210" s="1959"/>
      <c r="I210" s="16"/>
      <c r="J210" s="1076">
        <v>0</v>
      </c>
    </row>
    <row r="211" spans="1:15" s="17" customFormat="1" ht="12.75" customHeight="1" x14ac:dyDescent="0.2">
      <c r="A211" s="1550" t="s">
        <v>527</v>
      </c>
      <c r="B211" s="1587"/>
      <c r="C211" s="1587"/>
      <c r="D211" s="1536">
        <f>D212+D214+D218+D216+D217+D220+D219+D213</f>
        <v>19199</v>
      </c>
      <c r="E211" s="1808">
        <f t="shared" ref="E211:I211" si="43">E212+E214+E218+E216+E217+E220+E219+E213</f>
        <v>18516.2</v>
      </c>
      <c r="F211" s="1930">
        <f t="shared" si="43"/>
        <v>19250</v>
      </c>
      <c r="G211" s="1930">
        <f>G212+G214+G218+G216+G217+G220+G219</f>
        <v>19800</v>
      </c>
      <c r="H211" s="1536">
        <f t="shared" si="43"/>
        <v>19950</v>
      </c>
      <c r="I211" s="1536">
        <f t="shared" si="43"/>
        <v>19950</v>
      </c>
      <c r="J211" s="1536">
        <f>J212+J214+J218+J216+J217+J219+J220</f>
        <v>19950</v>
      </c>
      <c r="K211" s="491"/>
      <c r="L211" s="471"/>
      <c r="M211" s="471"/>
      <c r="N211" s="471"/>
      <c r="O211" s="483"/>
    </row>
    <row r="212" spans="1:15" x14ac:dyDescent="0.2">
      <c r="A212" s="1074">
        <v>610</v>
      </c>
      <c r="B212" s="1074"/>
      <c r="C212" s="1294" t="s">
        <v>441</v>
      </c>
      <c r="D212" s="1333">
        <v>12150</v>
      </c>
      <c r="E212" s="1878">
        <v>13702.44</v>
      </c>
      <c r="F212" s="1333">
        <v>14000</v>
      </c>
      <c r="G212" s="1333">
        <v>14350</v>
      </c>
      <c r="H212" s="1310">
        <v>14500</v>
      </c>
      <c r="I212" s="1333">
        <v>14500</v>
      </c>
      <c r="J212" s="1333">
        <v>14500</v>
      </c>
      <c r="L212" s="58"/>
      <c r="M212" s="50"/>
      <c r="N212" s="50"/>
    </row>
    <row r="213" spans="1:15" s="20" customFormat="1" x14ac:dyDescent="0.2">
      <c r="A213" s="1563">
        <v>610</v>
      </c>
      <c r="B213" s="1563"/>
      <c r="C213" s="1564" t="s">
        <v>796</v>
      </c>
      <c r="D213" s="1333">
        <v>0</v>
      </c>
      <c r="E213" s="1878">
        <v>0</v>
      </c>
      <c r="F213" s="1333">
        <v>0</v>
      </c>
      <c r="G213" s="1333">
        <v>0</v>
      </c>
      <c r="H213" s="1310">
        <v>0</v>
      </c>
      <c r="I213" s="1333">
        <v>0</v>
      </c>
      <c r="J213" s="1333">
        <v>0</v>
      </c>
      <c r="L213" s="509"/>
      <c r="M213" s="469"/>
      <c r="N213" s="518"/>
      <c r="O213" s="16"/>
    </row>
    <row r="214" spans="1:15" ht="12.75" customHeight="1" x14ac:dyDescent="0.2">
      <c r="A214" s="1074">
        <v>620</v>
      </c>
      <c r="B214" s="1074"/>
      <c r="C214" s="914" t="s">
        <v>188</v>
      </c>
      <c r="D214" s="1333">
        <v>5000</v>
      </c>
      <c r="E214" s="1878">
        <v>4813.76</v>
      </c>
      <c r="F214" s="1333">
        <v>5000</v>
      </c>
      <c r="G214" s="1333">
        <v>5200</v>
      </c>
      <c r="H214" s="1310">
        <v>5200</v>
      </c>
      <c r="I214" s="1333">
        <v>5200</v>
      </c>
      <c r="J214" s="1333">
        <v>5200</v>
      </c>
      <c r="L214" s="50"/>
      <c r="M214" s="50"/>
      <c r="N214" s="50"/>
    </row>
    <row r="215" spans="1:15" ht="12.75" customHeight="1" x14ac:dyDescent="0.2">
      <c r="A215" s="1563">
        <v>620</v>
      </c>
      <c r="B215" s="1563"/>
      <c r="C215" s="1571" t="s">
        <v>528</v>
      </c>
      <c r="D215" s="1333">
        <v>0</v>
      </c>
      <c r="E215" s="1878">
        <v>0</v>
      </c>
      <c r="F215" s="1333">
        <v>0</v>
      </c>
      <c r="G215" s="1333">
        <v>0</v>
      </c>
      <c r="H215" s="1310">
        <v>0</v>
      </c>
      <c r="I215" s="1333">
        <v>0</v>
      </c>
      <c r="J215" s="1333">
        <v>0</v>
      </c>
      <c r="L215" s="509"/>
      <c r="M215" s="469"/>
      <c r="N215" s="518"/>
    </row>
    <row r="216" spans="1:15" ht="12.75" customHeight="1" x14ac:dyDescent="0.2">
      <c r="A216" s="1074">
        <v>632</v>
      </c>
      <c r="B216" s="1074"/>
      <c r="C216" s="914" t="s">
        <v>640</v>
      </c>
      <c r="D216" s="1333">
        <v>100</v>
      </c>
      <c r="E216" s="1878">
        <v>0</v>
      </c>
      <c r="F216" s="1333">
        <v>100</v>
      </c>
      <c r="G216" s="1333">
        <v>100</v>
      </c>
      <c r="H216" s="1310">
        <v>100</v>
      </c>
      <c r="I216" s="1333">
        <v>100</v>
      </c>
      <c r="J216" s="1333">
        <v>100</v>
      </c>
      <c r="L216" s="509"/>
      <c r="M216" s="469"/>
      <c r="N216" s="518"/>
    </row>
    <row r="217" spans="1:15" ht="12.75" customHeight="1" x14ac:dyDescent="0.2">
      <c r="A217" s="1563">
        <v>633</v>
      </c>
      <c r="B217" s="1563"/>
      <c r="C217" s="1571" t="s">
        <v>529</v>
      </c>
      <c r="D217" s="1333">
        <v>0</v>
      </c>
      <c r="E217" s="1878">
        <v>0</v>
      </c>
      <c r="F217" s="1333">
        <v>0</v>
      </c>
      <c r="G217" s="1333">
        <v>0</v>
      </c>
      <c r="H217" s="1310">
        <v>0</v>
      </c>
      <c r="I217" s="1333">
        <v>0</v>
      </c>
      <c r="J217" s="1333">
        <v>0</v>
      </c>
      <c r="L217" s="509"/>
      <c r="M217" s="469"/>
      <c r="N217" s="519"/>
    </row>
    <row r="218" spans="1:15" x14ac:dyDescent="0.2">
      <c r="A218" s="1074">
        <v>633</v>
      </c>
      <c r="B218" s="1563"/>
      <c r="C218" s="914" t="s">
        <v>241</v>
      </c>
      <c r="D218" s="1333">
        <v>150</v>
      </c>
      <c r="E218" s="1878">
        <v>0</v>
      </c>
      <c r="F218" s="1333">
        <v>150</v>
      </c>
      <c r="G218" s="1333">
        <v>150</v>
      </c>
      <c r="H218" s="1310">
        <v>150</v>
      </c>
      <c r="I218" s="1333">
        <v>150</v>
      </c>
      <c r="J218" s="1333">
        <v>150</v>
      </c>
      <c r="L218" s="50"/>
      <c r="M218" s="50"/>
      <c r="N218" s="50"/>
    </row>
    <row r="219" spans="1:15" x14ac:dyDescent="0.2">
      <c r="A219" s="1074">
        <v>634</v>
      </c>
      <c r="B219" s="1074"/>
      <c r="C219" s="914" t="s">
        <v>196</v>
      </c>
      <c r="D219" s="1333">
        <v>0</v>
      </c>
      <c r="E219" s="1878">
        <v>0</v>
      </c>
      <c r="F219" s="1333">
        <v>0</v>
      </c>
      <c r="G219" s="1333">
        <v>0</v>
      </c>
      <c r="H219" s="1310">
        <v>0</v>
      </c>
      <c r="I219" s="1333">
        <v>0</v>
      </c>
      <c r="J219" s="1333">
        <v>0</v>
      </c>
      <c r="L219" s="50"/>
      <c r="M219" s="50"/>
      <c r="N219" s="50"/>
    </row>
    <row r="220" spans="1:15" x14ac:dyDescent="0.2">
      <c r="A220" s="1074">
        <v>642</v>
      </c>
      <c r="B220" s="1074"/>
      <c r="C220" s="914" t="s">
        <v>859</v>
      </c>
      <c r="D220" s="1333">
        <v>1799</v>
      </c>
      <c r="E220" s="1801"/>
      <c r="F220" s="1333">
        <v>0</v>
      </c>
      <c r="G220" s="1333">
        <v>0</v>
      </c>
      <c r="H220" s="1310"/>
      <c r="I220" s="1333"/>
      <c r="J220" s="1333"/>
      <c r="L220" s="50"/>
      <c r="M220" s="50"/>
      <c r="N220" s="50"/>
    </row>
    <row r="221" spans="1:15" hidden="1" x14ac:dyDescent="0.2">
      <c r="A221" s="1286"/>
      <c r="B221" s="1286"/>
      <c r="C221" s="1287"/>
      <c r="D221" s="1598"/>
      <c r="E221" s="1811"/>
      <c r="F221" s="1322"/>
      <c r="G221" s="1322"/>
      <c r="H221" s="1598"/>
      <c r="I221" s="1598"/>
      <c r="J221" s="1598"/>
    </row>
    <row r="222" spans="1:15" s="92" customFormat="1" ht="11.25" x14ac:dyDescent="0.2">
      <c r="A222" s="1550" t="s">
        <v>530</v>
      </c>
      <c r="B222" s="1550"/>
      <c r="C222" s="1550"/>
      <c r="D222" s="1536">
        <f t="shared" ref="D222:I222" si="44">SUM(D223,D224)</f>
        <v>3000</v>
      </c>
      <c r="E222" s="1808">
        <f>SUM(E223,E224)</f>
        <v>2292</v>
      </c>
      <c r="F222" s="1926">
        <f>SUM(F223,F224)</f>
        <v>2000</v>
      </c>
      <c r="G222" s="1926">
        <f>SUM(G223,G224)</f>
        <v>3500</v>
      </c>
      <c r="H222" s="1536">
        <f t="shared" si="44"/>
        <v>5000</v>
      </c>
      <c r="I222" s="1536">
        <f t="shared" si="44"/>
        <v>5000</v>
      </c>
      <c r="J222" s="1536">
        <f t="shared" ref="J222" si="45">SUM(J223,J224)</f>
        <v>5000</v>
      </c>
      <c r="K222" s="498"/>
      <c r="L222" s="491"/>
      <c r="M222" s="491"/>
      <c r="N222" s="491"/>
    </row>
    <row r="223" spans="1:15" x14ac:dyDescent="0.2">
      <c r="A223" s="1074">
        <v>637</v>
      </c>
      <c r="B223" s="1074"/>
      <c r="C223" s="914" t="s">
        <v>202</v>
      </c>
      <c r="D223" s="1071">
        <v>0</v>
      </c>
      <c r="E223" s="1301">
        <v>0</v>
      </c>
      <c r="F223" s="1333">
        <v>0</v>
      </c>
      <c r="G223" s="1333">
        <f>-H223</f>
        <v>0</v>
      </c>
      <c r="H223" s="1958">
        <v>0</v>
      </c>
      <c r="I223" s="1070">
        <v>0</v>
      </c>
      <c r="J223" s="1070">
        <v>0</v>
      </c>
      <c r="L223" s="50"/>
      <c r="M223" s="50"/>
      <c r="N223" s="50"/>
    </row>
    <row r="224" spans="1:15" x14ac:dyDescent="0.2">
      <c r="A224" s="1074">
        <v>637</v>
      </c>
      <c r="B224" s="1074" t="s">
        <v>117</v>
      </c>
      <c r="C224" s="914" t="s">
        <v>315</v>
      </c>
      <c r="D224" s="1071">
        <v>3000</v>
      </c>
      <c r="E224" s="1886">
        <v>2292</v>
      </c>
      <c r="F224" s="1333">
        <v>2000</v>
      </c>
      <c r="G224" s="1333">
        <v>3500</v>
      </c>
      <c r="H224" s="1958">
        <v>5000</v>
      </c>
      <c r="I224" s="1070">
        <v>5000</v>
      </c>
      <c r="J224" s="1070">
        <v>5000</v>
      </c>
      <c r="L224" s="506"/>
      <c r="M224" s="50"/>
      <c r="N224" s="50"/>
    </row>
    <row r="225" spans="1:15" hidden="1" x14ac:dyDescent="0.2">
      <c r="A225" s="1286"/>
      <c r="B225" s="1286"/>
      <c r="C225" s="1287"/>
      <c r="D225" s="1097"/>
      <c r="E225" s="1754"/>
      <c r="F225" s="1322"/>
      <c r="G225" s="1322"/>
      <c r="H225" s="1076"/>
      <c r="I225" s="1076"/>
      <c r="J225" s="1076"/>
    </row>
    <row r="226" spans="1:15" s="92" customFormat="1" ht="11.25" x14ac:dyDescent="0.2">
      <c r="A226" s="1550" t="s">
        <v>531</v>
      </c>
      <c r="B226" s="1550"/>
      <c r="C226" s="1550"/>
      <c r="D226" s="1536">
        <f>SUM(D227,D719)+D228</f>
        <v>3000</v>
      </c>
      <c r="E226" s="1808">
        <f>E227+E228</f>
        <v>1925.14</v>
      </c>
      <c r="F226" s="1926">
        <f>SUM(F227:F229)</f>
        <v>3000</v>
      </c>
      <c r="G226" s="1926">
        <f>G227+G228</f>
        <v>4242</v>
      </c>
      <c r="H226" s="1536">
        <f>H228+H229</f>
        <v>6458</v>
      </c>
      <c r="I226" s="1536">
        <f>SUM(I227,I719)+I228</f>
        <v>7000</v>
      </c>
      <c r="J226" s="1536">
        <f>SUM(J227,J719)+J228</f>
        <v>7000</v>
      </c>
      <c r="K226" s="498"/>
      <c r="L226" s="471"/>
      <c r="M226" s="471"/>
      <c r="N226" s="471"/>
    </row>
    <row r="227" spans="1:15" x14ac:dyDescent="0.2">
      <c r="A227" s="1074">
        <v>633</v>
      </c>
      <c r="B227" s="1074"/>
      <c r="C227" s="914" t="s">
        <v>194</v>
      </c>
      <c r="D227" s="1070">
        <v>0</v>
      </c>
      <c r="E227" s="1301"/>
      <c r="F227" s="1333"/>
      <c r="G227" s="1333"/>
      <c r="H227" s="1322"/>
      <c r="I227" s="1070"/>
      <c r="J227" s="1070"/>
      <c r="K227" s="48"/>
      <c r="L227" s="50"/>
      <c r="M227" s="50"/>
      <c r="N227" s="50"/>
    </row>
    <row r="228" spans="1:15" s="33" customFormat="1" x14ac:dyDescent="0.2">
      <c r="A228" s="1074">
        <v>635</v>
      </c>
      <c r="B228" s="1074" t="s">
        <v>122</v>
      </c>
      <c r="C228" s="914" t="s">
        <v>350</v>
      </c>
      <c r="D228" s="1076">
        <v>3000</v>
      </c>
      <c r="E228" s="1886">
        <v>1925.14</v>
      </c>
      <c r="F228" s="1333">
        <v>3000</v>
      </c>
      <c r="G228" s="1333">
        <v>4242</v>
      </c>
      <c r="H228" s="1322">
        <v>5000</v>
      </c>
      <c r="I228" s="1070">
        <v>5000</v>
      </c>
      <c r="J228" s="1070">
        <v>5000</v>
      </c>
      <c r="K228" s="48"/>
      <c r="L228" s="490"/>
      <c r="M228" s="50"/>
      <c r="N228" s="50"/>
      <c r="O228" s="16"/>
    </row>
    <row r="229" spans="1:15" s="33" customFormat="1" x14ac:dyDescent="0.2">
      <c r="A229" s="914">
        <v>635</v>
      </c>
      <c r="B229" s="1074"/>
      <c r="C229" s="2147" t="s">
        <v>1458</v>
      </c>
      <c r="H229" s="2152">
        <v>1458</v>
      </c>
      <c r="K229" s="20"/>
      <c r="L229" s="58"/>
      <c r="M229" s="50"/>
      <c r="N229" s="50"/>
      <c r="O229" s="16"/>
    </row>
    <row r="230" spans="1:15" s="33" customFormat="1" hidden="1" x14ac:dyDescent="0.2">
      <c r="A230" s="1287"/>
      <c r="B230" s="1286"/>
      <c r="C230" s="1287"/>
      <c r="D230" s="1097"/>
      <c r="E230" s="1811"/>
      <c r="F230" s="1322"/>
      <c r="G230" s="1322"/>
      <c r="H230" s="1598"/>
      <c r="I230" s="1598"/>
      <c r="J230" s="1598"/>
      <c r="K230" s="20"/>
      <c r="L230" s="20"/>
      <c r="M230" s="20"/>
      <c r="N230" s="20"/>
      <c r="O230" s="16"/>
    </row>
    <row r="231" spans="1:15" s="92" customFormat="1" ht="11.25" x14ac:dyDescent="0.2">
      <c r="A231" s="1550" t="s">
        <v>532</v>
      </c>
      <c r="B231" s="1550"/>
      <c r="C231" s="1550"/>
      <c r="D231" s="1536">
        <f t="shared" ref="D231:J231" si="46">SUM(D232)</f>
        <v>0</v>
      </c>
      <c r="E231" s="1808">
        <f t="shared" si="46"/>
        <v>0</v>
      </c>
      <c r="F231" s="1931">
        <v>0</v>
      </c>
      <c r="G231" s="1931"/>
      <c r="H231" s="1536">
        <f t="shared" si="46"/>
        <v>0</v>
      </c>
      <c r="I231" s="1536">
        <f t="shared" si="46"/>
        <v>0</v>
      </c>
      <c r="J231" s="1536">
        <f t="shared" si="46"/>
        <v>0</v>
      </c>
      <c r="K231" s="498"/>
      <c r="L231" s="491"/>
      <c r="M231" s="491"/>
      <c r="N231" s="491"/>
    </row>
    <row r="232" spans="1:15" x14ac:dyDescent="0.2">
      <c r="A232" s="1074">
        <v>637</v>
      </c>
      <c r="B232" s="1074"/>
      <c r="C232" s="914" t="s">
        <v>202</v>
      </c>
      <c r="D232" s="1070">
        <v>0</v>
      </c>
      <c r="E232" s="1301">
        <v>0</v>
      </c>
      <c r="F232" s="1333">
        <v>0</v>
      </c>
      <c r="G232" s="1333"/>
      <c r="H232" s="1953">
        <v>0</v>
      </c>
      <c r="I232" s="1070">
        <v>0</v>
      </c>
      <c r="J232" s="1070">
        <v>0</v>
      </c>
      <c r="L232" s="50"/>
      <c r="M232" s="50"/>
      <c r="N232" s="50"/>
    </row>
    <row r="233" spans="1:15" x14ac:dyDescent="0.2">
      <c r="A233" s="1074">
        <v>637</v>
      </c>
      <c r="B233" s="1074" t="s">
        <v>117</v>
      </c>
      <c r="C233" s="914" t="s">
        <v>315</v>
      </c>
      <c r="D233" s="1070">
        <v>0</v>
      </c>
      <c r="E233" s="1301">
        <v>0</v>
      </c>
      <c r="F233" s="1333">
        <v>0</v>
      </c>
      <c r="G233" s="1333"/>
      <c r="H233" s="1953">
        <v>0</v>
      </c>
      <c r="I233" s="1070">
        <v>0</v>
      </c>
      <c r="J233" s="1070">
        <v>0</v>
      </c>
      <c r="L233" s="506"/>
      <c r="M233" s="50"/>
      <c r="N233" s="50"/>
    </row>
    <row r="234" spans="1:15" x14ac:dyDescent="0.2">
      <c r="A234" s="1551" t="s">
        <v>533</v>
      </c>
      <c r="B234" s="1104"/>
      <c r="C234" s="1553" t="s">
        <v>534</v>
      </c>
      <c r="D234" s="1555">
        <f>D190+D211+D222+D226+D231</f>
        <v>160759</v>
      </c>
      <c r="E234" s="1807">
        <f>E231+E226+E222+E211+E190</f>
        <v>164630.05000000002</v>
      </c>
      <c r="F234" s="1321">
        <f>F231+F226+F222+F211+F190</f>
        <v>160550</v>
      </c>
      <c r="G234" s="1321">
        <f>G231+G226+G222+G211+G190</f>
        <v>170292</v>
      </c>
      <c r="H234" s="1555">
        <f>H190+H211+H222+H226+H231</f>
        <v>169958</v>
      </c>
      <c r="I234" s="1555">
        <f>I190+I211+I222+I226+I231</f>
        <v>171400</v>
      </c>
      <c r="J234" s="1555">
        <f>J190+J211+J222+J226+J231</f>
        <v>170500</v>
      </c>
      <c r="K234" s="499"/>
      <c r="L234" s="471"/>
      <c r="M234" s="471"/>
      <c r="N234" s="471"/>
      <c r="O234" s="507"/>
    </row>
    <row r="235" spans="1:15" x14ac:dyDescent="0.2">
      <c r="A235" s="502"/>
      <c r="B235" s="50"/>
      <c r="C235" s="88"/>
      <c r="D235" s="503"/>
      <c r="E235" s="503"/>
      <c r="F235" s="1277"/>
      <c r="G235" s="1277"/>
      <c r="H235" s="503"/>
      <c r="I235" s="504"/>
      <c r="J235" s="504"/>
    </row>
    <row r="236" spans="1:15" hidden="1" x14ac:dyDescent="0.2">
      <c r="A236" s="502"/>
      <c r="B236" s="50"/>
      <c r="C236" s="88"/>
      <c r="D236" s="503"/>
      <c r="E236" s="503"/>
      <c r="F236" s="1277"/>
      <c r="G236" s="1277"/>
      <c r="H236" s="503"/>
      <c r="I236" s="504"/>
      <c r="J236" s="504"/>
    </row>
    <row r="237" spans="1:15" x14ac:dyDescent="0.2">
      <c r="A237" s="502"/>
      <c r="B237" s="50"/>
      <c r="C237" s="88"/>
      <c r="D237" s="503"/>
      <c r="E237" s="503"/>
      <c r="F237" s="1277"/>
      <c r="G237" s="1277"/>
      <c r="H237" s="503"/>
      <c r="I237" s="504"/>
      <c r="J237" s="504"/>
    </row>
    <row r="238" spans="1:15" x14ac:dyDescent="0.2">
      <c r="A238" s="502"/>
      <c r="B238" s="50"/>
      <c r="C238" s="88"/>
      <c r="D238" s="503"/>
      <c r="E238" s="2407" t="s">
        <v>1464</v>
      </c>
      <c r="F238" s="2407"/>
      <c r="G238" s="2407"/>
      <c r="H238" s="2407"/>
      <c r="I238" s="2407"/>
      <c r="J238" s="1795"/>
      <c r="K238" s="86"/>
      <c r="L238" s="86"/>
      <c r="M238" s="86"/>
      <c r="N238" s="86"/>
    </row>
    <row r="239" spans="1:15" hidden="1" x14ac:dyDescent="0.2">
      <c r="A239" s="502"/>
      <c r="B239" s="50"/>
      <c r="C239" s="88"/>
      <c r="D239" s="503"/>
      <c r="E239" s="503"/>
      <c r="F239" s="1305"/>
      <c r="G239" s="1305"/>
      <c r="H239" s="503"/>
      <c r="I239" s="504"/>
      <c r="J239" s="504"/>
    </row>
    <row r="240" spans="1:15" s="497" customFormat="1" x14ac:dyDescent="0.2">
      <c r="A240" s="1544" t="s">
        <v>426</v>
      </c>
      <c r="B240" s="1545"/>
      <c r="C240" s="1546"/>
      <c r="D240" s="1548">
        <v>2022</v>
      </c>
      <c r="E240" s="1915" t="s">
        <v>983</v>
      </c>
      <c r="F240" s="1549">
        <v>2024</v>
      </c>
      <c r="G240" s="1549" t="s">
        <v>984</v>
      </c>
      <c r="H240" s="1724">
        <v>2025</v>
      </c>
      <c r="I240" s="1724">
        <v>2026</v>
      </c>
      <c r="J240" s="1724">
        <v>2027</v>
      </c>
      <c r="K240" s="495"/>
      <c r="L240" s="496"/>
      <c r="M240" s="467"/>
      <c r="N240" s="468"/>
    </row>
    <row r="241" spans="1:15" s="92" customFormat="1" ht="11.25" x14ac:dyDescent="0.2">
      <c r="A241" s="1550" t="s">
        <v>535</v>
      </c>
      <c r="B241" s="1550"/>
      <c r="C241" s="1550"/>
      <c r="D241" s="1536">
        <f>SUM(D247,D248,D252,D253,D254,D256)+D242+D244+D246+D258+D251</f>
        <v>123910</v>
      </c>
      <c r="E241" s="1808">
        <f>SUM(E247,E248,E252,E253,E254,E256)+E242+E244+E246+E258</f>
        <v>140482.74000000002</v>
      </c>
      <c r="F241" s="1926">
        <f t="shared" ref="F241:I241" si="47">SUM(F247,F248,F252,F253,F254,F256)+F242+F244+F246+F258</f>
        <v>130400</v>
      </c>
      <c r="G241" s="1926">
        <f>SUM(G247,G248,G252,G253,G254,G256)+G242+G244+G246+G258</f>
        <v>122393</v>
      </c>
      <c r="H241" s="1536">
        <f>SUM(H247,H248,H252,H253,H254,H256)+H242+H244+H246+H258+H255</f>
        <v>166300</v>
      </c>
      <c r="I241" s="1536">
        <f t="shared" si="47"/>
        <v>156300</v>
      </c>
      <c r="J241" s="1536">
        <f>SUM(J242:J258)-J249-J250</f>
        <v>152850</v>
      </c>
      <c r="K241" s="491"/>
      <c r="L241" s="471"/>
      <c r="M241" s="471"/>
      <c r="N241" s="471"/>
    </row>
    <row r="242" spans="1:15" s="92" customFormat="1" ht="11.25" x14ac:dyDescent="0.2">
      <c r="A242" s="1112">
        <v>610</v>
      </c>
      <c r="B242" s="1112"/>
      <c r="C242" s="1112" t="s">
        <v>641</v>
      </c>
      <c r="D242" s="1333">
        <v>35000</v>
      </c>
      <c r="E242" s="1878">
        <v>34532.699999999997</v>
      </c>
      <c r="F242" s="1333">
        <v>35000</v>
      </c>
      <c r="G242" s="1333">
        <v>36600</v>
      </c>
      <c r="H242" s="1322">
        <v>35000</v>
      </c>
      <c r="I242" s="1101">
        <v>35000</v>
      </c>
      <c r="J242" s="1101">
        <v>35000</v>
      </c>
      <c r="K242" s="491"/>
      <c r="L242" s="471"/>
      <c r="M242" s="471"/>
      <c r="N242" s="471"/>
    </row>
    <row r="243" spans="1:15" s="92" customFormat="1" ht="11.25" x14ac:dyDescent="0.2">
      <c r="A243" s="1599">
        <v>610</v>
      </c>
      <c r="B243" s="1599"/>
      <c r="C243" s="1599" t="s">
        <v>642</v>
      </c>
      <c r="D243" s="1529">
        <v>0</v>
      </c>
      <c r="E243" s="1803">
        <v>0</v>
      </c>
      <c r="F243" s="1333">
        <v>0</v>
      </c>
      <c r="G243" s="1333">
        <v>0</v>
      </c>
      <c r="H243" s="1322">
        <v>0</v>
      </c>
      <c r="I243" s="1193">
        <v>0</v>
      </c>
      <c r="J243" s="1193">
        <v>0</v>
      </c>
      <c r="K243" s="491"/>
      <c r="L243" s="471"/>
      <c r="M243" s="471"/>
      <c r="N243" s="471"/>
    </row>
    <row r="244" spans="1:15" s="92" customFormat="1" ht="11.25" x14ac:dyDescent="0.2">
      <c r="A244" s="1112">
        <v>620</v>
      </c>
      <c r="B244" s="1112"/>
      <c r="C244" s="1112" t="s">
        <v>643</v>
      </c>
      <c r="D244" s="1333">
        <v>12300</v>
      </c>
      <c r="E244" s="1878">
        <v>11941.32</v>
      </c>
      <c r="F244" s="1333">
        <v>12300</v>
      </c>
      <c r="G244" s="1333">
        <v>12450</v>
      </c>
      <c r="H244" s="1322">
        <v>12300</v>
      </c>
      <c r="I244" s="1101">
        <v>12300</v>
      </c>
      <c r="J244" s="1101">
        <v>12300</v>
      </c>
      <c r="K244" s="491"/>
      <c r="L244" s="471"/>
      <c r="M244" s="471"/>
      <c r="N244" s="471"/>
    </row>
    <row r="245" spans="1:15" s="92" customFormat="1" ht="11.25" x14ac:dyDescent="0.2">
      <c r="A245" s="1599">
        <v>620</v>
      </c>
      <c r="B245" s="1599"/>
      <c r="C245" s="1599" t="s">
        <v>642</v>
      </c>
      <c r="D245" s="1529">
        <v>0</v>
      </c>
      <c r="E245" s="1803">
        <v>0</v>
      </c>
      <c r="F245" s="1333">
        <v>0</v>
      </c>
      <c r="G245" s="1333">
        <v>0</v>
      </c>
      <c r="H245" s="1322">
        <v>0</v>
      </c>
      <c r="I245" s="1193">
        <v>0</v>
      </c>
      <c r="J245" s="1193">
        <v>0</v>
      </c>
      <c r="K245" s="491"/>
      <c r="L245" s="471"/>
      <c r="M245" s="471"/>
      <c r="N245" s="471"/>
    </row>
    <row r="246" spans="1:15" s="92" customFormat="1" ht="11.25" x14ac:dyDescent="0.2">
      <c r="A246" s="1112">
        <v>632</v>
      </c>
      <c r="B246" s="1112"/>
      <c r="C246" s="1112" t="s">
        <v>640</v>
      </c>
      <c r="D246" s="1333">
        <v>850</v>
      </c>
      <c r="E246" s="1878">
        <v>1349.17</v>
      </c>
      <c r="F246" s="1333">
        <v>1000</v>
      </c>
      <c r="G246" s="1333">
        <v>1000</v>
      </c>
      <c r="H246" s="1322">
        <v>1000</v>
      </c>
      <c r="I246" s="1101">
        <v>1000</v>
      </c>
      <c r="J246" s="1101">
        <v>550</v>
      </c>
      <c r="K246" s="491"/>
      <c r="L246" s="471"/>
      <c r="M246" s="471"/>
      <c r="N246" s="471"/>
    </row>
    <row r="247" spans="1:15" s="20" customFormat="1" x14ac:dyDescent="0.2">
      <c r="A247" s="1074">
        <v>633</v>
      </c>
      <c r="B247" s="1074"/>
      <c r="C247" s="914" t="s">
        <v>194</v>
      </c>
      <c r="D247" s="1333">
        <v>5500</v>
      </c>
      <c r="E247" s="1878">
        <v>1710.09</v>
      </c>
      <c r="F247" s="1333">
        <v>2000</v>
      </c>
      <c r="G247" s="1333">
        <v>2700</v>
      </c>
      <c r="H247" s="1322">
        <v>2000</v>
      </c>
      <c r="I247" s="1070">
        <v>2000</v>
      </c>
      <c r="J247" s="1070">
        <v>5500</v>
      </c>
      <c r="L247" s="50"/>
      <c r="M247" s="50"/>
      <c r="N247" s="50"/>
      <c r="O247" s="16"/>
    </row>
    <row r="248" spans="1:15" s="33" customFormat="1" x14ac:dyDescent="0.2">
      <c r="A248" s="1074">
        <v>634</v>
      </c>
      <c r="B248" s="1074"/>
      <c r="C248" s="914" t="s">
        <v>196</v>
      </c>
      <c r="D248" s="1333">
        <f>D249+D250</f>
        <v>22660</v>
      </c>
      <c r="E248" s="1878">
        <f>E249+E250+E251</f>
        <v>22962.230000000003</v>
      </c>
      <c r="F248" s="1333">
        <f>F249+F250+F251</f>
        <v>20000</v>
      </c>
      <c r="G248" s="1333">
        <f t="shared" ref="G248:I248" si="48">G249+G250+G251</f>
        <v>19543</v>
      </c>
      <c r="H248" s="1322">
        <f t="shared" si="48"/>
        <v>20000</v>
      </c>
      <c r="I248" s="1070">
        <f t="shared" si="48"/>
        <v>20000</v>
      </c>
      <c r="J248" s="1070">
        <f t="shared" ref="J248" si="49">J249+J250</f>
        <v>12000</v>
      </c>
      <c r="K248" s="20"/>
      <c r="L248" s="50"/>
      <c r="M248" s="50"/>
      <c r="N248" s="50"/>
      <c r="O248" s="16"/>
    </row>
    <row r="249" spans="1:15" x14ac:dyDescent="0.2">
      <c r="A249" s="1074">
        <v>634</v>
      </c>
      <c r="B249" s="1074" t="s">
        <v>91</v>
      </c>
      <c r="C249" s="914" t="s">
        <v>875</v>
      </c>
      <c r="D249" s="1529">
        <v>7500</v>
      </c>
      <c r="E249" s="1803">
        <v>8276.06</v>
      </c>
      <c r="F249" s="1529">
        <v>8000</v>
      </c>
      <c r="G249" s="1529">
        <v>8000</v>
      </c>
      <c r="H249" s="1960">
        <v>8000</v>
      </c>
      <c r="I249" s="1589">
        <v>8000</v>
      </c>
      <c r="J249" s="1589">
        <v>6000</v>
      </c>
      <c r="L249" s="506"/>
      <c r="M249" s="50"/>
      <c r="N249" s="50"/>
    </row>
    <row r="250" spans="1:15" x14ac:dyDescent="0.2">
      <c r="A250" s="1074">
        <v>634</v>
      </c>
      <c r="B250" s="1074" t="s">
        <v>94</v>
      </c>
      <c r="C250" s="914" t="s">
        <v>510</v>
      </c>
      <c r="D250" s="1529">
        <v>15160</v>
      </c>
      <c r="E250" s="1803">
        <v>12534.16</v>
      </c>
      <c r="F250" s="1529">
        <v>10000</v>
      </c>
      <c r="G250" s="1529">
        <v>10000</v>
      </c>
      <c r="H250" s="1960">
        <v>10000</v>
      </c>
      <c r="I250" s="1589">
        <v>10000</v>
      </c>
      <c r="J250" s="1589">
        <v>6000</v>
      </c>
      <c r="L250" s="506"/>
      <c r="M250" s="50"/>
      <c r="N250" s="50"/>
    </row>
    <row r="251" spans="1:15" x14ac:dyDescent="0.2">
      <c r="A251" s="1074">
        <v>634</v>
      </c>
      <c r="B251" s="1074" t="s">
        <v>108</v>
      </c>
      <c r="C251" s="914" t="s">
        <v>466</v>
      </c>
      <c r="D251" s="1525">
        <v>1500</v>
      </c>
      <c r="E251" s="1803">
        <v>2152.0100000000002</v>
      </c>
      <c r="F251" s="1333">
        <v>2000</v>
      </c>
      <c r="G251" s="1333">
        <v>1543</v>
      </c>
      <c r="H251" s="1322">
        <v>2000</v>
      </c>
      <c r="I251" s="1076">
        <v>2000</v>
      </c>
      <c r="J251" s="1076">
        <v>1500</v>
      </c>
      <c r="L251" s="506"/>
      <c r="M251" s="50"/>
      <c r="N251" s="50"/>
    </row>
    <row r="252" spans="1:15" x14ac:dyDescent="0.2">
      <c r="A252" s="1074">
        <v>635</v>
      </c>
      <c r="B252" s="1074"/>
      <c r="C252" s="914" t="s">
        <v>288</v>
      </c>
      <c r="D252" s="1333">
        <v>100</v>
      </c>
      <c r="E252" s="1878">
        <v>0</v>
      </c>
      <c r="F252" s="1333">
        <v>100</v>
      </c>
      <c r="G252" s="1333">
        <v>100</v>
      </c>
      <c r="H252" s="1322">
        <v>1000</v>
      </c>
      <c r="I252" s="1070">
        <v>1000</v>
      </c>
      <c r="J252" s="1070">
        <v>1000</v>
      </c>
      <c r="L252" s="501"/>
      <c r="M252" s="50"/>
      <c r="N252" s="50"/>
    </row>
    <row r="253" spans="1:15" x14ac:dyDescent="0.2">
      <c r="A253" s="1074">
        <v>636</v>
      </c>
      <c r="B253" s="1074"/>
      <c r="C253" s="914" t="s">
        <v>536</v>
      </c>
      <c r="D253" s="1333">
        <v>0</v>
      </c>
      <c r="E253" s="1878">
        <v>444</v>
      </c>
      <c r="F253" s="1333">
        <v>0</v>
      </c>
      <c r="G253" s="1333">
        <v>0</v>
      </c>
      <c r="H253" s="1322">
        <v>0</v>
      </c>
      <c r="I253" s="1070">
        <v>0</v>
      </c>
      <c r="J253" s="1070">
        <v>0</v>
      </c>
      <c r="L253" s="50"/>
      <c r="M253" s="50"/>
      <c r="N253" s="50"/>
    </row>
    <row r="254" spans="1:15" x14ac:dyDescent="0.2">
      <c r="A254" s="1074">
        <v>637</v>
      </c>
      <c r="B254" s="1074"/>
      <c r="C254" s="1294" t="s">
        <v>823</v>
      </c>
      <c r="D254" s="1333">
        <v>41000</v>
      </c>
      <c r="E254" s="1878">
        <v>59236.39</v>
      </c>
      <c r="F254" s="1333">
        <v>55000</v>
      </c>
      <c r="G254" s="1333">
        <v>45000</v>
      </c>
      <c r="H254" s="1322">
        <v>80000</v>
      </c>
      <c r="I254" s="1070">
        <v>80000</v>
      </c>
      <c r="J254" s="1070">
        <v>80000</v>
      </c>
      <c r="L254" s="58"/>
      <c r="M254" s="50"/>
      <c r="N254" s="50"/>
    </row>
    <row r="255" spans="1:15" x14ac:dyDescent="0.2">
      <c r="A255" s="1074"/>
      <c r="B255" s="1074"/>
      <c r="C255" s="2143" t="s">
        <v>1457</v>
      </c>
      <c r="D255" s="1333"/>
      <c r="E255" s="1878"/>
      <c r="F255" s="1333"/>
      <c r="G255" s="1333"/>
      <c r="H255" s="1322">
        <v>10000</v>
      </c>
      <c r="I255" s="1070"/>
      <c r="J255" s="1070"/>
      <c r="L255" s="58"/>
      <c r="M255" s="50"/>
      <c r="N255" s="50"/>
    </row>
    <row r="256" spans="1:15" x14ac:dyDescent="0.2">
      <c r="A256" s="1074">
        <v>637</v>
      </c>
      <c r="B256" s="1074"/>
      <c r="C256" s="914" t="s">
        <v>824</v>
      </c>
      <c r="D256" s="1333">
        <v>5000</v>
      </c>
      <c r="E256" s="1878">
        <v>8306.84</v>
      </c>
      <c r="F256" s="1333">
        <v>5000</v>
      </c>
      <c r="G256" s="1333">
        <v>5000</v>
      </c>
      <c r="H256" s="1322">
        <v>5000</v>
      </c>
      <c r="I256" s="1070">
        <v>5000</v>
      </c>
      <c r="J256" s="1070">
        <v>5000</v>
      </c>
      <c r="L256" s="58"/>
      <c r="M256" s="488"/>
      <c r="N256" s="50"/>
    </row>
    <row r="257" spans="1:15" hidden="1" x14ac:dyDescent="0.2">
      <c r="A257" s="1600"/>
      <c r="B257" s="1600"/>
      <c r="C257" s="1600"/>
      <c r="D257" s="1525"/>
      <c r="E257" s="1805"/>
      <c r="F257" s="1525"/>
      <c r="G257" s="1525"/>
      <c r="H257" s="1322"/>
      <c r="I257" s="1194"/>
      <c r="J257" s="1194"/>
    </row>
    <row r="258" spans="1:15" x14ac:dyDescent="0.2">
      <c r="A258" s="1288">
        <v>637</v>
      </c>
      <c r="B258" s="1288">
        <v>642</v>
      </c>
      <c r="C258" s="1288" t="s">
        <v>674</v>
      </c>
      <c r="D258" s="1525">
        <v>0</v>
      </c>
      <c r="E258" s="1805">
        <v>0</v>
      </c>
      <c r="F258" s="1333">
        <v>0</v>
      </c>
      <c r="G258" s="1333">
        <v>0</v>
      </c>
      <c r="H258" s="1322">
        <v>0</v>
      </c>
      <c r="I258" s="1196">
        <v>0</v>
      </c>
      <c r="J258" s="1196">
        <v>0</v>
      </c>
    </row>
    <row r="259" spans="1:15" hidden="1" x14ac:dyDescent="0.2">
      <c r="A259" s="914"/>
      <c r="B259" s="914"/>
      <c r="C259" s="914"/>
      <c r="D259" s="1115"/>
      <c r="E259" s="1806"/>
      <c r="F259" s="1322"/>
      <c r="G259" s="1322"/>
      <c r="H259" s="1115"/>
      <c r="I259" s="1115"/>
      <c r="J259" s="1115"/>
    </row>
    <row r="260" spans="1:15" s="92" customFormat="1" ht="11.25" x14ac:dyDescent="0.2">
      <c r="A260" s="1550" t="s">
        <v>538</v>
      </c>
      <c r="B260" s="1550"/>
      <c r="C260" s="1550"/>
      <c r="D260" s="1536">
        <f>SUM(D261,D262,D263,D265,D266,D271,D274,D270)+D269+D273</f>
        <v>15345</v>
      </c>
      <c r="E260" s="1808">
        <f t="shared" ref="E260:I260" si="50">SUM(E261,E262,E263,E265,E266,E271,E270)+E269+E274+E273</f>
        <v>10543.439999999999</v>
      </c>
      <c r="F260" s="1930">
        <f t="shared" si="50"/>
        <v>6600</v>
      </c>
      <c r="G260" s="1930">
        <f>SUM(G261,G262,G263,G265,G266,G271,G270)+G269+G274+G273</f>
        <v>20979</v>
      </c>
      <c r="H260" s="1536">
        <f>SUM(H261,H262,H263,H265,H266,H271,H270)+H269+H274+H273</f>
        <v>18100</v>
      </c>
      <c r="I260" s="1536">
        <f t="shared" si="50"/>
        <v>18100</v>
      </c>
      <c r="J260" s="1536">
        <f>SUM(J261,J262,J263,J265,J266,J271,J270)+J269+J273+J274</f>
        <v>18305</v>
      </c>
      <c r="K260" s="491"/>
      <c r="L260" s="471"/>
      <c r="M260" s="471"/>
      <c r="N260" s="471"/>
    </row>
    <row r="261" spans="1:15" s="20" customFormat="1" x14ac:dyDescent="0.2">
      <c r="A261" s="914">
        <v>610</v>
      </c>
      <c r="B261" s="914"/>
      <c r="C261" s="914" t="s">
        <v>441</v>
      </c>
      <c r="D261" s="1333">
        <v>0</v>
      </c>
      <c r="E261" s="1878">
        <v>0</v>
      </c>
      <c r="F261" s="1333">
        <v>0</v>
      </c>
      <c r="G261" s="1333">
        <v>0</v>
      </c>
      <c r="H261" s="1322"/>
      <c r="I261" s="1070"/>
      <c r="J261" s="1070"/>
      <c r="K261" s="48"/>
      <c r="L261" s="58"/>
      <c r="M261" s="50"/>
      <c r="N261" s="50"/>
      <c r="O261" s="16"/>
    </row>
    <row r="262" spans="1:15" s="33" customFormat="1" x14ac:dyDescent="0.2">
      <c r="A262" s="914">
        <v>620</v>
      </c>
      <c r="B262" s="914"/>
      <c r="C262" s="914" t="s">
        <v>188</v>
      </c>
      <c r="D262" s="1333">
        <v>0</v>
      </c>
      <c r="E262" s="1878">
        <v>0</v>
      </c>
      <c r="F262" s="1333">
        <v>0</v>
      </c>
      <c r="G262" s="1333">
        <v>0</v>
      </c>
      <c r="H262" s="1322"/>
      <c r="I262" s="1070"/>
      <c r="J262" s="1070"/>
      <c r="K262" s="48"/>
      <c r="L262" s="58"/>
      <c r="M262" s="50"/>
      <c r="N262" s="50"/>
      <c r="O262" s="16"/>
    </row>
    <row r="263" spans="1:15" s="33" customFormat="1" x14ac:dyDescent="0.2">
      <c r="A263" s="914">
        <v>632</v>
      </c>
      <c r="B263" s="1289"/>
      <c r="C263" s="914" t="s">
        <v>192</v>
      </c>
      <c r="D263" s="1333">
        <v>0</v>
      </c>
      <c r="E263" s="1878">
        <v>0</v>
      </c>
      <c r="F263" s="1333">
        <v>0</v>
      </c>
      <c r="G263" s="1333">
        <v>0</v>
      </c>
      <c r="H263" s="1322">
        <v>0</v>
      </c>
      <c r="I263" s="1070">
        <v>0</v>
      </c>
      <c r="J263" s="1070">
        <v>0</v>
      </c>
      <c r="K263" s="48"/>
      <c r="L263" s="58"/>
      <c r="M263" s="50"/>
      <c r="N263" s="50"/>
      <c r="O263" s="16"/>
    </row>
    <row r="264" spans="1:15" s="33" customFormat="1" hidden="1" x14ac:dyDescent="0.2">
      <c r="A264" s="1576"/>
      <c r="B264" s="1107"/>
      <c r="C264" s="1577"/>
      <c r="D264" s="1539"/>
      <c r="E264" s="1888"/>
      <c r="F264" s="1333"/>
      <c r="G264" s="1333"/>
      <c r="H264" s="1955"/>
      <c r="I264" s="1195"/>
      <c r="J264" s="1195"/>
      <c r="K264" s="48"/>
      <c r="L264" s="58"/>
      <c r="M264" s="50"/>
      <c r="N264" s="50"/>
      <c r="O264" s="16"/>
    </row>
    <row r="265" spans="1:15" s="33" customFormat="1" x14ac:dyDescent="0.2">
      <c r="A265" s="914">
        <v>633</v>
      </c>
      <c r="B265" s="1289"/>
      <c r="C265" s="914" t="s">
        <v>194</v>
      </c>
      <c r="D265" s="1333">
        <v>0</v>
      </c>
      <c r="E265" s="1878">
        <v>0</v>
      </c>
      <c r="F265" s="1333">
        <v>0</v>
      </c>
      <c r="G265" s="1333">
        <v>0</v>
      </c>
      <c r="H265" s="1322">
        <v>0</v>
      </c>
      <c r="I265" s="1070">
        <v>0</v>
      </c>
      <c r="J265" s="1070">
        <v>0</v>
      </c>
      <c r="K265" s="48"/>
      <c r="L265" s="50"/>
      <c r="M265" s="50"/>
      <c r="N265" s="50"/>
      <c r="O265" s="16"/>
    </row>
    <row r="266" spans="1:15" s="33" customFormat="1" x14ac:dyDescent="0.2">
      <c r="A266" s="914">
        <v>634</v>
      </c>
      <c r="B266" s="1289"/>
      <c r="C266" s="914" t="s">
        <v>539</v>
      </c>
      <c r="D266" s="1520">
        <f t="shared" ref="D266:G266" si="51">D267+D268</f>
        <v>12500</v>
      </c>
      <c r="E266" s="1896">
        <f t="shared" si="51"/>
        <v>9284.7999999999993</v>
      </c>
      <c r="F266" s="1333">
        <f t="shared" si="51"/>
        <v>6000</v>
      </c>
      <c r="G266" s="1333">
        <f t="shared" si="51"/>
        <v>3500</v>
      </c>
      <c r="H266" s="1322">
        <f>H267+H268</f>
        <v>4000</v>
      </c>
      <c r="I266" s="1601">
        <v>4000</v>
      </c>
      <c r="J266" s="1601">
        <v>4000</v>
      </c>
      <c r="K266" s="48"/>
      <c r="L266" s="58"/>
      <c r="M266" s="50"/>
      <c r="N266" s="50"/>
      <c r="O266" s="16"/>
    </row>
    <row r="267" spans="1:15" s="33" customFormat="1" x14ac:dyDescent="0.2">
      <c r="A267" s="914">
        <v>634</v>
      </c>
      <c r="B267" s="1289" t="s">
        <v>91</v>
      </c>
      <c r="C267" s="914" t="s">
        <v>876</v>
      </c>
      <c r="D267" s="1531">
        <v>6000</v>
      </c>
      <c r="E267" s="1897">
        <v>4086.66</v>
      </c>
      <c r="F267" s="1530">
        <v>3000</v>
      </c>
      <c r="G267" s="1530">
        <v>3000</v>
      </c>
      <c r="H267" s="1334">
        <v>3000</v>
      </c>
      <c r="I267" s="1602">
        <v>3000</v>
      </c>
      <c r="J267" s="1602">
        <v>1000</v>
      </c>
      <c r="K267" s="48"/>
      <c r="L267" s="58"/>
      <c r="M267" s="50"/>
      <c r="N267" s="50"/>
      <c r="O267" s="16"/>
    </row>
    <row r="268" spans="1:15" s="33" customFormat="1" x14ac:dyDescent="0.2">
      <c r="A268" s="914">
        <v>634</v>
      </c>
      <c r="B268" s="1289" t="s">
        <v>94</v>
      </c>
      <c r="C268" s="914" t="s">
        <v>540</v>
      </c>
      <c r="D268" s="1531">
        <v>6500</v>
      </c>
      <c r="E268" s="1897">
        <v>5198.1400000000003</v>
      </c>
      <c r="F268" s="1530">
        <v>3000</v>
      </c>
      <c r="G268" s="1530">
        <v>500</v>
      </c>
      <c r="H268" s="1334">
        <v>1000</v>
      </c>
      <c r="I268" s="1602">
        <v>1000</v>
      </c>
      <c r="J268" s="1602">
        <v>1000</v>
      </c>
      <c r="K268" s="48"/>
      <c r="L268" s="58"/>
      <c r="M268" s="50"/>
      <c r="N268" s="50"/>
      <c r="O268" s="16"/>
    </row>
    <row r="269" spans="1:15" s="33" customFormat="1" x14ac:dyDescent="0.2">
      <c r="A269" s="914">
        <v>634</v>
      </c>
      <c r="B269" s="1289" t="s">
        <v>89</v>
      </c>
      <c r="C269" s="914" t="s">
        <v>644</v>
      </c>
      <c r="D269" s="1525">
        <v>305</v>
      </c>
      <c r="E269" s="1884">
        <v>72</v>
      </c>
      <c r="F269" s="1525">
        <v>100</v>
      </c>
      <c r="G269" s="1525">
        <v>100</v>
      </c>
      <c r="H269" s="1322">
        <v>100</v>
      </c>
      <c r="I269" s="1076">
        <v>100</v>
      </c>
      <c r="J269" s="1076">
        <v>305</v>
      </c>
      <c r="K269" s="48"/>
      <c r="L269" s="58"/>
      <c r="M269" s="50"/>
      <c r="N269" s="50"/>
      <c r="O269" s="16"/>
    </row>
    <row r="270" spans="1:15" s="33" customFormat="1" x14ac:dyDescent="0.2">
      <c r="A270" s="914">
        <v>635</v>
      </c>
      <c r="B270" s="1289"/>
      <c r="C270" s="914" t="s">
        <v>541</v>
      </c>
      <c r="D270" s="1525">
        <v>500</v>
      </c>
      <c r="E270" s="1884">
        <v>0</v>
      </c>
      <c r="F270" s="1525">
        <v>500</v>
      </c>
      <c r="G270" s="1525">
        <v>11500</v>
      </c>
      <c r="H270" s="1322">
        <v>10000</v>
      </c>
      <c r="I270" s="1076">
        <v>10000</v>
      </c>
      <c r="J270" s="1076">
        <v>10000</v>
      </c>
      <c r="K270" s="48"/>
      <c r="L270" s="58"/>
      <c r="M270" s="50"/>
      <c r="N270" s="50"/>
      <c r="O270" s="16"/>
    </row>
    <row r="271" spans="1:15" s="33" customFormat="1" x14ac:dyDescent="0.2">
      <c r="A271" s="914">
        <v>637</v>
      </c>
      <c r="B271" s="1074"/>
      <c r="C271" s="914" t="s">
        <v>202</v>
      </c>
      <c r="D271" s="1333">
        <v>2040</v>
      </c>
      <c r="E271" s="1878">
        <v>586.64</v>
      </c>
      <c r="F271" s="1333">
        <v>0</v>
      </c>
      <c r="G271" s="1333">
        <v>657</v>
      </c>
      <c r="H271" s="1958">
        <v>0</v>
      </c>
      <c r="I271" s="1070">
        <v>0</v>
      </c>
      <c r="J271" s="1070">
        <v>0</v>
      </c>
      <c r="K271" s="20"/>
      <c r="L271" s="58"/>
      <c r="M271" s="50"/>
      <c r="N271" s="50"/>
      <c r="O271" s="16"/>
    </row>
    <row r="272" spans="1:15" s="33" customFormat="1" hidden="1" x14ac:dyDescent="0.2">
      <c r="A272" s="1287"/>
      <c r="B272" s="1286"/>
      <c r="C272" s="1287"/>
      <c r="D272" s="1525">
        <v>25200</v>
      </c>
      <c r="E272" s="1884">
        <v>25200</v>
      </c>
      <c r="F272" s="1333">
        <v>25200</v>
      </c>
      <c r="G272" s="1333">
        <v>25200</v>
      </c>
      <c r="H272" s="1322">
        <v>5000</v>
      </c>
      <c r="I272" s="1603">
        <v>5000</v>
      </c>
      <c r="J272" s="1603">
        <v>5000</v>
      </c>
      <c r="K272" s="20"/>
      <c r="L272" s="20"/>
      <c r="M272" s="20"/>
      <c r="N272" s="20"/>
      <c r="O272" s="16"/>
    </row>
    <row r="273" spans="1:15" s="33" customFormat="1" x14ac:dyDescent="0.2">
      <c r="A273" s="1287"/>
      <c r="B273" s="1286"/>
      <c r="C273" s="1112" t="s">
        <v>797</v>
      </c>
      <c r="D273" s="1525">
        <v>0</v>
      </c>
      <c r="E273" s="1884">
        <v>600</v>
      </c>
      <c r="F273" s="1333">
        <v>0</v>
      </c>
      <c r="G273" s="1333">
        <v>5222</v>
      </c>
      <c r="H273" s="1322">
        <v>4000</v>
      </c>
      <c r="I273" s="1076">
        <v>4000</v>
      </c>
      <c r="J273" s="1076">
        <v>4000</v>
      </c>
      <c r="K273" s="20"/>
      <c r="L273" s="20"/>
      <c r="M273" s="20"/>
      <c r="N273" s="20"/>
      <c r="O273" s="16"/>
    </row>
    <row r="274" spans="1:15" s="33" customFormat="1" x14ac:dyDescent="0.2">
      <c r="A274" s="914">
        <v>637</v>
      </c>
      <c r="B274" s="1074" t="s">
        <v>483</v>
      </c>
      <c r="C274" s="914" t="s">
        <v>484</v>
      </c>
      <c r="D274" s="1525"/>
      <c r="E274" s="1884">
        <v>0</v>
      </c>
      <c r="F274" s="1333"/>
      <c r="G274" s="1333"/>
      <c r="H274" s="1961"/>
      <c r="I274" s="1076"/>
      <c r="J274" s="1076"/>
      <c r="K274" s="20"/>
      <c r="L274" s="20"/>
      <c r="M274" s="20"/>
      <c r="N274" s="20"/>
      <c r="O274" s="16"/>
    </row>
    <row r="275" spans="1:15" s="33" customFormat="1" x14ac:dyDescent="0.2">
      <c r="A275" s="914">
        <v>642</v>
      </c>
      <c r="B275" s="1074" t="s">
        <v>100</v>
      </c>
      <c r="C275" s="914" t="s">
        <v>844</v>
      </c>
      <c r="D275" s="1525"/>
      <c r="E275" s="1884"/>
      <c r="F275" s="1525"/>
      <c r="G275" s="1525"/>
      <c r="H275" s="1961"/>
      <c r="I275" s="1076"/>
      <c r="J275" s="1076"/>
      <c r="K275" s="20"/>
      <c r="L275" s="20"/>
      <c r="M275" s="20"/>
      <c r="N275" s="20"/>
      <c r="O275" s="16"/>
    </row>
    <row r="276" spans="1:15" s="92" customFormat="1" ht="11.25" x14ac:dyDescent="0.2">
      <c r="A276" s="1550" t="s">
        <v>542</v>
      </c>
      <c r="B276" s="1550"/>
      <c r="C276" s="1550"/>
      <c r="D276" s="1536">
        <f t="shared" ref="D276:J276" si="52">SUM(D277)</f>
        <v>0</v>
      </c>
      <c r="E276" s="1808">
        <f t="shared" si="52"/>
        <v>0</v>
      </c>
      <c r="F276" s="1932">
        <f t="shared" si="52"/>
        <v>0</v>
      </c>
      <c r="G276" s="1932"/>
      <c r="H276" s="1536">
        <f t="shared" si="52"/>
        <v>0</v>
      </c>
      <c r="I276" s="1536">
        <f t="shared" si="52"/>
        <v>0</v>
      </c>
      <c r="J276" s="1536">
        <f t="shared" si="52"/>
        <v>0</v>
      </c>
      <c r="K276" s="491"/>
      <c r="L276" s="491"/>
      <c r="M276" s="491"/>
      <c r="N276" s="491"/>
    </row>
    <row r="277" spans="1:15" x14ac:dyDescent="0.2">
      <c r="A277" s="1074">
        <v>633</v>
      </c>
      <c r="B277" s="1074"/>
      <c r="C277" s="914" t="s">
        <v>314</v>
      </c>
      <c r="D277" s="1070">
        <v>0</v>
      </c>
      <c r="E277" s="1301">
        <v>0</v>
      </c>
      <c r="F277" s="1333">
        <v>0</v>
      </c>
      <c r="G277" s="1333"/>
      <c r="H277" s="1953">
        <v>0</v>
      </c>
      <c r="I277" s="1070">
        <v>0</v>
      </c>
      <c r="J277" s="1070">
        <v>0</v>
      </c>
      <c r="L277" s="50"/>
      <c r="M277" s="50"/>
      <c r="N277" s="50"/>
    </row>
    <row r="278" spans="1:15" x14ac:dyDescent="0.2">
      <c r="A278" s="1074">
        <v>637</v>
      </c>
      <c r="B278" s="1074" t="s">
        <v>117</v>
      </c>
      <c r="C278" s="914" t="s">
        <v>315</v>
      </c>
      <c r="D278" s="1070">
        <v>0</v>
      </c>
      <c r="E278" s="1301">
        <v>0</v>
      </c>
      <c r="F278" s="1333">
        <v>0</v>
      </c>
      <c r="G278" s="1333"/>
      <c r="H278" s="1953">
        <v>0</v>
      </c>
      <c r="I278" s="1070">
        <v>0</v>
      </c>
      <c r="J278" s="1070">
        <v>0</v>
      </c>
      <c r="L278" s="506"/>
      <c r="M278" s="521"/>
      <c r="N278" s="50"/>
    </row>
    <row r="279" spans="1:15" x14ac:dyDescent="0.2">
      <c r="A279" s="1551" t="s">
        <v>543</v>
      </c>
      <c r="B279" s="1104"/>
      <c r="C279" s="1553" t="s">
        <v>312</v>
      </c>
      <c r="D279" s="1555">
        <f t="shared" ref="D279:I279" si="53">D241+D260+D276</f>
        <v>139255</v>
      </c>
      <c r="E279" s="1807">
        <f t="shared" si="53"/>
        <v>151026.18000000002</v>
      </c>
      <c r="F279" s="1321">
        <f t="shared" si="53"/>
        <v>137000</v>
      </c>
      <c r="G279" s="1321">
        <f t="shared" si="53"/>
        <v>143372</v>
      </c>
      <c r="H279" s="1555">
        <f t="shared" si="53"/>
        <v>184400</v>
      </c>
      <c r="I279" s="1555">
        <f t="shared" si="53"/>
        <v>174400</v>
      </c>
      <c r="J279" s="1555">
        <f t="shared" ref="J279" si="54">J241+J260+J276</f>
        <v>171155</v>
      </c>
      <c r="K279" s="522"/>
      <c r="L279" s="471"/>
      <c r="M279" s="471"/>
      <c r="N279" s="471"/>
    </row>
    <row r="280" spans="1:15" hidden="1" x14ac:dyDescent="0.2">
      <c r="A280" s="502"/>
      <c r="B280" s="50"/>
      <c r="C280" s="88"/>
      <c r="D280" s="503"/>
      <c r="E280" s="503"/>
      <c r="F280" s="1305"/>
      <c r="G280" s="1305"/>
      <c r="H280" s="503"/>
      <c r="I280" s="504"/>
      <c r="J280" s="504"/>
    </row>
    <row r="281" spans="1:15" hidden="1" x14ac:dyDescent="0.2">
      <c r="A281" s="502"/>
      <c r="B281" s="50"/>
      <c r="C281" s="88"/>
      <c r="D281" s="503"/>
      <c r="E281" s="503"/>
      <c r="F281" s="1305"/>
      <c r="G281" s="1305"/>
      <c r="H281" s="503"/>
      <c r="I281" s="504"/>
      <c r="J281" s="504"/>
    </row>
    <row r="282" spans="1:15" x14ac:dyDescent="0.2">
      <c r="A282" s="502"/>
      <c r="B282" s="50"/>
      <c r="C282" s="88"/>
      <c r="D282" s="503"/>
      <c r="E282" s="503"/>
      <c r="F282" s="1277"/>
      <c r="G282" s="1277"/>
      <c r="H282" s="503"/>
      <c r="I282" s="504"/>
      <c r="J282" s="504"/>
    </row>
    <row r="283" spans="1:15" x14ac:dyDescent="0.2">
      <c r="A283" s="502"/>
      <c r="B283" s="50"/>
      <c r="C283" s="88"/>
      <c r="D283" s="503"/>
      <c r="E283" s="503"/>
      <c r="F283" s="1277"/>
      <c r="G283" s="1277"/>
      <c r="H283" s="503"/>
      <c r="I283" s="504"/>
      <c r="J283" s="504"/>
    </row>
    <row r="284" spans="1:15" x14ac:dyDescent="0.2">
      <c r="A284" s="502"/>
      <c r="B284" s="50"/>
      <c r="C284" s="88"/>
      <c r="D284" s="503"/>
      <c r="E284" s="2407" t="s">
        <v>1465</v>
      </c>
      <c r="F284" s="2407"/>
      <c r="G284" s="2407"/>
      <c r="H284" s="2407"/>
      <c r="I284" s="2407"/>
      <c r="J284" s="1795"/>
      <c r="K284" s="86"/>
      <c r="L284" s="86"/>
      <c r="M284" s="86"/>
      <c r="N284" s="86"/>
    </row>
    <row r="285" spans="1:15" hidden="1" x14ac:dyDescent="0.2">
      <c r="A285" s="502"/>
      <c r="B285" s="50"/>
      <c r="C285" s="88"/>
      <c r="D285" s="503"/>
      <c r="E285" s="503"/>
      <c r="F285" s="1305"/>
      <c r="G285" s="1305"/>
      <c r="H285" s="503"/>
      <c r="I285" s="504"/>
      <c r="J285" s="504"/>
    </row>
    <row r="286" spans="1:15" s="497" customFormat="1" ht="25.5" customHeight="1" x14ac:dyDescent="0.2">
      <c r="A286" s="1544" t="s">
        <v>426</v>
      </c>
      <c r="B286" s="1545"/>
      <c r="C286" s="1546"/>
      <c r="D286" s="1548">
        <v>2022</v>
      </c>
      <c r="E286" s="1915" t="s">
        <v>983</v>
      </c>
      <c r="F286" s="1549">
        <v>2024</v>
      </c>
      <c r="G286" s="1549" t="s">
        <v>984</v>
      </c>
      <c r="H286" s="1724">
        <v>2025</v>
      </c>
      <c r="I286" s="1724">
        <v>2026</v>
      </c>
      <c r="J286" s="1724">
        <v>2027</v>
      </c>
      <c r="K286" s="495"/>
      <c r="L286" s="496"/>
      <c r="M286" s="467"/>
      <c r="N286" s="468"/>
    </row>
    <row r="287" spans="1:15" s="92" customFormat="1" ht="11.25" x14ac:dyDescent="0.2">
      <c r="A287" s="1550" t="s">
        <v>544</v>
      </c>
      <c r="B287" s="1550"/>
      <c r="C287" s="1550"/>
      <c r="D287" s="1536">
        <f t="shared" ref="D287:I287" si="55">D288+D289+D290+D291</f>
        <v>1000</v>
      </c>
      <c r="E287" s="1808">
        <f t="shared" si="55"/>
        <v>0</v>
      </c>
      <c r="F287" s="1926">
        <f t="shared" si="55"/>
        <v>1000</v>
      </c>
      <c r="G287" s="1926">
        <f t="shared" si="55"/>
        <v>0</v>
      </c>
      <c r="H287" s="1536">
        <f t="shared" si="55"/>
        <v>1000</v>
      </c>
      <c r="I287" s="1536">
        <f t="shared" si="55"/>
        <v>1000</v>
      </c>
      <c r="J287" s="1536">
        <f t="shared" ref="J287" si="56">J288+J289+J290+J291</f>
        <v>1000</v>
      </c>
      <c r="K287" s="491"/>
      <c r="L287" s="471"/>
      <c r="M287" s="471"/>
      <c r="N287" s="471"/>
      <c r="O287" s="523"/>
    </row>
    <row r="288" spans="1:15" s="20" customFormat="1" x14ac:dyDescent="0.2">
      <c r="A288" s="1074">
        <v>637</v>
      </c>
      <c r="B288" s="1074" t="s">
        <v>483</v>
      </c>
      <c r="C288" s="1294" t="s">
        <v>545</v>
      </c>
      <c r="D288" s="1070">
        <v>0</v>
      </c>
      <c r="E288" s="1801">
        <v>0</v>
      </c>
      <c r="F288" s="1333">
        <v>0</v>
      </c>
      <c r="G288" s="1333"/>
      <c r="H288" s="1322">
        <v>0</v>
      </c>
      <c r="I288" s="1070">
        <v>0</v>
      </c>
      <c r="J288" s="1070">
        <v>0</v>
      </c>
      <c r="L288" s="50"/>
      <c r="M288" s="50"/>
      <c r="N288" s="50"/>
      <c r="O288" s="16"/>
    </row>
    <row r="289" spans="1:15" s="33" customFormat="1" x14ac:dyDescent="0.2">
      <c r="A289" s="1074">
        <v>632</v>
      </c>
      <c r="B289" s="1074"/>
      <c r="C289" s="914" t="s">
        <v>192</v>
      </c>
      <c r="D289" s="1070">
        <v>0</v>
      </c>
      <c r="E289" s="1801">
        <v>0</v>
      </c>
      <c r="F289" s="1333">
        <v>0</v>
      </c>
      <c r="G289" s="1333"/>
      <c r="H289" s="1322">
        <v>0</v>
      </c>
      <c r="I289" s="1070">
        <v>0</v>
      </c>
      <c r="J289" s="1070">
        <v>0</v>
      </c>
      <c r="K289" s="20"/>
      <c r="L289" s="50"/>
      <c r="M289" s="50"/>
      <c r="N289" s="50"/>
      <c r="O289" s="16"/>
    </row>
    <row r="290" spans="1:15" x14ac:dyDescent="0.2">
      <c r="A290" s="1074">
        <v>637</v>
      </c>
      <c r="B290" s="1074"/>
      <c r="C290" s="914" t="s">
        <v>202</v>
      </c>
      <c r="D290" s="1070">
        <v>1000</v>
      </c>
      <c r="E290" s="1801">
        <v>0</v>
      </c>
      <c r="F290" s="1333">
        <v>1000</v>
      </c>
      <c r="G290" s="1333">
        <v>0</v>
      </c>
      <c r="H290" s="1322">
        <v>1000</v>
      </c>
      <c r="I290" s="1070">
        <v>1000</v>
      </c>
      <c r="J290" s="1070">
        <v>1000</v>
      </c>
      <c r="L290" s="58"/>
      <c r="M290" s="50"/>
      <c r="N290" s="524"/>
    </row>
    <row r="291" spans="1:15" x14ac:dyDescent="0.2">
      <c r="A291" s="1074">
        <v>637</v>
      </c>
      <c r="B291" s="1074"/>
      <c r="C291" s="914" t="s">
        <v>321</v>
      </c>
      <c r="D291" s="1070">
        <v>0</v>
      </c>
      <c r="E291" s="1801">
        <v>0</v>
      </c>
      <c r="F291" s="1333">
        <v>0</v>
      </c>
      <c r="G291" s="1333"/>
      <c r="H291" s="1322">
        <v>0</v>
      </c>
      <c r="I291" s="1070">
        <v>0</v>
      </c>
      <c r="J291" s="1070">
        <v>0</v>
      </c>
      <c r="K291" s="526"/>
      <c r="L291" s="525"/>
      <c r="M291" s="469"/>
      <c r="N291" s="50"/>
      <c r="O291" s="507"/>
    </row>
    <row r="292" spans="1:15" x14ac:dyDescent="0.2">
      <c r="A292" s="520"/>
      <c r="B292" s="92"/>
      <c r="C292" s="499"/>
      <c r="D292" s="722"/>
      <c r="E292" s="527"/>
      <c r="F292" s="1543"/>
      <c r="G292" s="1331"/>
      <c r="H292" s="527"/>
      <c r="I292" s="528"/>
      <c r="J292" s="528"/>
    </row>
    <row r="293" spans="1:15" s="92" customFormat="1" ht="11.25" x14ac:dyDescent="0.2">
      <c r="A293" s="1550" t="s">
        <v>546</v>
      </c>
      <c r="B293" s="1550"/>
      <c r="C293" s="1550"/>
      <c r="D293" s="1536">
        <f t="shared" ref="D293:I293" si="57">SUM(D294,D295,D296,D297)</f>
        <v>31500</v>
      </c>
      <c r="E293" s="1808">
        <f>SUM(E294,E295,E296,E297)</f>
        <v>29519.23</v>
      </c>
      <c r="F293" s="1926">
        <f>SUM(F294,F295,F296,F297)</f>
        <v>28500</v>
      </c>
      <c r="G293" s="1926">
        <f>SUM(G294,G295,G296,G297)</f>
        <v>25000</v>
      </c>
      <c r="H293" s="1536">
        <f t="shared" si="57"/>
        <v>28500</v>
      </c>
      <c r="I293" s="1536">
        <f t="shared" si="57"/>
        <v>28500</v>
      </c>
      <c r="J293" s="1536">
        <f t="shared" ref="J293" si="58">SUM(J294,J295,J296,J297)</f>
        <v>28500</v>
      </c>
      <c r="K293" s="491"/>
      <c r="L293" s="471"/>
      <c r="M293" s="471"/>
      <c r="N293" s="471"/>
    </row>
    <row r="294" spans="1:15" s="20" customFormat="1" x14ac:dyDescent="0.2">
      <c r="A294" s="914">
        <v>632</v>
      </c>
      <c r="B294" s="1074"/>
      <c r="C294" s="914" t="s">
        <v>192</v>
      </c>
      <c r="D294" s="1333">
        <v>22000</v>
      </c>
      <c r="E294" s="1878">
        <v>25630.61</v>
      </c>
      <c r="F294" s="1333">
        <v>25000</v>
      </c>
      <c r="G294" s="1333">
        <v>20000</v>
      </c>
      <c r="H294" s="1322">
        <v>25000</v>
      </c>
      <c r="I294" s="1070">
        <v>25000</v>
      </c>
      <c r="J294" s="1070">
        <v>25000</v>
      </c>
      <c r="L294" s="58"/>
      <c r="M294" s="50"/>
      <c r="N294" s="58"/>
      <c r="O294" s="16"/>
    </row>
    <row r="295" spans="1:15" s="33" customFormat="1" x14ac:dyDescent="0.2">
      <c r="A295" s="914">
        <v>633</v>
      </c>
      <c r="B295" s="1074"/>
      <c r="C295" s="914" t="s">
        <v>194</v>
      </c>
      <c r="D295" s="1333">
        <v>7000</v>
      </c>
      <c r="E295" s="1878">
        <v>1548.62</v>
      </c>
      <c r="F295" s="1333">
        <v>1000</v>
      </c>
      <c r="G295" s="1333">
        <v>2500</v>
      </c>
      <c r="H295" s="1322">
        <v>1000</v>
      </c>
      <c r="I295" s="1070">
        <v>1000</v>
      </c>
      <c r="J295" s="1070">
        <v>1000</v>
      </c>
      <c r="K295" s="20"/>
      <c r="L295" s="50"/>
      <c r="M295" s="50"/>
      <c r="N295" s="58"/>
      <c r="O295" s="16"/>
    </row>
    <row r="296" spans="1:15" x14ac:dyDescent="0.2">
      <c r="A296" s="914">
        <v>635</v>
      </c>
      <c r="B296" s="1074"/>
      <c r="C296" s="914" t="s">
        <v>288</v>
      </c>
      <c r="D296" s="1333">
        <v>500</v>
      </c>
      <c r="E296" s="1878">
        <v>0</v>
      </c>
      <c r="F296" s="1333">
        <v>500</v>
      </c>
      <c r="G296" s="1333">
        <v>500</v>
      </c>
      <c r="H296" s="1322">
        <v>500</v>
      </c>
      <c r="I296" s="1070">
        <v>500</v>
      </c>
      <c r="J296" s="1070">
        <v>500</v>
      </c>
      <c r="L296" s="50"/>
      <c r="M296" s="50"/>
      <c r="N296" s="58"/>
    </row>
    <row r="297" spans="1:15" x14ac:dyDescent="0.2">
      <c r="A297" s="914">
        <v>637</v>
      </c>
      <c r="B297" s="1074"/>
      <c r="C297" s="914" t="s">
        <v>202</v>
      </c>
      <c r="D297" s="1333">
        <v>2000</v>
      </c>
      <c r="E297" s="1878">
        <v>2340</v>
      </c>
      <c r="F297" s="1333">
        <v>2000</v>
      </c>
      <c r="G297" s="1333">
        <v>2000</v>
      </c>
      <c r="H297" s="1322">
        <v>2000</v>
      </c>
      <c r="I297" s="1070">
        <v>2000</v>
      </c>
      <c r="J297" s="1070">
        <v>2000</v>
      </c>
      <c r="L297" s="58"/>
      <c r="M297" s="50"/>
      <c r="N297" s="58"/>
    </row>
    <row r="298" spans="1:15" x14ac:dyDescent="0.2">
      <c r="A298" s="1551" t="s">
        <v>547</v>
      </c>
      <c r="B298" s="1552"/>
      <c r="C298" s="1553" t="s">
        <v>437</v>
      </c>
      <c r="D298" s="1555">
        <f t="shared" ref="D298:I298" si="59">D287+D293</f>
        <v>32500</v>
      </c>
      <c r="E298" s="1807">
        <f t="shared" si="59"/>
        <v>29519.23</v>
      </c>
      <c r="F298" s="1321">
        <f>F287+F293</f>
        <v>29500</v>
      </c>
      <c r="G298" s="1321">
        <f t="shared" si="59"/>
        <v>25000</v>
      </c>
      <c r="H298" s="1555">
        <f t="shared" si="59"/>
        <v>29500</v>
      </c>
      <c r="I298" s="1555">
        <f t="shared" si="59"/>
        <v>29500</v>
      </c>
      <c r="J298" s="1555">
        <f t="shared" ref="J298" si="60">J287+J293</f>
        <v>29500</v>
      </c>
      <c r="K298" s="491"/>
      <c r="L298" s="471"/>
      <c r="M298" s="471"/>
      <c r="N298" s="471"/>
    </row>
    <row r="299" spans="1:15" hidden="1" x14ac:dyDescent="0.2">
      <c r="A299" s="502"/>
      <c r="B299" s="50"/>
      <c r="C299" s="88"/>
      <c r="D299" s="503"/>
      <c r="E299" s="503"/>
      <c r="F299" s="1305"/>
      <c r="G299" s="1305"/>
      <c r="H299" s="503"/>
      <c r="I299" s="504"/>
      <c r="J299" s="504"/>
    </row>
    <row r="300" spans="1:15" x14ac:dyDescent="0.2">
      <c r="A300" s="529"/>
      <c r="B300" s="529"/>
      <c r="C300" s="529"/>
      <c r="D300" s="530"/>
      <c r="E300" s="530"/>
      <c r="F300" s="1330"/>
      <c r="G300" s="1330"/>
      <c r="H300" s="530"/>
      <c r="I300" s="530"/>
      <c r="J300" s="530"/>
    </row>
    <row r="301" spans="1:15" x14ac:dyDescent="0.2">
      <c r="A301" s="529"/>
      <c r="B301" s="529"/>
      <c r="C301" s="529"/>
      <c r="D301" s="530"/>
      <c r="E301" s="2407" t="s">
        <v>548</v>
      </c>
      <c r="F301" s="2407"/>
      <c r="G301" s="2407"/>
      <c r="H301" s="2407"/>
      <c r="I301" s="2407"/>
      <c r="J301" s="1795"/>
      <c r="K301" s="86"/>
      <c r="L301" s="86"/>
      <c r="M301" s="86"/>
      <c r="N301" s="86"/>
    </row>
    <row r="302" spans="1:15" hidden="1" x14ac:dyDescent="0.2">
      <c r="A302" s="529"/>
      <c r="B302" s="529"/>
      <c r="C302" s="529"/>
      <c r="D302" s="530"/>
      <c r="E302" s="530"/>
      <c r="F302" s="1307"/>
      <c r="G302" s="1307"/>
      <c r="H302" s="530"/>
      <c r="I302" s="530"/>
      <c r="J302" s="530"/>
    </row>
    <row r="303" spans="1:15" hidden="1" x14ac:dyDescent="0.2">
      <c r="A303" s="20"/>
      <c r="B303" s="20"/>
      <c r="C303" s="20"/>
      <c r="D303" s="74"/>
      <c r="E303" s="531"/>
      <c r="F303" s="1306"/>
      <c r="G303" s="1306"/>
      <c r="H303" s="532"/>
      <c r="I303" s="532"/>
      <c r="J303" s="532"/>
    </row>
    <row r="304" spans="1:15" s="497" customFormat="1" x14ac:dyDescent="0.2">
      <c r="A304" s="1544" t="s">
        <v>426</v>
      </c>
      <c r="B304" s="1545"/>
      <c r="C304" s="1546"/>
      <c r="D304" s="1548">
        <v>2022</v>
      </c>
      <c r="E304" s="1915" t="s">
        <v>983</v>
      </c>
      <c r="F304" s="1549">
        <v>2024</v>
      </c>
      <c r="G304" s="1549" t="s">
        <v>984</v>
      </c>
      <c r="H304" s="1724">
        <v>2025</v>
      </c>
      <c r="I304" s="1724">
        <v>2026</v>
      </c>
      <c r="J304" s="1724">
        <v>2027</v>
      </c>
      <c r="K304" s="495"/>
      <c r="L304" s="496"/>
      <c r="M304" s="467"/>
      <c r="N304" s="468"/>
    </row>
    <row r="305" spans="1:15" s="499" customFormat="1" ht="11.25" x14ac:dyDescent="0.2">
      <c r="A305" s="1550" t="s">
        <v>549</v>
      </c>
      <c r="B305" s="1550"/>
      <c r="C305" s="1550"/>
      <c r="D305" s="1536">
        <f>SUM(D306,D308,D309,D310,D314,D315)+D312</f>
        <v>56150</v>
      </c>
      <c r="E305" s="1808">
        <f>SUM(E306:E316)</f>
        <v>46840.160000000003</v>
      </c>
      <c r="F305" s="1926">
        <f>SUM(F306,F308,F309,F310,F314,F315)+F311+F312+F316</f>
        <v>48500</v>
      </c>
      <c r="G305" s="1926">
        <f>SUM(G306:G316)</f>
        <v>56550</v>
      </c>
      <c r="H305" s="1536">
        <f>SUM(H306,H308,H309,H310,H314,H315)</f>
        <v>56000</v>
      </c>
      <c r="I305" s="1536">
        <f>SUM(I306,I308,I309,I310,I314,I315)</f>
        <v>51000</v>
      </c>
      <c r="J305" s="1536">
        <f>SUM(J306,J308,J309,J310,J314,J315)</f>
        <v>45000</v>
      </c>
      <c r="K305" s="491"/>
      <c r="L305" s="471"/>
      <c r="M305" s="471"/>
      <c r="N305" s="471"/>
      <c r="O305" s="92"/>
    </row>
    <row r="306" spans="1:15" s="20" customFormat="1" x14ac:dyDescent="0.2">
      <c r="A306" s="914">
        <v>610</v>
      </c>
      <c r="B306" s="1074"/>
      <c r="C306" s="914" t="s">
        <v>550</v>
      </c>
      <c r="D306" s="1071">
        <v>14400</v>
      </c>
      <c r="E306" s="1886">
        <v>15748.59</v>
      </c>
      <c r="F306" s="1333">
        <v>15750</v>
      </c>
      <c r="G306" s="1333">
        <v>15000</v>
      </c>
      <c r="H306" s="1322">
        <v>16000</v>
      </c>
      <c r="I306" s="1070">
        <v>16000</v>
      </c>
      <c r="J306" s="1070">
        <v>15000</v>
      </c>
      <c r="L306" s="58"/>
      <c r="M306" s="50"/>
      <c r="N306" s="50"/>
      <c r="O306" s="16"/>
    </row>
    <row r="307" spans="1:15" s="20" customFormat="1" x14ac:dyDescent="0.2">
      <c r="A307" s="1604">
        <v>610</v>
      </c>
      <c r="B307" s="1074"/>
      <c r="C307" s="1604" t="s">
        <v>733</v>
      </c>
      <c r="D307" s="1300">
        <v>0</v>
      </c>
      <c r="E307" s="1898">
        <v>0</v>
      </c>
      <c r="F307" s="1333">
        <v>0</v>
      </c>
      <c r="G307" s="1333">
        <v>0</v>
      </c>
      <c r="H307" s="1322">
        <v>0</v>
      </c>
      <c r="I307" s="1070">
        <v>0</v>
      </c>
      <c r="J307" s="1070">
        <v>0</v>
      </c>
      <c r="L307" s="58"/>
      <c r="M307" s="50"/>
      <c r="N307" s="50"/>
      <c r="O307" s="16"/>
    </row>
    <row r="308" spans="1:15" s="33" customFormat="1" x14ac:dyDescent="0.2">
      <c r="A308" s="914">
        <v>620</v>
      </c>
      <c r="B308" s="1074"/>
      <c r="C308" s="914" t="s">
        <v>188</v>
      </c>
      <c r="D308" s="1071">
        <v>5100</v>
      </c>
      <c r="E308" s="1886">
        <v>5162.72</v>
      </c>
      <c r="F308" s="1333">
        <v>5250</v>
      </c>
      <c r="G308" s="1333">
        <v>5250</v>
      </c>
      <c r="H308" s="1322">
        <v>5500</v>
      </c>
      <c r="I308" s="1070">
        <v>5500</v>
      </c>
      <c r="J308" s="1070">
        <v>5500</v>
      </c>
      <c r="K308" s="20"/>
      <c r="L308" s="50"/>
      <c r="M308" s="50"/>
      <c r="N308" s="50"/>
      <c r="O308" s="16"/>
    </row>
    <row r="309" spans="1:15" x14ac:dyDescent="0.2">
      <c r="A309" s="914">
        <v>632</v>
      </c>
      <c r="B309" s="1074"/>
      <c r="C309" s="914" t="s">
        <v>192</v>
      </c>
      <c r="D309" s="1071">
        <v>32450</v>
      </c>
      <c r="E309" s="1886">
        <v>22493.31</v>
      </c>
      <c r="F309" s="1333">
        <v>23000</v>
      </c>
      <c r="G309" s="1333">
        <v>32500</v>
      </c>
      <c r="H309" s="1322">
        <v>30000</v>
      </c>
      <c r="I309" s="1070">
        <v>25000</v>
      </c>
      <c r="J309" s="1070">
        <v>20000</v>
      </c>
      <c r="L309" s="58"/>
      <c r="M309" s="50"/>
      <c r="N309" s="58"/>
    </row>
    <row r="310" spans="1:15" x14ac:dyDescent="0.2">
      <c r="A310" s="914">
        <v>633</v>
      </c>
      <c r="B310" s="1074"/>
      <c r="C310" s="914" t="s">
        <v>194</v>
      </c>
      <c r="D310" s="1071">
        <v>1000</v>
      </c>
      <c r="E310" s="1886">
        <v>1004.54</v>
      </c>
      <c r="F310" s="1333">
        <v>1000</v>
      </c>
      <c r="G310" s="1333">
        <v>1000</v>
      </c>
      <c r="H310" s="1322">
        <v>1000</v>
      </c>
      <c r="I310" s="1070">
        <v>1000</v>
      </c>
      <c r="J310" s="1070">
        <v>1000</v>
      </c>
      <c r="L310" s="50"/>
      <c r="M310" s="50"/>
      <c r="N310" s="50"/>
    </row>
    <row r="311" spans="1:15" customFormat="1" x14ac:dyDescent="0.2">
      <c r="A311" s="1323"/>
      <c r="B311" s="1323"/>
      <c r="C311" s="1324" t="s">
        <v>857</v>
      </c>
      <c r="D311" s="1605"/>
      <c r="E311" s="1899">
        <v>0</v>
      </c>
      <c r="F311" s="1333">
        <v>0</v>
      </c>
      <c r="G311" s="1333">
        <v>0</v>
      </c>
      <c r="H311" s="1962"/>
      <c r="I311" s="1323"/>
      <c r="J311" s="1323"/>
    </row>
    <row r="312" spans="1:15" x14ac:dyDescent="0.2">
      <c r="A312" s="914"/>
      <c r="B312" s="1074"/>
      <c r="C312" s="914" t="s">
        <v>858</v>
      </c>
      <c r="D312" s="1071"/>
      <c r="E312" s="1886">
        <v>1832</v>
      </c>
      <c r="F312" s="1333">
        <v>0</v>
      </c>
      <c r="G312" s="1333">
        <v>0</v>
      </c>
      <c r="H312" s="1322"/>
      <c r="I312" s="1070"/>
      <c r="J312" s="1070"/>
      <c r="L312" s="50"/>
      <c r="M312" s="50"/>
      <c r="N312" s="50"/>
    </row>
    <row r="313" spans="1:15" x14ac:dyDescent="0.2">
      <c r="A313" s="1649"/>
      <c r="B313" s="1649"/>
      <c r="C313" s="1074" t="s">
        <v>987</v>
      </c>
      <c r="D313" s="1816"/>
      <c r="E313" s="1887"/>
      <c r="F313" s="1333"/>
      <c r="G313" s="1333">
        <v>1300</v>
      </c>
      <c r="H313" s="1963"/>
      <c r="I313" s="1938"/>
      <c r="J313" s="1938"/>
    </row>
    <row r="314" spans="1:15" x14ac:dyDescent="0.2">
      <c r="A314" s="914">
        <v>635</v>
      </c>
      <c r="B314" s="1074"/>
      <c r="C314" s="914" t="s">
        <v>288</v>
      </c>
      <c r="D314" s="1071">
        <v>1200</v>
      </c>
      <c r="E314" s="1886">
        <v>0</v>
      </c>
      <c r="F314" s="1333">
        <v>500</v>
      </c>
      <c r="G314" s="1333">
        <v>500</v>
      </c>
      <c r="H314" s="1322">
        <v>500</v>
      </c>
      <c r="I314" s="1070">
        <v>500</v>
      </c>
      <c r="J314" s="1070">
        <v>500</v>
      </c>
      <c r="L314" s="50"/>
      <c r="M314" s="50"/>
      <c r="N314" s="50"/>
    </row>
    <row r="315" spans="1:15" x14ac:dyDescent="0.2">
      <c r="A315" s="914">
        <v>637</v>
      </c>
      <c r="B315" s="1074"/>
      <c r="C315" s="914" t="s">
        <v>202</v>
      </c>
      <c r="D315" s="1071">
        <v>2000</v>
      </c>
      <c r="E315" s="1886">
        <v>599</v>
      </c>
      <c r="F315" s="1333">
        <v>3000</v>
      </c>
      <c r="G315" s="1333">
        <v>1000</v>
      </c>
      <c r="H315" s="1322">
        <v>3000</v>
      </c>
      <c r="I315" s="1070">
        <v>3000</v>
      </c>
      <c r="J315" s="1070">
        <v>3000</v>
      </c>
      <c r="L315" s="50"/>
      <c r="M315" s="50"/>
      <c r="N315" s="50"/>
    </row>
    <row r="316" spans="1:15" customFormat="1" x14ac:dyDescent="0.2">
      <c r="A316" s="1323"/>
      <c r="B316" s="1323"/>
      <c r="C316" s="1324" t="s">
        <v>853</v>
      </c>
      <c r="D316" s="1323"/>
      <c r="E316" s="1814"/>
      <c r="F316" s="1333"/>
      <c r="G316" s="1333"/>
      <c r="H316" s="1962"/>
      <c r="I316" s="1323"/>
      <c r="J316" s="1323"/>
    </row>
    <row r="317" spans="1:15" x14ac:dyDescent="0.2">
      <c r="A317" s="1551" t="s">
        <v>551</v>
      </c>
      <c r="B317" s="1552"/>
      <c r="C317" s="1553" t="s">
        <v>552</v>
      </c>
      <c r="D317" s="1554">
        <f t="shared" ref="D317:J317" si="61">SUM(D305)</f>
        <v>56150</v>
      </c>
      <c r="E317" s="1759">
        <f t="shared" si="61"/>
        <v>46840.160000000003</v>
      </c>
      <c r="F317" s="1320">
        <f t="shared" si="61"/>
        <v>48500</v>
      </c>
      <c r="G317" s="1320">
        <f t="shared" si="61"/>
        <v>56550</v>
      </c>
      <c r="H317" s="1554">
        <f t="shared" si="61"/>
        <v>56000</v>
      </c>
      <c r="I317" s="1554">
        <f t="shared" si="61"/>
        <v>51000</v>
      </c>
      <c r="J317" s="1554">
        <f t="shared" si="61"/>
        <v>45000</v>
      </c>
      <c r="K317" s="491"/>
      <c r="L317" s="471"/>
      <c r="M317" s="471"/>
      <c r="N317" s="471"/>
    </row>
    <row r="318" spans="1:15" x14ac:dyDescent="0.2">
      <c r="A318" s="502"/>
      <c r="B318" s="50"/>
      <c r="C318" s="88"/>
      <c r="D318" s="503"/>
      <c r="E318" s="503"/>
      <c r="F318" s="1277"/>
      <c r="G318" s="1277"/>
      <c r="H318" s="503"/>
      <c r="I318" s="504"/>
      <c r="J318" s="504"/>
    </row>
    <row r="319" spans="1:15" hidden="1" x14ac:dyDescent="0.2">
      <c r="A319" s="502"/>
      <c r="B319" s="50"/>
      <c r="C319" s="88"/>
      <c r="D319" s="503"/>
      <c r="E319" s="503"/>
      <c r="F319" s="1305"/>
      <c r="G319" s="1305"/>
      <c r="H319" s="503"/>
      <c r="I319" s="504"/>
      <c r="J319" s="504"/>
    </row>
    <row r="320" spans="1:15" hidden="1" x14ac:dyDescent="0.2">
      <c r="A320" s="502"/>
      <c r="B320" s="50"/>
      <c r="C320" s="88"/>
      <c r="D320" s="503"/>
      <c r="E320" s="503"/>
      <c r="F320" s="1305"/>
      <c r="G320" s="1305"/>
      <c r="H320" s="503"/>
      <c r="I320" s="504"/>
      <c r="J320" s="504"/>
    </row>
    <row r="321" spans="1:15" hidden="1" x14ac:dyDescent="0.2">
      <c r="A321" s="502"/>
      <c r="B321" s="50"/>
      <c r="C321" s="88"/>
      <c r="D321" s="503"/>
      <c r="E321" s="503"/>
      <c r="F321" s="1305"/>
      <c r="G321" s="1305"/>
      <c r="H321" s="503"/>
      <c r="I321" s="504"/>
      <c r="J321" s="504"/>
    </row>
    <row r="322" spans="1:15" hidden="1" x14ac:dyDescent="0.2">
      <c r="A322" s="502"/>
      <c r="B322" s="50"/>
      <c r="C322" s="88"/>
      <c r="D322" s="503"/>
      <c r="E322" s="503"/>
      <c r="F322" s="1305"/>
      <c r="G322" s="1305"/>
      <c r="H322" s="503"/>
      <c r="I322" s="504"/>
      <c r="J322" s="504"/>
    </row>
    <row r="323" spans="1:15" x14ac:dyDescent="0.2">
      <c r="F323" s="1331"/>
      <c r="G323" s="1331"/>
    </row>
    <row r="324" spans="1:15" x14ac:dyDescent="0.2">
      <c r="A324" s="502"/>
      <c r="B324" s="50"/>
      <c r="C324" s="88"/>
      <c r="D324" s="2298" t="s">
        <v>553</v>
      </c>
      <c r="E324" s="2298"/>
      <c r="F324" s="2298"/>
      <c r="G324" s="2298"/>
      <c r="H324" s="2298"/>
      <c r="I324" s="2298"/>
      <c r="J324" s="1796"/>
      <c r="K324" s="517"/>
      <c r="L324" s="517"/>
      <c r="M324" s="517"/>
      <c r="N324" s="517"/>
    </row>
    <row r="325" spans="1:15" hidden="1" x14ac:dyDescent="0.2">
      <c r="A325" s="502"/>
      <c r="B325" s="50"/>
      <c r="C325" s="88"/>
      <c r="D325" s="503"/>
      <c r="E325" s="503"/>
      <c r="F325" s="1305"/>
      <c r="G325" s="1305"/>
      <c r="H325" s="503"/>
      <c r="I325" s="504"/>
      <c r="J325" s="504"/>
    </row>
    <row r="326" spans="1:15" s="497" customFormat="1" x14ac:dyDescent="0.2">
      <c r="A326" s="1544" t="s">
        <v>426</v>
      </c>
      <c r="B326" s="1545"/>
      <c r="C326" s="1546"/>
      <c r="D326" s="1548">
        <v>2022</v>
      </c>
      <c r="E326" s="1915" t="s">
        <v>983</v>
      </c>
      <c r="F326" s="1549">
        <v>2024</v>
      </c>
      <c r="G326" s="1549" t="s">
        <v>984</v>
      </c>
      <c r="H326" s="1724">
        <v>2025</v>
      </c>
      <c r="I326" s="1724">
        <v>2026</v>
      </c>
      <c r="J326" s="1724">
        <v>2027</v>
      </c>
      <c r="K326" s="495"/>
      <c r="L326" s="496"/>
      <c r="M326" s="467"/>
      <c r="N326" s="468"/>
    </row>
    <row r="327" spans="1:15" s="92" customFormat="1" ht="11.25" x14ac:dyDescent="0.2">
      <c r="A327" s="1592" t="s">
        <v>554</v>
      </c>
      <c r="B327" s="1592"/>
      <c r="C327" s="1592"/>
      <c r="D327" s="1586">
        <f t="shared" ref="D327:F327" si="62">SUM(D328,D329,D331,D332,D333,D335)+D334</f>
        <v>45430</v>
      </c>
      <c r="E327" s="1815">
        <f>SUM(E328,E329,E331,E332,E333,E335)+E334+E330</f>
        <v>63178.15</v>
      </c>
      <c r="F327" s="1922">
        <f t="shared" si="62"/>
        <v>50000</v>
      </c>
      <c r="G327" s="1922">
        <f>SUM(G328,G329,G331,G332,G333,G335)+G334+G330</f>
        <v>76600</v>
      </c>
      <c r="H327" s="1586">
        <f t="shared" ref="H327:I327" si="63">SUM(H328,H329,H331,H332,H333,H335)+H334+H330</f>
        <v>53000</v>
      </c>
      <c r="I327" s="1586">
        <f t="shared" si="63"/>
        <v>53000</v>
      </c>
      <c r="J327" s="1586">
        <f t="shared" ref="J327" si="64">SUM(J328,J329,J331,J332,J333,J335)+J334</f>
        <v>54000</v>
      </c>
      <c r="K327" s="491"/>
      <c r="L327" s="471"/>
      <c r="M327" s="471"/>
      <c r="N327" s="471"/>
    </row>
    <row r="328" spans="1:15" s="20" customFormat="1" x14ac:dyDescent="0.2">
      <c r="A328" s="1112">
        <v>632</v>
      </c>
      <c r="B328" s="1120"/>
      <c r="C328" s="1112" t="s">
        <v>192</v>
      </c>
      <c r="D328" s="1333">
        <v>19050</v>
      </c>
      <c r="E328" s="1878">
        <v>14253.7</v>
      </c>
      <c r="F328" s="1333">
        <v>12500</v>
      </c>
      <c r="G328" s="1333">
        <v>20000</v>
      </c>
      <c r="H328" s="1322">
        <v>15000</v>
      </c>
      <c r="I328" s="1070">
        <v>15000</v>
      </c>
      <c r="J328" s="1070">
        <v>15000</v>
      </c>
      <c r="L328" s="58"/>
      <c r="M328" s="50"/>
      <c r="N328" s="58"/>
      <c r="O328" s="16"/>
    </row>
    <row r="329" spans="1:15" s="33" customFormat="1" x14ac:dyDescent="0.2">
      <c r="A329" s="1112">
        <v>633</v>
      </c>
      <c r="B329" s="1120"/>
      <c r="C329" s="1112" t="s">
        <v>194</v>
      </c>
      <c r="D329" s="1333">
        <v>3880</v>
      </c>
      <c r="E329" s="1878">
        <v>9455.61</v>
      </c>
      <c r="F329" s="1333">
        <v>5000</v>
      </c>
      <c r="G329" s="1333">
        <v>5000</v>
      </c>
      <c r="H329" s="1322">
        <v>5000</v>
      </c>
      <c r="I329" s="1070">
        <v>5000</v>
      </c>
      <c r="J329" s="1070">
        <v>5000</v>
      </c>
      <c r="K329" s="20"/>
      <c r="L329" s="50"/>
      <c r="M329" s="50"/>
      <c r="N329" s="58"/>
      <c r="O329" s="16"/>
    </row>
    <row r="330" spans="1:15" s="33" customFormat="1" x14ac:dyDescent="0.2">
      <c r="A330" s="1112"/>
      <c r="B330" s="1120"/>
      <c r="C330" s="1798" t="s">
        <v>979</v>
      </c>
      <c r="D330" s="1333"/>
      <c r="E330" s="1889">
        <v>800</v>
      </c>
      <c r="F330" s="1333"/>
      <c r="G330" s="1333"/>
      <c r="H330" s="1322"/>
      <c r="I330" s="1070"/>
      <c r="J330" s="1070"/>
      <c r="K330" s="20"/>
      <c r="L330" s="50"/>
      <c r="M330" s="50"/>
      <c r="N330" s="58"/>
      <c r="O330" s="16"/>
    </row>
    <row r="331" spans="1:15" x14ac:dyDescent="0.2">
      <c r="A331" s="1112">
        <v>634</v>
      </c>
      <c r="B331" s="1120"/>
      <c r="C331" s="1112" t="s">
        <v>341</v>
      </c>
      <c r="D331" s="1333">
        <v>5000</v>
      </c>
      <c r="E331" s="1878">
        <v>6240.8</v>
      </c>
      <c r="F331" s="1333">
        <v>5000</v>
      </c>
      <c r="G331" s="1333">
        <v>5000</v>
      </c>
      <c r="H331" s="1322">
        <v>5000</v>
      </c>
      <c r="I331" s="1070">
        <v>5000</v>
      </c>
      <c r="J331" s="1070">
        <v>5000</v>
      </c>
      <c r="L331" s="58"/>
      <c r="M331" s="50"/>
      <c r="N331" s="58"/>
    </row>
    <row r="332" spans="1:15" x14ac:dyDescent="0.2">
      <c r="A332" s="1112">
        <v>635</v>
      </c>
      <c r="B332" s="1120"/>
      <c r="C332" s="1112" t="s">
        <v>288</v>
      </c>
      <c r="D332" s="1333">
        <v>500</v>
      </c>
      <c r="E332" s="1878">
        <v>966.38</v>
      </c>
      <c r="F332" s="1333">
        <v>500</v>
      </c>
      <c r="G332" s="1333">
        <v>4100</v>
      </c>
      <c r="H332" s="1322">
        <v>1000</v>
      </c>
      <c r="I332" s="1070">
        <v>1000</v>
      </c>
      <c r="J332" s="1070">
        <v>1000</v>
      </c>
      <c r="L332" s="50"/>
      <c r="M332" s="50"/>
      <c r="N332" s="58"/>
    </row>
    <row r="333" spans="1:15" x14ac:dyDescent="0.2">
      <c r="A333" s="1112">
        <v>637</v>
      </c>
      <c r="B333" s="1120"/>
      <c r="C333" s="1112" t="s">
        <v>798</v>
      </c>
      <c r="D333" s="1333">
        <v>1000</v>
      </c>
      <c r="E333" s="1878">
        <v>1786.76</v>
      </c>
      <c r="F333" s="1333">
        <v>1000</v>
      </c>
      <c r="G333" s="1333">
        <v>7000</v>
      </c>
      <c r="H333" s="1322">
        <v>1000</v>
      </c>
      <c r="I333" s="1070">
        <v>1000</v>
      </c>
      <c r="J333" s="1070">
        <v>1000</v>
      </c>
      <c r="L333" s="50"/>
      <c r="M333" s="50"/>
      <c r="N333" s="58"/>
    </row>
    <row r="334" spans="1:15" x14ac:dyDescent="0.2">
      <c r="A334" s="1112">
        <v>637</v>
      </c>
      <c r="B334" s="1120"/>
      <c r="C334" s="1112" t="s">
        <v>762</v>
      </c>
      <c r="D334" s="1333"/>
      <c r="E334" s="1878">
        <v>0</v>
      </c>
      <c r="F334" s="1333"/>
      <c r="G334" s="1333"/>
      <c r="H334" s="1322"/>
      <c r="I334" s="1070"/>
      <c r="J334" s="1070"/>
      <c r="L334" s="50"/>
      <c r="M334" s="50"/>
      <c r="N334" s="58"/>
    </row>
    <row r="335" spans="1:15" x14ac:dyDescent="0.2">
      <c r="A335" s="1112">
        <v>642</v>
      </c>
      <c r="B335" s="1120"/>
      <c r="C335" s="1112" t="s">
        <v>555</v>
      </c>
      <c r="D335" s="1333">
        <f>D336+D338+D339</f>
        <v>16000</v>
      </c>
      <c r="E335" s="1878">
        <f>E336+E337+E338+E339</f>
        <v>29674.9</v>
      </c>
      <c r="F335" s="1333">
        <v>26000</v>
      </c>
      <c r="G335" s="1333">
        <f>G336+G338+G339</f>
        <v>35500</v>
      </c>
      <c r="H335" s="1322">
        <f t="shared" ref="H335:I335" si="65">H336+H338+H339</f>
        <v>26000</v>
      </c>
      <c r="I335" s="1070">
        <f t="shared" si="65"/>
        <v>26000</v>
      </c>
      <c r="J335" s="1070">
        <f>SUM(J336:J338)</f>
        <v>27000</v>
      </c>
      <c r="L335" s="58"/>
      <c r="M335" s="50"/>
      <c r="N335" s="58"/>
    </row>
    <row r="336" spans="1:15" x14ac:dyDescent="0.2">
      <c r="A336" s="1287"/>
      <c r="B336" s="1286"/>
      <c r="C336" s="914" t="s">
        <v>556</v>
      </c>
      <c r="D336" s="1529">
        <v>15000</v>
      </c>
      <c r="E336" s="1803">
        <v>29174.9</v>
      </c>
      <c r="F336" s="1529">
        <v>25000</v>
      </c>
      <c r="G336" s="1333">
        <v>35000</v>
      </c>
      <c r="H336" s="1322">
        <v>25000</v>
      </c>
      <c r="I336" s="1606">
        <v>25000</v>
      </c>
      <c r="J336" s="1606">
        <v>26000</v>
      </c>
      <c r="L336" s="58"/>
      <c r="M336" s="50"/>
      <c r="N336" s="58"/>
    </row>
    <row r="337" spans="1:15" x14ac:dyDescent="0.2">
      <c r="A337" s="1287"/>
      <c r="B337" s="1286"/>
      <c r="C337" s="914" t="s">
        <v>749</v>
      </c>
      <c r="D337" s="1529"/>
      <c r="E337" s="1803"/>
      <c r="F337" s="1529"/>
      <c r="G337" s="1333"/>
      <c r="H337" s="1322"/>
      <c r="I337" s="1606"/>
      <c r="J337" s="1606"/>
      <c r="L337" s="58"/>
      <c r="M337" s="50"/>
      <c r="N337" s="58"/>
    </row>
    <row r="338" spans="1:15" x14ac:dyDescent="0.2">
      <c r="A338" s="1287"/>
      <c r="B338" s="1286"/>
      <c r="C338" s="914" t="s">
        <v>557</v>
      </c>
      <c r="D338" s="1529">
        <v>1000</v>
      </c>
      <c r="E338" s="1803">
        <v>500</v>
      </c>
      <c r="F338" s="1529">
        <v>1000</v>
      </c>
      <c r="G338" s="1333">
        <v>500</v>
      </c>
      <c r="H338" s="1322">
        <v>1000</v>
      </c>
      <c r="I338" s="1606">
        <v>1000</v>
      </c>
      <c r="J338" s="1606">
        <v>1000</v>
      </c>
      <c r="L338" s="58"/>
      <c r="M338" s="50"/>
      <c r="N338" s="58"/>
    </row>
    <row r="339" spans="1:15" x14ac:dyDescent="0.2">
      <c r="A339" s="1287"/>
      <c r="B339" s="1286"/>
      <c r="C339" s="914" t="s">
        <v>578</v>
      </c>
      <c r="D339" s="1529"/>
      <c r="E339" s="1802"/>
      <c r="F339" s="1333"/>
      <c r="G339" s="1333"/>
      <c r="H339" s="1322"/>
      <c r="I339" s="1606"/>
      <c r="J339" s="1606"/>
      <c r="L339" s="58"/>
      <c r="M339" s="50"/>
      <c r="N339" s="58"/>
    </row>
    <row r="340" spans="1:15" hidden="1" x14ac:dyDescent="0.2">
      <c r="A340" s="1287"/>
      <c r="B340" s="1286"/>
      <c r="C340" s="1287"/>
      <c r="D340" s="1097"/>
      <c r="E340" s="1816"/>
      <c r="F340" s="1310"/>
      <c r="G340" s="1310"/>
      <c r="H340" s="1607"/>
      <c r="I340" s="1608"/>
      <c r="J340" s="1608"/>
    </row>
    <row r="341" spans="1:15" s="92" customFormat="1" ht="12.75" customHeight="1" x14ac:dyDescent="0.2">
      <c r="A341" s="1550" t="s">
        <v>558</v>
      </c>
      <c r="B341" s="1550"/>
      <c r="C341" s="1550"/>
      <c r="D341" s="1558">
        <f>SUM(D342,D343,D344)+D363-D363</f>
        <v>53400</v>
      </c>
      <c r="E341" s="1744">
        <f t="shared" ref="E341:J341" si="66">SUM(E342,E343,E344)</f>
        <v>52875.66</v>
      </c>
      <c r="F341" s="1926">
        <f t="shared" si="66"/>
        <v>55100</v>
      </c>
      <c r="G341" s="1926">
        <f t="shared" si="66"/>
        <v>60239</v>
      </c>
      <c r="H341" s="1558">
        <f t="shared" si="66"/>
        <v>64600</v>
      </c>
      <c r="I341" s="1558">
        <f t="shared" si="66"/>
        <v>55100</v>
      </c>
      <c r="J341" s="1558">
        <f t="shared" si="66"/>
        <v>50100</v>
      </c>
      <c r="K341" s="56"/>
      <c r="L341" s="65"/>
      <c r="M341" s="65"/>
      <c r="N341" s="65"/>
      <c r="O341" s="472"/>
    </row>
    <row r="342" spans="1:15" ht="12.75" customHeight="1" x14ac:dyDescent="0.2">
      <c r="A342" s="1120">
        <v>610</v>
      </c>
      <c r="B342" s="1279"/>
      <c r="C342" s="1121" t="s">
        <v>441</v>
      </c>
      <c r="D342" s="1520">
        <v>18500</v>
      </c>
      <c r="E342" s="1896">
        <v>19284.48</v>
      </c>
      <c r="F342" s="1333">
        <v>18800</v>
      </c>
      <c r="G342" s="1333">
        <v>20000</v>
      </c>
      <c r="H342" s="1322">
        <v>20000</v>
      </c>
      <c r="I342" s="1601">
        <v>20000</v>
      </c>
      <c r="J342" s="1601">
        <v>20000</v>
      </c>
      <c r="K342" s="65"/>
      <c r="L342" s="64"/>
      <c r="M342" s="64"/>
      <c r="N342" s="64"/>
    </row>
    <row r="343" spans="1:15" s="33" customFormat="1" x14ac:dyDescent="0.2">
      <c r="A343" s="1120">
        <v>620</v>
      </c>
      <c r="B343" s="1120"/>
      <c r="C343" s="1120" t="s">
        <v>188</v>
      </c>
      <c r="D343" s="1520">
        <v>7800</v>
      </c>
      <c r="E343" s="1896">
        <v>7026.26</v>
      </c>
      <c r="F343" s="1333">
        <v>6300</v>
      </c>
      <c r="G343" s="1333">
        <v>6900</v>
      </c>
      <c r="H343" s="1322">
        <v>8000</v>
      </c>
      <c r="I343" s="1601">
        <v>8000</v>
      </c>
      <c r="J343" s="1601">
        <v>8000</v>
      </c>
      <c r="K343" s="65"/>
      <c r="L343" s="64"/>
      <c r="M343" s="64"/>
      <c r="N343" s="64"/>
      <c r="O343" s="16"/>
    </row>
    <row r="344" spans="1:15" ht="12.75" customHeight="1" x14ac:dyDescent="0.2">
      <c r="A344" s="1581">
        <v>630</v>
      </c>
      <c r="B344" s="1112"/>
      <c r="C344" s="1112" t="s">
        <v>356</v>
      </c>
      <c r="D344" s="1520">
        <f t="shared" ref="D344" si="67">SUM(D345:D363)</f>
        <v>27100</v>
      </c>
      <c r="E344" s="1896">
        <f t="shared" ref="E344:F344" si="68">SUM(E345:E363)</f>
        <v>26564.920000000002</v>
      </c>
      <c r="F344" s="1333">
        <f t="shared" si="68"/>
        <v>30000</v>
      </c>
      <c r="G344" s="1333">
        <f>SUM(G345:G363)</f>
        <v>33339</v>
      </c>
      <c r="H344" s="1322">
        <f t="shared" ref="H344:I344" si="69">SUM(H345:H363)</f>
        <v>36600</v>
      </c>
      <c r="I344" s="1601">
        <f t="shared" si="69"/>
        <v>27100</v>
      </c>
      <c r="J344" s="1601">
        <f t="shared" ref="J344" si="70">SUM(J345:J363)</f>
        <v>22100</v>
      </c>
      <c r="K344" s="72"/>
      <c r="L344" s="58"/>
      <c r="M344" s="58"/>
      <c r="N344" s="58"/>
    </row>
    <row r="345" spans="1:15" x14ac:dyDescent="0.2">
      <c r="A345" s="914" t="s">
        <v>444</v>
      </c>
      <c r="B345" s="914"/>
      <c r="C345" s="914" t="s">
        <v>190</v>
      </c>
      <c r="D345" s="1531">
        <v>100</v>
      </c>
      <c r="E345" s="1897">
        <v>0</v>
      </c>
      <c r="F345" s="1531">
        <v>100</v>
      </c>
      <c r="G345" s="1531">
        <v>100</v>
      </c>
      <c r="H345" s="1335">
        <v>100</v>
      </c>
      <c r="I345" s="1602">
        <v>100</v>
      </c>
      <c r="J345" s="1602">
        <v>100</v>
      </c>
      <c r="L345" s="506"/>
      <c r="M345" s="488"/>
      <c r="N345" s="490"/>
    </row>
    <row r="346" spans="1:15" x14ac:dyDescent="0.2">
      <c r="A346" s="914">
        <v>632</v>
      </c>
      <c r="B346" s="914"/>
      <c r="C346" s="914" t="s">
        <v>445</v>
      </c>
      <c r="D346" s="1531">
        <v>18000</v>
      </c>
      <c r="E346" s="1897">
        <v>10504.83</v>
      </c>
      <c r="F346" s="1531">
        <v>11000</v>
      </c>
      <c r="G346" s="1531">
        <v>17000</v>
      </c>
      <c r="H346" s="1335">
        <v>15000</v>
      </c>
      <c r="I346" s="1602">
        <v>10000</v>
      </c>
      <c r="J346" s="1602">
        <v>10000</v>
      </c>
      <c r="L346" s="490"/>
      <c r="M346" s="488"/>
      <c r="N346" s="490"/>
    </row>
    <row r="347" spans="1:15" x14ac:dyDescent="0.2">
      <c r="A347" s="1074">
        <v>633</v>
      </c>
      <c r="B347" s="1074"/>
      <c r="C347" s="1074" t="s">
        <v>194</v>
      </c>
      <c r="D347" s="1609">
        <v>500</v>
      </c>
      <c r="E347" s="1897">
        <v>513.77</v>
      </c>
      <c r="F347" s="1531">
        <v>500</v>
      </c>
      <c r="G347" s="1531">
        <v>500</v>
      </c>
      <c r="H347" s="1335">
        <v>500</v>
      </c>
      <c r="I347" s="1602">
        <v>500</v>
      </c>
      <c r="J347" s="1602">
        <v>500</v>
      </c>
      <c r="L347" s="490"/>
      <c r="M347" s="488"/>
      <c r="N347" s="490"/>
    </row>
    <row r="348" spans="1:15" x14ac:dyDescent="0.2">
      <c r="A348" s="1074">
        <v>633</v>
      </c>
      <c r="B348" s="1074" t="s">
        <v>108</v>
      </c>
      <c r="C348" s="1074" t="s">
        <v>559</v>
      </c>
      <c r="D348" s="1609">
        <v>300</v>
      </c>
      <c r="E348" s="1897">
        <v>0</v>
      </c>
      <c r="F348" s="1531">
        <v>0</v>
      </c>
      <c r="G348" s="1531">
        <v>0</v>
      </c>
      <c r="H348" s="1335">
        <v>300</v>
      </c>
      <c r="I348" s="1602">
        <v>300</v>
      </c>
      <c r="J348" s="1602">
        <v>300</v>
      </c>
      <c r="L348" s="518"/>
      <c r="M348" s="469"/>
      <c r="N348" s="492"/>
    </row>
    <row r="349" spans="1:15" x14ac:dyDescent="0.2">
      <c r="A349" s="1074">
        <v>633</v>
      </c>
      <c r="B349" s="1074" t="s">
        <v>460</v>
      </c>
      <c r="C349" s="1074" t="s">
        <v>351</v>
      </c>
      <c r="D349" s="1609">
        <v>500</v>
      </c>
      <c r="E349" s="1897">
        <v>25.7</v>
      </c>
      <c r="F349" s="1531">
        <v>500</v>
      </c>
      <c r="G349" s="1531">
        <v>100</v>
      </c>
      <c r="H349" s="1335">
        <v>500</v>
      </c>
      <c r="I349" s="1602">
        <v>500</v>
      </c>
      <c r="J349" s="1602">
        <v>500</v>
      </c>
      <c r="L349" s="506"/>
      <c r="M349" s="488"/>
      <c r="N349" s="490"/>
    </row>
    <row r="350" spans="1:15" x14ac:dyDescent="0.2">
      <c r="A350" s="1105">
        <v>633</v>
      </c>
      <c r="B350" s="1105" t="s">
        <v>460</v>
      </c>
      <c r="C350" s="1105" t="s">
        <v>461</v>
      </c>
      <c r="D350" s="1609">
        <v>0</v>
      </c>
      <c r="E350" s="1897">
        <v>0</v>
      </c>
      <c r="F350" s="1531">
        <v>0</v>
      </c>
      <c r="G350" s="1531"/>
      <c r="H350" s="1335"/>
      <c r="I350" s="1610"/>
      <c r="J350" s="1610">
        <v>0</v>
      </c>
      <c r="L350" s="506"/>
      <c r="M350" s="488"/>
      <c r="N350" s="490"/>
    </row>
    <row r="351" spans="1:15" x14ac:dyDescent="0.2">
      <c r="A351" s="1074">
        <v>633</v>
      </c>
      <c r="B351" s="1074" t="s">
        <v>460</v>
      </c>
      <c r="C351" s="1074" t="s">
        <v>690</v>
      </c>
      <c r="D351" s="1609">
        <v>1000</v>
      </c>
      <c r="E351" s="1897">
        <v>1156.42</v>
      </c>
      <c r="F351" s="1531">
        <v>1000</v>
      </c>
      <c r="G351" s="1531">
        <v>0</v>
      </c>
      <c r="H351" s="1335">
        <v>1000</v>
      </c>
      <c r="I351" s="1602">
        <v>1000</v>
      </c>
      <c r="J351" s="1602">
        <v>1000</v>
      </c>
      <c r="L351" s="506"/>
      <c r="M351" s="488"/>
      <c r="N351" s="490"/>
    </row>
    <row r="352" spans="1:15" x14ac:dyDescent="0.2">
      <c r="A352" s="1074">
        <v>642</v>
      </c>
      <c r="B352" s="1611"/>
      <c r="C352" s="1612" t="s">
        <v>560</v>
      </c>
      <c r="D352" s="1609">
        <v>0</v>
      </c>
      <c r="E352" s="1897">
        <v>280</v>
      </c>
      <c r="F352" s="1531">
        <v>0</v>
      </c>
      <c r="G352" s="1531">
        <v>1069</v>
      </c>
      <c r="H352" s="1335"/>
      <c r="I352" s="1602"/>
      <c r="J352" s="1602"/>
      <c r="L352" s="506"/>
      <c r="M352" s="488"/>
      <c r="N352" s="490"/>
    </row>
    <row r="353" spans="1:15" hidden="1" x14ac:dyDescent="0.2">
      <c r="A353" s="1576"/>
      <c r="B353" s="1107"/>
      <c r="C353" s="1577"/>
      <c r="D353" s="1613"/>
      <c r="E353" s="1900"/>
      <c r="F353" s="1531"/>
      <c r="G353" s="1531"/>
      <c r="H353" s="1964"/>
      <c r="I353" s="1614"/>
      <c r="J353" s="1614"/>
      <c r="L353" s="506"/>
      <c r="M353" s="488"/>
      <c r="N353" s="490"/>
    </row>
    <row r="354" spans="1:15" x14ac:dyDescent="0.2">
      <c r="A354" s="1074">
        <v>634</v>
      </c>
      <c r="B354" s="1074"/>
      <c r="C354" s="1074" t="s">
        <v>196</v>
      </c>
      <c r="D354" s="1609">
        <v>200</v>
      </c>
      <c r="E354" s="1897">
        <v>0</v>
      </c>
      <c r="F354" s="1531">
        <v>200</v>
      </c>
      <c r="G354" s="1531">
        <v>0</v>
      </c>
      <c r="H354" s="1335">
        <v>200</v>
      </c>
      <c r="I354" s="1602">
        <v>200</v>
      </c>
      <c r="J354" s="1602">
        <v>200</v>
      </c>
      <c r="L354" s="506"/>
      <c r="M354" s="488"/>
      <c r="N354" s="490"/>
    </row>
    <row r="355" spans="1:15" x14ac:dyDescent="0.2">
      <c r="A355" s="1074">
        <v>634</v>
      </c>
      <c r="B355" s="1074" t="s">
        <v>108</v>
      </c>
      <c r="C355" s="1074" t="s">
        <v>870</v>
      </c>
      <c r="D355" s="1609">
        <v>1500</v>
      </c>
      <c r="E355" s="1897">
        <v>0</v>
      </c>
      <c r="F355" s="1531">
        <v>1500</v>
      </c>
      <c r="G355" s="1531">
        <v>480</v>
      </c>
      <c r="H355" s="1335">
        <v>1500</v>
      </c>
      <c r="I355" s="1615">
        <v>1500</v>
      </c>
      <c r="J355" s="1615">
        <v>1500</v>
      </c>
      <c r="L355" s="506"/>
      <c r="M355" s="488"/>
      <c r="N355" s="490"/>
    </row>
    <row r="356" spans="1:15" x14ac:dyDescent="0.2">
      <c r="A356" s="1074">
        <v>635</v>
      </c>
      <c r="B356" s="1074"/>
      <c r="C356" s="1074" t="s">
        <v>288</v>
      </c>
      <c r="D356" s="1609">
        <v>1000</v>
      </c>
      <c r="E356" s="1897">
        <v>0</v>
      </c>
      <c r="F356" s="1531">
        <v>1000</v>
      </c>
      <c r="G356" s="1531">
        <v>1000</v>
      </c>
      <c r="H356" s="1335">
        <v>1000</v>
      </c>
      <c r="I356" s="1602">
        <v>1000</v>
      </c>
      <c r="J356" s="1602">
        <v>1000</v>
      </c>
      <c r="L356" s="506"/>
      <c r="M356" s="488"/>
      <c r="N356" s="490"/>
      <c r="O356" s="482"/>
    </row>
    <row r="357" spans="1:15" x14ac:dyDescent="0.2">
      <c r="A357" s="1563">
        <v>636</v>
      </c>
      <c r="B357" s="1563" t="s">
        <v>94</v>
      </c>
      <c r="C357" s="1563" t="s">
        <v>561</v>
      </c>
      <c r="D357" s="1609">
        <v>0</v>
      </c>
      <c r="E357" s="1897">
        <v>0</v>
      </c>
      <c r="F357" s="1531">
        <v>0</v>
      </c>
      <c r="G357" s="1531">
        <v>0</v>
      </c>
      <c r="H357" s="1335">
        <v>0</v>
      </c>
      <c r="I357" s="1602">
        <v>0</v>
      </c>
      <c r="J357" s="1602">
        <v>0</v>
      </c>
      <c r="L357" s="518"/>
      <c r="M357" s="469"/>
      <c r="N357" s="490"/>
    </row>
    <row r="358" spans="1:15" x14ac:dyDescent="0.2">
      <c r="A358" s="1563">
        <v>637</v>
      </c>
      <c r="B358" s="1563"/>
      <c r="C358" s="1563" t="s">
        <v>675</v>
      </c>
      <c r="D358" s="1609"/>
      <c r="E358" s="1897"/>
      <c r="F358" s="1531"/>
      <c r="G358" s="1531"/>
      <c r="H358" s="1335"/>
      <c r="I358" s="1616"/>
      <c r="J358" s="1616"/>
      <c r="L358" s="518"/>
      <c r="M358" s="469"/>
      <c r="N358" s="490"/>
    </row>
    <row r="359" spans="1:15" x14ac:dyDescent="0.2">
      <c r="A359" s="1074">
        <v>637</v>
      </c>
      <c r="B359" s="1074"/>
      <c r="C359" s="1074" t="s">
        <v>202</v>
      </c>
      <c r="D359" s="1609">
        <v>500</v>
      </c>
      <c r="E359" s="1897">
        <v>186</v>
      </c>
      <c r="F359" s="1531">
        <v>700</v>
      </c>
      <c r="G359" s="1531">
        <v>3500</v>
      </c>
      <c r="H359" s="1335">
        <v>5000</v>
      </c>
      <c r="I359" s="1602">
        <v>500</v>
      </c>
      <c r="J359" s="1602">
        <v>500</v>
      </c>
      <c r="L359" s="506"/>
      <c r="M359" s="488"/>
      <c r="N359" s="490"/>
    </row>
    <row r="360" spans="1:15" x14ac:dyDescent="0.2">
      <c r="A360" s="1074">
        <v>637</v>
      </c>
      <c r="B360" s="1074" t="s">
        <v>108</v>
      </c>
      <c r="C360" s="1074" t="s">
        <v>562</v>
      </c>
      <c r="D360" s="1609">
        <v>3000</v>
      </c>
      <c r="E360" s="1897">
        <v>13433.65</v>
      </c>
      <c r="F360" s="1531">
        <v>13000</v>
      </c>
      <c r="G360" s="1531">
        <v>8000</v>
      </c>
      <c r="H360" s="1335">
        <v>10000</v>
      </c>
      <c r="I360" s="1602">
        <v>10000</v>
      </c>
      <c r="J360" s="1602">
        <v>5000</v>
      </c>
      <c r="L360" s="506"/>
      <c r="M360" s="488"/>
      <c r="N360" s="490"/>
    </row>
    <row r="361" spans="1:15" x14ac:dyDescent="0.2">
      <c r="A361" s="1074"/>
      <c r="B361" s="1074"/>
      <c r="C361" s="1197" t="s">
        <v>750</v>
      </c>
      <c r="D361" s="1609"/>
      <c r="E361" s="1897"/>
      <c r="F361" s="1531"/>
      <c r="G361" s="1531"/>
      <c r="H361" s="1335"/>
      <c r="I361" s="1617"/>
      <c r="J361" s="1617"/>
      <c r="L361" s="506"/>
      <c r="M361" s="488"/>
      <c r="N361" s="490"/>
    </row>
    <row r="362" spans="1:15" x14ac:dyDescent="0.2">
      <c r="A362" s="1074"/>
      <c r="B362" s="1074"/>
      <c r="C362" s="1197" t="s">
        <v>751</v>
      </c>
      <c r="D362" s="1609">
        <v>0</v>
      </c>
      <c r="E362" s="1897">
        <v>0</v>
      </c>
      <c r="F362" s="1531">
        <v>0</v>
      </c>
      <c r="G362" s="1531">
        <v>0</v>
      </c>
      <c r="H362" s="1335"/>
      <c r="I362" s="1617"/>
      <c r="J362" s="1617">
        <v>0</v>
      </c>
      <c r="L362" s="506"/>
      <c r="M362" s="488"/>
      <c r="N362" s="490"/>
    </row>
    <row r="363" spans="1:15" x14ac:dyDescent="0.2">
      <c r="A363" s="1074">
        <v>642</v>
      </c>
      <c r="B363" s="1074" t="s">
        <v>99</v>
      </c>
      <c r="C363" s="1074" t="s">
        <v>563</v>
      </c>
      <c r="D363" s="1609">
        <v>500</v>
      </c>
      <c r="E363" s="1817">
        <v>464.55</v>
      </c>
      <c r="F363" s="1531">
        <v>500</v>
      </c>
      <c r="G363" s="1531">
        <v>1590</v>
      </c>
      <c r="H363" s="1335">
        <v>1500</v>
      </c>
      <c r="I363" s="1602">
        <v>1500</v>
      </c>
      <c r="J363" s="1602">
        <v>1500</v>
      </c>
      <c r="L363" s="58"/>
      <c r="M363" s="50"/>
      <c r="N363" s="58"/>
      <c r="O363" s="493"/>
    </row>
    <row r="364" spans="1:15" hidden="1" x14ac:dyDescent="0.2">
      <c r="A364" s="1074"/>
      <c r="B364" s="1074"/>
      <c r="C364" s="1074"/>
      <c r="D364" s="1070"/>
      <c r="E364" s="1818"/>
      <c r="F364" s="1310"/>
      <c r="G364" s="1310"/>
      <c r="H364" s="1070"/>
      <c r="I364" s="1070"/>
      <c r="J364" s="1070"/>
      <c r="L364" s="58"/>
      <c r="M364" s="50"/>
      <c r="N364" s="58"/>
      <c r="O364" s="493"/>
    </row>
    <row r="365" spans="1:15" s="92" customFormat="1" ht="11.25" x14ac:dyDescent="0.2">
      <c r="A365" s="1550" t="s">
        <v>564</v>
      </c>
      <c r="B365" s="1550"/>
      <c r="C365" s="1550"/>
      <c r="D365" s="1536">
        <f t="shared" ref="D365:J365" si="71">D366</f>
        <v>1470</v>
      </c>
      <c r="E365" s="1808">
        <f t="shared" si="71"/>
        <v>1655.69</v>
      </c>
      <c r="F365" s="1926">
        <f t="shared" si="71"/>
        <v>1650</v>
      </c>
      <c r="G365" s="1926">
        <f t="shared" si="71"/>
        <v>650</v>
      </c>
      <c r="H365" s="1536">
        <f t="shared" si="71"/>
        <v>1650</v>
      </c>
      <c r="I365" s="1536">
        <f t="shared" si="71"/>
        <v>1650</v>
      </c>
      <c r="J365" s="1536">
        <f t="shared" si="71"/>
        <v>1500</v>
      </c>
      <c r="K365" s="498"/>
      <c r="L365" s="491"/>
      <c r="M365" s="491"/>
      <c r="N365" s="491"/>
    </row>
    <row r="366" spans="1:15" x14ac:dyDescent="0.2">
      <c r="A366" s="1618">
        <v>630</v>
      </c>
      <c r="B366" s="1287"/>
      <c r="C366" s="1287" t="s">
        <v>356</v>
      </c>
      <c r="D366" s="1071">
        <v>1470</v>
      </c>
      <c r="E366" s="1886">
        <v>1655.69</v>
      </c>
      <c r="F366" s="1333">
        <f>SUM(F367:F372)</f>
        <v>1650</v>
      </c>
      <c r="G366" s="1333">
        <f>G368+G369</f>
        <v>650</v>
      </c>
      <c r="H366" s="1322">
        <v>1650</v>
      </c>
      <c r="I366" s="1070">
        <v>1650</v>
      </c>
      <c r="J366" s="1070">
        <f t="shared" ref="J366" si="72">SUM(J367:J372)</f>
        <v>1500</v>
      </c>
      <c r="L366" s="50"/>
      <c r="M366" s="50"/>
      <c r="N366" s="50"/>
    </row>
    <row r="367" spans="1:15" x14ac:dyDescent="0.2">
      <c r="A367" s="914" t="s">
        <v>444</v>
      </c>
      <c r="B367" s="914"/>
      <c r="C367" s="914" t="s">
        <v>190</v>
      </c>
      <c r="D367" s="1118">
        <v>0</v>
      </c>
      <c r="E367" s="1895">
        <v>0</v>
      </c>
      <c r="F367" s="1333">
        <v>0</v>
      </c>
      <c r="G367" s="1333"/>
      <c r="H367" s="1322">
        <v>0</v>
      </c>
      <c r="I367" s="1589">
        <v>0</v>
      </c>
      <c r="J367" s="1589">
        <v>0</v>
      </c>
      <c r="L367" s="506"/>
      <c r="M367" s="488"/>
      <c r="N367" s="506"/>
    </row>
    <row r="368" spans="1:15" x14ac:dyDescent="0.2">
      <c r="A368" s="914">
        <v>632</v>
      </c>
      <c r="B368" s="914"/>
      <c r="C368" s="914" t="s">
        <v>445</v>
      </c>
      <c r="D368" s="1118">
        <v>0</v>
      </c>
      <c r="E368" s="1895">
        <v>101.76</v>
      </c>
      <c r="F368" s="1333"/>
      <c r="G368" s="1333">
        <v>150</v>
      </c>
      <c r="H368" s="1322">
        <v>0</v>
      </c>
      <c r="I368" s="1589">
        <v>0</v>
      </c>
      <c r="J368" s="1589">
        <v>0</v>
      </c>
      <c r="L368" s="506"/>
      <c r="M368" s="488"/>
      <c r="N368" s="506"/>
    </row>
    <row r="369" spans="1:15" x14ac:dyDescent="0.2">
      <c r="A369" s="1074">
        <v>633</v>
      </c>
      <c r="B369" s="1074"/>
      <c r="C369" s="1074" t="s">
        <v>565</v>
      </c>
      <c r="D369" s="1118">
        <v>1320</v>
      </c>
      <c r="E369" s="1895">
        <v>1487.54</v>
      </c>
      <c r="F369" s="1333">
        <v>1500</v>
      </c>
      <c r="G369" s="1333">
        <v>500</v>
      </c>
      <c r="H369" s="1322">
        <v>1500</v>
      </c>
      <c r="I369" s="1589">
        <v>1500</v>
      </c>
      <c r="J369" s="1589">
        <v>1500</v>
      </c>
      <c r="L369" s="506"/>
      <c r="M369" s="488"/>
      <c r="N369" s="506"/>
    </row>
    <row r="370" spans="1:15" x14ac:dyDescent="0.2">
      <c r="A370" s="1074"/>
      <c r="B370" s="1074"/>
      <c r="C370" s="1197" t="s">
        <v>752</v>
      </c>
      <c r="D370" s="1298"/>
      <c r="E370" s="1901"/>
      <c r="F370" s="1333"/>
      <c r="G370" s="1333"/>
      <c r="H370" s="1322"/>
      <c r="I370" s="1619"/>
      <c r="J370" s="1619"/>
      <c r="L370" s="506"/>
      <c r="M370" s="488"/>
      <c r="N370" s="506"/>
    </row>
    <row r="371" spans="1:15" x14ac:dyDescent="0.2">
      <c r="A371" s="1074">
        <v>635</v>
      </c>
      <c r="B371" s="1074"/>
      <c r="C371" s="1074" t="s">
        <v>288</v>
      </c>
      <c r="D371" s="1118">
        <v>150</v>
      </c>
      <c r="E371" s="1895"/>
      <c r="F371" s="1333">
        <v>150</v>
      </c>
      <c r="G371" s="1333"/>
      <c r="H371" s="1322">
        <v>0</v>
      </c>
      <c r="I371" s="1589">
        <v>0</v>
      </c>
      <c r="J371" s="1589">
        <v>0</v>
      </c>
      <c r="L371" s="506"/>
      <c r="M371" s="488"/>
      <c r="N371" s="506"/>
    </row>
    <row r="372" spans="1:15" x14ac:dyDescent="0.2">
      <c r="A372" s="1074">
        <v>637</v>
      </c>
      <c r="B372" s="1074"/>
      <c r="C372" s="1074" t="s">
        <v>202</v>
      </c>
      <c r="D372" s="1118">
        <v>0</v>
      </c>
      <c r="E372" s="1809">
        <v>66.39</v>
      </c>
      <c r="F372" s="1333">
        <v>0</v>
      </c>
      <c r="G372" s="1333"/>
      <c r="H372" s="1322">
        <v>0</v>
      </c>
      <c r="I372" s="1589">
        <v>0</v>
      </c>
      <c r="J372" s="1589">
        <v>0</v>
      </c>
      <c r="L372" s="506"/>
      <c r="M372" s="488"/>
      <c r="N372" s="506"/>
    </row>
    <row r="373" spans="1:15" hidden="1" x14ac:dyDescent="0.2">
      <c r="A373" s="1074"/>
      <c r="B373" s="1074"/>
      <c r="C373" s="1074"/>
      <c r="D373" s="1070"/>
      <c r="E373" s="1818"/>
      <c r="F373" s="1310"/>
      <c r="G373" s="1310"/>
      <c r="H373" s="1070"/>
      <c r="I373" s="1070"/>
      <c r="J373" s="1070"/>
      <c r="L373" s="506"/>
      <c r="M373" s="488"/>
      <c r="N373" s="506"/>
    </row>
    <row r="374" spans="1:15" hidden="1" x14ac:dyDescent="0.2">
      <c r="A374" s="1074"/>
      <c r="B374" s="1074"/>
      <c r="C374" s="1074"/>
      <c r="D374" s="1070"/>
      <c r="E374" s="1818"/>
      <c r="F374" s="1310"/>
      <c r="G374" s="1310"/>
      <c r="H374" s="1070"/>
      <c r="I374" s="1070"/>
      <c r="J374" s="1070"/>
      <c r="L374" s="506"/>
      <c r="M374" s="488"/>
      <c r="N374" s="506"/>
    </row>
    <row r="375" spans="1:15" hidden="1" x14ac:dyDescent="0.2">
      <c r="A375" s="1074"/>
      <c r="B375" s="1074"/>
      <c r="C375" s="1074"/>
      <c r="D375" s="1070"/>
      <c r="E375" s="1818"/>
      <c r="F375" s="1310"/>
      <c r="G375" s="1310"/>
      <c r="H375" s="1070"/>
      <c r="I375" s="1070"/>
      <c r="J375" s="1070"/>
      <c r="L375" s="506"/>
      <c r="M375" s="488"/>
      <c r="N375" s="506"/>
    </row>
    <row r="376" spans="1:15" s="92" customFormat="1" ht="11.25" x14ac:dyDescent="0.2">
      <c r="A376" s="1550" t="s">
        <v>566</v>
      </c>
      <c r="B376" s="1550"/>
      <c r="C376" s="1550"/>
      <c r="D376" s="1536">
        <f t="shared" ref="D376:J376" si="73">SUM(D377)</f>
        <v>1100</v>
      </c>
      <c r="E376" s="1808">
        <f t="shared" si="73"/>
        <v>866.1</v>
      </c>
      <c r="F376" s="1930">
        <f t="shared" si="73"/>
        <v>1000</v>
      </c>
      <c r="G376" s="1930">
        <f>G377</f>
        <v>1000</v>
      </c>
      <c r="H376" s="1536">
        <f t="shared" si="73"/>
        <v>1000</v>
      </c>
      <c r="I376" s="1536">
        <f t="shared" si="73"/>
        <v>1000</v>
      </c>
      <c r="J376" s="1536">
        <f t="shared" si="73"/>
        <v>1000</v>
      </c>
      <c r="K376" s="491"/>
      <c r="L376" s="491"/>
      <c r="M376" s="491"/>
      <c r="N376" s="491"/>
    </row>
    <row r="377" spans="1:15" x14ac:dyDescent="0.2">
      <c r="A377" s="1286">
        <v>637</v>
      </c>
      <c r="B377" s="1286"/>
      <c r="C377" s="1287" t="s">
        <v>202</v>
      </c>
      <c r="D377" s="1071">
        <f t="shared" ref="D377:J377" si="74">D378</f>
        <v>1100</v>
      </c>
      <c r="E377" s="1301">
        <f t="shared" si="74"/>
        <v>866.1</v>
      </c>
      <c r="F377" s="1333">
        <f t="shared" si="74"/>
        <v>1000</v>
      </c>
      <c r="G377" s="1333">
        <f>G378</f>
        <v>1000</v>
      </c>
      <c r="H377" s="1322">
        <f t="shared" si="74"/>
        <v>1000</v>
      </c>
      <c r="I377" s="1070">
        <f t="shared" si="74"/>
        <v>1000</v>
      </c>
      <c r="J377" s="1070">
        <f t="shared" si="74"/>
        <v>1000</v>
      </c>
      <c r="L377" s="50"/>
      <c r="M377" s="50"/>
      <c r="N377" s="50"/>
    </row>
    <row r="378" spans="1:15" x14ac:dyDescent="0.2">
      <c r="A378" s="1074">
        <v>637</v>
      </c>
      <c r="B378" s="1074" t="s">
        <v>117</v>
      </c>
      <c r="C378" s="914" t="s">
        <v>567</v>
      </c>
      <c r="D378" s="1118">
        <v>1100</v>
      </c>
      <c r="E378" s="1895">
        <v>866.1</v>
      </c>
      <c r="F378" s="1333">
        <v>1000</v>
      </c>
      <c r="G378" s="1333">
        <v>1000</v>
      </c>
      <c r="H378" s="1322">
        <v>1000</v>
      </c>
      <c r="I378" s="1589">
        <v>1000</v>
      </c>
      <c r="J378" s="1589">
        <v>1000</v>
      </c>
      <c r="L378" s="506"/>
      <c r="M378" s="488"/>
      <c r="N378" s="506"/>
    </row>
    <row r="379" spans="1:15" x14ac:dyDescent="0.2">
      <c r="A379" s="1550" t="s">
        <v>799</v>
      </c>
      <c r="B379" s="1550"/>
      <c r="C379" s="1550"/>
      <c r="D379" s="1536">
        <f t="shared" ref="D379:I379" si="75">SUM(D380)+D381</f>
        <v>12350</v>
      </c>
      <c r="E379" s="1808">
        <f t="shared" si="75"/>
        <v>9614.65</v>
      </c>
      <c r="F379" s="1930">
        <f t="shared" si="75"/>
        <v>10000</v>
      </c>
      <c r="G379" s="1930">
        <f>G380+G381</f>
        <v>10230</v>
      </c>
      <c r="H379" s="1536">
        <f t="shared" si="75"/>
        <v>10000</v>
      </c>
      <c r="I379" s="1536">
        <f t="shared" si="75"/>
        <v>10000</v>
      </c>
      <c r="J379" s="1536">
        <f t="shared" ref="J379" si="76">SUM(J380)+J381</f>
        <v>10000</v>
      </c>
      <c r="L379" s="506"/>
      <c r="M379" s="488"/>
      <c r="N379" s="506"/>
    </row>
    <row r="380" spans="1:15" x14ac:dyDescent="0.2">
      <c r="A380" s="1074">
        <v>635</v>
      </c>
      <c r="B380" s="1074"/>
      <c r="C380" s="914" t="s">
        <v>273</v>
      </c>
      <c r="D380" s="1071">
        <v>2350</v>
      </c>
      <c r="E380" s="1301">
        <v>0</v>
      </c>
      <c r="F380" s="1333">
        <v>0</v>
      </c>
      <c r="G380" s="1333">
        <v>230</v>
      </c>
      <c r="H380" s="1322">
        <v>0</v>
      </c>
      <c r="I380" s="1070">
        <v>0</v>
      </c>
      <c r="J380" s="1070">
        <v>0</v>
      </c>
      <c r="L380" s="506"/>
      <c r="M380" s="488"/>
      <c r="N380" s="506"/>
    </row>
    <row r="381" spans="1:15" x14ac:dyDescent="0.2">
      <c r="A381" s="1074">
        <v>637</v>
      </c>
      <c r="B381" s="1074" t="s">
        <v>108</v>
      </c>
      <c r="C381" s="914" t="s">
        <v>800</v>
      </c>
      <c r="D381" s="1115">
        <v>10000</v>
      </c>
      <c r="E381" s="1806">
        <v>9614.65</v>
      </c>
      <c r="F381" s="1333">
        <v>10000</v>
      </c>
      <c r="G381" s="1333">
        <v>10000</v>
      </c>
      <c r="H381" s="1335">
        <v>10000</v>
      </c>
      <c r="I381" s="1602">
        <v>10000</v>
      </c>
      <c r="J381" s="1602">
        <v>10000</v>
      </c>
      <c r="L381" s="506"/>
      <c r="M381" s="488"/>
      <c r="N381" s="506"/>
    </row>
    <row r="382" spans="1:15" s="92" customFormat="1" ht="11.25" x14ac:dyDescent="0.2">
      <c r="A382" s="1550" t="s">
        <v>568</v>
      </c>
      <c r="B382" s="1550"/>
      <c r="C382" s="1550"/>
      <c r="D382" s="1536">
        <f t="shared" ref="D382:F382" si="77">SUM(D383,D384)+D385</f>
        <v>9250</v>
      </c>
      <c r="E382" s="1808">
        <f t="shared" si="77"/>
        <v>11145.79</v>
      </c>
      <c r="F382" s="1922">
        <f t="shared" si="77"/>
        <v>5000</v>
      </c>
      <c r="G382" s="1922">
        <f>G383+G384</f>
        <v>3500</v>
      </c>
      <c r="H382" s="1536">
        <f>SUM(H383,H384,H385)</f>
        <v>3000</v>
      </c>
      <c r="I382" s="1536">
        <f>SUM(I383,I384,I385)</f>
        <v>3000</v>
      </c>
      <c r="J382" s="1536">
        <f>SUM(J383,J384,J385)</f>
        <v>3000</v>
      </c>
      <c r="K382" s="491"/>
      <c r="L382" s="471"/>
      <c r="M382" s="471"/>
      <c r="N382" s="471"/>
    </row>
    <row r="383" spans="1:15" s="20" customFormat="1" x14ac:dyDescent="0.2">
      <c r="A383" s="1581">
        <v>630</v>
      </c>
      <c r="B383" s="1112"/>
      <c r="C383" s="1112" t="s">
        <v>569</v>
      </c>
      <c r="D383" s="1071">
        <v>3000</v>
      </c>
      <c r="E383" s="1886">
        <v>3324.79</v>
      </c>
      <c r="F383" s="1333">
        <v>2000</v>
      </c>
      <c r="G383" s="1333">
        <v>2000</v>
      </c>
      <c r="H383" s="1322">
        <v>2000</v>
      </c>
      <c r="I383" s="1070">
        <v>2000</v>
      </c>
      <c r="J383" s="1070">
        <v>2000</v>
      </c>
      <c r="K383" s="48"/>
      <c r="L383" s="58"/>
      <c r="M383" s="50"/>
      <c r="N383" s="50"/>
      <c r="O383" s="16"/>
    </row>
    <row r="384" spans="1:15" s="33" customFormat="1" x14ac:dyDescent="0.2">
      <c r="A384" s="1120">
        <v>642</v>
      </c>
      <c r="B384" s="1120"/>
      <c r="C384" s="1112" t="s">
        <v>981</v>
      </c>
      <c r="D384" s="1071">
        <v>1000</v>
      </c>
      <c r="E384" s="1886">
        <v>6170</v>
      </c>
      <c r="F384" s="1333">
        <v>3000</v>
      </c>
      <c r="G384" s="1333">
        <v>1500</v>
      </c>
      <c r="H384" s="1322">
        <v>1000</v>
      </c>
      <c r="I384" s="1070">
        <v>1000</v>
      </c>
      <c r="J384" s="1070">
        <v>1000</v>
      </c>
      <c r="K384" s="20"/>
      <c r="L384" s="50"/>
      <c r="M384" s="50"/>
      <c r="N384" s="50"/>
      <c r="O384" s="16"/>
    </row>
    <row r="385" spans="1:15" s="33" customFormat="1" x14ac:dyDescent="0.2">
      <c r="A385" s="1074">
        <v>642</v>
      </c>
      <c r="B385" s="1074" t="s">
        <v>94</v>
      </c>
      <c r="C385" s="914" t="s">
        <v>578</v>
      </c>
      <c r="D385" s="1071">
        <v>5250</v>
      </c>
      <c r="E385" s="1886">
        <v>1651</v>
      </c>
      <c r="F385" s="1333">
        <v>0</v>
      </c>
      <c r="G385" s="1333"/>
      <c r="H385" s="1322">
        <v>0</v>
      </c>
      <c r="I385" s="1620">
        <v>0</v>
      </c>
      <c r="J385" s="1620">
        <v>0</v>
      </c>
      <c r="K385" s="20"/>
      <c r="L385" s="506"/>
      <c r="M385" s="50"/>
      <c r="N385" s="50"/>
      <c r="O385" s="16"/>
    </row>
    <row r="386" spans="1:15" x14ac:dyDescent="0.2">
      <c r="A386" s="1551" t="s">
        <v>570</v>
      </c>
      <c r="B386" s="1552"/>
      <c r="C386" s="1553" t="s">
        <v>571</v>
      </c>
      <c r="D386" s="1554">
        <f t="shared" ref="D386:I386" si="78">SUM(D327,D341,D365,D376,D382)+D379</f>
        <v>123000</v>
      </c>
      <c r="E386" s="1759">
        <f t="shared" si="78"/>
        <v>139336.04</v>
      </c>
      <c r="F386" s="1321">
        <f t="shared" si="78"/>
        <v>122750</v>
      </c>
      <c r="G386" s="1321">
        <f t="shared" si="78"/>
        <v>152219</v>
      </c>
      <c r="H386" s="1554">
        <f t="shared" si="78"/>
        <v>133250</v>
      </c>
      <c r="I386" s="1554">
        <f t="shared" si="78"/>
        <v>123750</v>
      </c>
      <c r="J386" s="1554">
        <f t="shared" ref="J386" si="79">SUM(J327,J341,J365,J376,J382)+J379</f>
        <v>119600</v>
      </c>
      <c r="K386" s="491"/>
      <c r="L386" s="471"/>
      <c r="M386" s="471"/>
      <c r="N386" s="471"/>
      <c r="O386" s="507"/>
    </row>
    <row r="387" spans="1:15" hidden="1" x14ac:dyDescent="0.2">
      <c r="A387" s="502"/>
      <c r="B387" s="50"/>
      <c r="C387" s="88"/>
      <c r="D387" s="503"/>
      <c r="E387" s="503"/>
      <c r="F387" s="1305"/>
      <c r="G387" s="1305"/>
      <c r="H387" s="503"/>
      <c r="I387" s="504"/>
      <c r="J387" s="504"/>
    </row>
    <row r="388" spans="1:15" hidden="1" x14ac:dyDescent="0.2">
      <c r="A388" s="502"/>
      <c r="B388" s="50"/>
      <c r="C388" s="88"/>
      <c r="D388" s="503"/>
      <c r="E388" s="503"/>
      <c r="F388" s="1305"/>
      <c r="G388" s="1305"/>
      <c r="H388" s="503"/>
      <c r="I388" s="504"/>
      <c r="J388" s="504"/>
    </row>
    <row r="389" spans="1:15" hidden="1" x14ac:dyDescent="0.2">
      <c r="A389" s="502"/>
      <c r="B389" s="50"/>
      <c r="C389" s="88"/>
      <c r="D389" s="503"/>
      <c r="E389" s="503"/>
      <c r="F389" s="1305"/>
      <c r="G389" s="1305"/>
      <c r="H389" s="503"/>
      <c r="I389" s="504"/>
      <c r="J389" s="504"/>
    </row>
    <row r="390" spans="1:15" x14ac:dyDescent="0.2">
      <c r="A390" s="502"/>
      <c r="B390" s="50"/>
      <c r="C390" s="88"/>
      <c r="D390" s="503"/>
      <c r="E390" s="503"/>
      <c r="F390" s="1277"/>
      <c r="G390" s="1277"/>
      <c r="H390" s="503"/>
      <c r="I390" s="504"/>
      <c r="J390" s="504"/>
    </row>
    <row r="391" spans="1:15" hidden="1" x14ac:dyDescent="0.2">
      <c r="A391" s="502"/>
      <c r="B391" s="50"/>
      <c r="C391" s="88"/>
      <c r="D391" s="503"/>
      <c r="E391" s="503"/>
      <c r="F391" s="1277"/>
      <c r="G391" s="1277"/>
      <c r="H391" s="503"/>
      <c r="I391" s="504"/>
      <c r="J391" s="504"/>
    </row>
    <row r="392" spans="1:15" hidden="1" x14ac:dyDescent="0.2">
      <c r="A392" s="502"/>
      <c r="B392" s="50"/>
      <c r="C392" s="88"/>
      <c r="D392" s="503"/>
      <c r="E392" s="503"/>
      <c r="F392" s="1277"/>
      <c r="G392" s="1277"/>
      <c r="H392" s="503"/>
      <c r="I392" s="504"/>
      <c r="J392" s="504"/>
    </row>
    <row r="393" spans="1:15" hidden="1" x14ac:dyDescent="0.2">
      <c r="A393" s="502"/>
      <c r="B393" s="50"/>
      <c r="C393" s="88"/>
      <c r="D393" s="503"/>
      <c r="E393" s="503"/>
      <c r="F393" s="1277"/>
      <c r="G393" s="1277"/>
      <c r="H393" s="503"/>
      <c r="I393" s="504"/>
      <c r="J393" s="504"/>
    </row>
    <row r="394" spans="1:15" x14ac:dyDescent="0.2">
      <c r="A394" s="502"/>
      <c r="B394" s="50"/>
      <c r="C394" s="88"/>
      <c r="D394" s="503"/>
      <c r="E394" s="503"/>
      <c r="F394" s="1277"/>
      <c r="G394" s="1277"/>
      <c r="H394" s="503"/>
      <c r="I394" s="504"/>
      <c r="J394" s="504"/>
    </row>
    <row r="395" spans="1:15" x14ac:dyDescent="0.2">
      <c r="A395" s="502"/>
      <c r="B395" s="50"/>
      <c r="C395" s="88"/>
      <c r="D395" s="503"/>
      <c r="E395" s="2407" t="s">
        <v>1466</v>
      </c>
      <c r="F395" s="2407"/>
      <c r="G395" s="2407"/>
      <c r="H395" s="2407"/>
      <c r="I395" s="2407"/>
      <c r="J395" s="1795"/>
      <c r="K395" s="86"/>
      <c r="L395" s="86"/>
      <c r="M395" s="86"/>
      <c r="N395" s="86"/>
    </row>
    <row r="396" spans="1:15" s="497" customFormat="1" x14ac:dyDescent="0.2">
      <c r="A396" s="1544" t="s">
        <v>426</v>
      </c>
      <c r="B396" s="1545"/>
      <c r="C396" s="1546"/>
      <c r="D396" s="1548">
        <v>2022</v>
      </c>
      <c r="E396" s="1915" t="s">
        <v>983</v>
      </c>
      <c r="F396" s="1549">
        <v>2024</v>
      </c>
      <c r="G396" s="1549" t="s">
        <v>984</v>
      </c>
      <c r="H396" s="1724">
        <v>2025</v>
      </c>
      <c r="I396" s="1724">
        <v>2026</v>
      </c>
      <c r="J396" s="1724">
        <v>2027</v>
      </c>
      <c r="K396" s="495"/>
      <c r="L396" s="496"/>
      <c r="M396" s="467"/>
      <c r="N396" s="468"/>
    </row>
    <row r="397" spans="1:15" s="92" customFormat="1" ht="11.25" x14ac:dyDescent="0.2">
      <c r="A397" s="1550" t="s">
        <v>572</v>
      </c>
      <c r="B397" s="1550"/>
      <c r="C397" s="1550"/>
      <c r="D397" s="1536">
        <f t="shared" ref="D397:I397" si="80">D398+D434</f>
        <v>289409</v>
      </c>
      <c r="E397" s="1808">
        <v>348711.52</v>
      </c>
      <c r="F397" s="1933">
        <f>F398+F434</f>
        <v>369455</v>
      </c>
      <c r="G397" s="1933">
        <f>G398+G434</f>
        <v>342381</v>
      </c>
      <c r="H397" s="1536">
        <f t="shared" si="80"/>
        <v>342090</v>
      </c>
      <c r="I397" s="1536">
        <f t="shared" si="80"/>
        <v>346345</v>
      </c>
      <c r="J397" s="1536">
        <f t="shared" ref="J397" si="81">J398+J434</f>
        <v>346245</v>
      </c>
      <c r="K397" s="491"/>
      <c r="L397" s="471"/>
      <c r="M397" s="471"/>
      <c r="N397" s="471"/>
    </row>
    <row r="398" spans="1:15" s="92" customFormat="1" ht="11.25" x14ac:dyDescent="0.2">
      <c r="A398" s="2409" t="s">
        <v>158</v>
      </c>
      <c r="B398" s="2409"/>
      <c r="C398" s="2409"/>
      <c r="D398" s="1526">
        <f>D399+D401+D404+D400+D403</f>
        <v>244247</v>
      </c>
      <c r="E398" s="1819">
        <f>E399+E401+E404+E400</f>
        <v>0</v>
      </c>
      <c r="F398" s="1934">
        <f>F399+F401+F404+F400</f>
        <v>312735</v>
      </c>
      <c r="G398" s="1934">
        <f>G399+G401+G404+G400</f>
        <v>289799</v>
      </c>
      <c r="H398" s="1526">
        <f>H399+H401+H404+H433+H400+H402</f>
        <v>276070</v>
      </c>
      <c r="I398" s="1526">
        <f>I399+I401+I404+I433+I400</f>
        <v>275565</v>
      </c>
      <c r="J398" s="1526">
        <f>J399+J401+J404+J433+J400</f>
        <v>275565</v>
      </c>
      <c r="K398" s="491"/>
      <c r="L398" s="471"/>
      <c r="M398" s="471"/>
      <c r="N398" s="471"/>
    </row>
    <row r="399" spans="1:15" x14ac:dyDescent="0.2">
      <c r="A399" s="1621"/>
      <c r="B399" s="1295">
        <v>610</v>
      </c>
      <c r="C399" s="1622" t="s">
        <v>441</v>
      </c>
      <c r="D399" s="1123">
        <v>133082</v>
      </c>
      <c r="E399" s="1820"/>
      <c r="F399" s="1523">
        <v>155000</v>
      </c>
      <c r="G399" s="1523">
        <v>162100</v>
      </c>
      <c r="H399" s="1950">
        <v>165000</v>
      </c>
      <c r="I399" s="1623">
        <v>170000</v>
      </c>
      <c r="J399" s="1623">
        <v>170000</v>
      </c>
      <c r="K399" s="48"/>
      <c r="L399" s="58"/>
      <c r="M399" s="50"/>
      <c r="N399" s="58"/>
    </row>
    <row r="400" spans="1:15" x14ac:dyDescent="0.2">
      <c r="A400" s="1621"/>
      <c r="B400" s="1295">
        <v>610</v>
      </c>
      <c r="C400" s="1622" t="s">
        <v>825</v>
      </c>
      <c r="D400" s="1123">
        <v>16993</v>
      </c>
      <c r="E400" s="1820"/>
      <c r="F400" s="1523">
        <v>26760</v>
      </c>
      <c r="G400" s="1523">
        <v>10460</v>
      </c>
      <c r="H400" s="1950">
        <v>0</v>
      </c>
      <c r="I400" s="1623">
        <v>0</v>
      </c>
      <c r="J400" s="1623">
        <v>0</v>
      </c>
      <c r="K400" s="48"/>
      <c r="L400" s="58"/>
      <c r="M400" s="50"/>
      <c r="N400" s="58"/>
    </row>
    <row r="401" spans="1:15" x14ac:dyDescent="0.2">
      <c r="A401" s="1621"/>
      <c r="B401" s="1295">
        <v>620</v>
      </c>
      <c r="C401" s="1624" t="s">
        <v>188</v>
      </c>
      <c r="D401" s="1123">
        <v>52451</v>
      </c>
      <c r="E401" s="1820"/>
      <c r="F401" s="1523">
        <v>63525</v>
      </c>
      <c r="G401" s="1523">
        <v>50310</v>
      </c>
      <c r="H401" s="1950">
        <v>57670</v>
      </c>
      <c r="I401" s="1623">
        <v>59415</v>
      </c>
      <c r="J401" s="2141">
        <v>59415</v>
      </c>
      <c r="K401" s="48"/>
      <c r="L401" s="58"/>
      <c r="M401" s="50"/>
      <c r="N401" s="58"/>
    </row>
    <row r="402" spans="1:15" x14ac:dyDescent="0.2">
      <c r="A402" s="1294"/>
      <c r="B402" s="1649"/>
      <c r="C402" s="2142" t="s">
        <v>1455</v>
      </c>
      <c r="D402" s="1649"/>
      <c r="E402" s="1649"/>
      <c r="F402" s="1649"/>
      <c r="G402" s="1649"/>
      <c r="H402" s="2151">
        <v>10000</v>
      </c>
      <c r="I402" s="1649"/>
      <c r="J402" s="16"/>
      <c r="K402" s="48"/>
      <c r="L402" s="58"/>
      <c r="M402" s="50"/>
      <c r="N402" s="58"/>
    </row>
    <row r="403" spans="1:15" hidden="1" x14ac:dyDescent="0.2">
      <c r="A403" s="2412">
        <v>610.62</v>
      </c>
      <c r="B403" s="2412"/>
      <c r="C403" s="1074" t="s">
        <v>826</v>
      </c>
      <c r="D403" s="1333"/>
      <c r="E403" s="1821"/>
      <c r="F403" s="1333"/>
      <c r="G403" s="1333"/>
      <c r="H403" s="1965"/>
      <c r="I403" s="1625"/>
      <c r="J403" s="1625"/>
      <c r="K403" s="48"/>
      <c r="L403" s="58"/>
      <c r="M403" s="50"/>
      <c r="N403" s="58"/>
    </row>
    <row r="404" spans="1:15" s="33" customFormat="1" x14ac:dyDescent="0.2">
      <c r="A404" s="1119"/>
      <c r="B404" s="1295" t="s">
        <v>574</v>
      </c>
      <c r="C404" s="1626" t="s">
        <v>356</v>
      </c>
      <c r="D404" s="1523">
        <f>D405+D406+D416+D420+D428+D433</f>
        <v>41721</v>
      </c>
      <c r="E404" s="1822"/>
      <c r="F404" s="1523">
        <f>F405+F406+F416+F420+F428+F433</f>
        <v>67450</v>
      </c>
      <c r="G404" s="1523">
        <f>G405+G406+G416+G420+G428+G433</f>
        <v>66929</v>
      </c>
      <c r="H404" s="1950">
        <f>H405+H406+H416+H420+H428</f>
        <v>43400</v>
      </c>
      <c r="I404" s="1623">
        <f>I405+I406+I416+I420+I428</f>
        <v>46150</v>
      </c>
      <c r="J404" s="1623">
        <f>J405+J406+J416+J420+J428</f>
        <v>46150</v>
      </c>
      <c r="K404" s="48"/>
      <c r="L404" s="58"/>
      <c r="M404" s="50"/>
      <c r="N404" s="58"/>
      <c r="O404" s="49"/>
    </row>
    <row r="405" spans="1:15" s="33" customFormat="1" x14ac:dyDescent="0.2">
      <c r="A405" s="1570">
        <v>632</v>
      </c>
      <c r="B405" s="1570"/>
      <c r="C405" s="1570" t="s">
        <v>445</v>
      </c>
      <c r="D405" s="1199">
        <v>18176</v>
      </c>
      <c r="E405" s="1820"/>
      <c r="F405" s="1523">
        <v>25000</v>
      </c>
      <c r="G405" s="1523">
        <v>22330</v>
      </c>
      <c r="H405" s="1950">
        <v>25000</v>
      </c>
      <c r="I405" s="1623">
        <v>28000</v>
      </c>
      <c r="J405" s="1623">
        <v>28000</v>
      </c>
      <c r="K405" s="48"/>
      <c r="L405" s="58"/>
      <c r="M405" s="50"/>
      <c r="N405" s="58"/>
      <c r="O405" s="49"/>
    </row>
    <row r="406" spans="1:15" s="33" customFormat="1" x14ac:dyDescent="0.2">
      <c r="A406" s="1573">
        <v>633</v>
      </c>
      <c r="B406" s="1573"/>
      <c r="C406" s="1573" t="s">
        <v>447</v>
      </c>
      <c r="D406" s="1523">
        <f t="shared" ref="D406:I406" si="82">SUM(D407:D415)</f>
        <v>3028</v>
      </c>
      <c r="E406" s="1823"/>
      <c r="F406" s="1523">
        <f>SUM(F407:F415)</f>
        <v>6500</v>
      </c>
      <c r="G406" s="1523">
        <f>SUM(G407:G415)</f>
        <v>3561</v>
      </c>
      <c r="H406" s="1950">
        <f t="shared" si="82"/>
        <v>4850</v>
      </c>
      <c r="I406" s="1623">
        <f t="shared" si="82"/>
        <v>4800</v>
      </c>
      <c r="J406" s="1623">
        <f t="shared" ref="J406" si="83">SUM(J407:J415)</f>
        <v>4800</v>
      </c>
      <c r="K406" s="48"/>
      <c r="L406" s="58"/>
      <c r="M406" s="50"/>
      <c r="N406" s="58"/>
      <c r="O406" s="49"/>
    </row>
    <row r="407" spans="1:15" s="33" customFormat="1" x14ac:dyDescent="0.2">
      <c r="A407" s="914">
        <v>633</v>
      </c>
      <c r="B407" s="914" t="s">
        <v>91</v>
      </c>
      <c r="C407" s="914" t="s">
        <v>448</v>
      </c>
      <c r="D407" s="1118">
        <v>18</v>
      </c>
      <c r="E407" s="1813"/>
      <c r="F407" s="1531">
        <v>1000</v>
      </c>
      <c r="G407" s="1531">
        <v>125</v>
      </c>
      <c r="H407" s="1335">
        <v>1000</v>
      </c>
      <c r="I407" s="1602">
        <v>1000</v>
      </c>
      <c r="J407" s="1602">
        <v>1000</v>
      </c>
      <c r="K407" s="48"/>
      <c r="L407" s="58"/>
      <c r="M407" s="50"/>
      <c r="N407" s="58"/>
      <c r="O407" s="49"/>
    </row>
    <row r="408" spans="1:15" s="33" customFormat="1" x14ac:dyDescent="0.2">
      <c r="A408" s="1074">
        <v>633</v>
      </c>
      <c r="B408" s="1574" t="s">
        <v>94</v>
      </c>
      <c r="C408" s="1074" t="s">
        <v>449</v>
      </c>
      <c r="D408" s="1118">
        <v>20</v>
      </c>
      <c r="E408" s="1813"/>
      <c r="F408" s="1531">
        <v>500</v>
      </c>
      <c r="G408" s="1531">
        <v>32</v>
      </c>
      <c r="H408" s="1335">
        <v>250</v>
      </c>
      <c r="I408" s="1602">
        <v>200</v>
      </c>
      <c r="J408" s="1602">
        <v>200</v>
      </c>
      <c r="K408" s="48"/>
      <c r="L408" s="58"/>
      <c r="M408" s="50"/>
      <c r="N408" s="58"/>
      <c r="O408" s="49"/>
    </row>
    <row r="409" spans="1:15" s="33" customFormat="1" x14ac:dyDescent="0.2">
      <c r="A409" s="1074">
        <v>633</v>
      </c>
      <c r="B409" s="1574" t="s">
        <v>117</v>
      </c>
      <c r="C409" s="1074" t="s">
        <v>450</v>
      </c>
      <c r="D409" s="1118">
        <v>86</v>
      </c>
      <c r="E409" s="1813"/>
      <c r="F409" s="1531">
        <v>500</v>
      </c>
      <c r="G409" s="1531">
        <v>500</v>
      </c>
      <c r="H409" s="1335">
        <v>200</v>
      </c>
      <c r="I409" s="1602">
        <v>200</v>
      </c>
      <c r="J409" s="1602">
        <v>200</v>
      </c>
      <c r="K409" s="48"/>
      <c r="L409" s="58"/>
      <c r="M409" s="50"/>
      <c r="N409" s="58"/>
      <c r="O409" s="49"/>
    </row>
    <row r="410" spans="1:15" s="33" customFormat="1" x14ac:dyDescent="0.2">
      <c r="A410" s="1074">
        <v>633</v>
      </c>
      <c r="B410" s="1074" t="s">
        <v>122</v>
      </c>
      <c r="C410" s="1074" t="s">
        <v>452</v>
      </c>
      <c r="D410" s="1118">
        <v>1587</v>
      </c>
      <c r="E410" s="1813"/>
      <c r="F410" s="1531">
        <v>2000</v>
      </c>
      <c r="G410" s="1531">
        <v>1825</v>
      </c>
      <c r="H410" s="1335">
        <v>2000</v>
      </c>
      <c r="I410" s="1602">
        <v>2000</v>
      </c>
      <c r="J410" s="1602">
        <v>2000</v>
      </c>
      <c r="K410" s="48"/>
      <c r="L410" s="58"/>
      <c r="M410" s="50"/>
      <c r="N410" s="58"/>
      <c r="O410" s="49"/>
    </row>
    <row r="411" spans="1:15" s="33" customFormat="1" x14ac:dyDescent="0.2">
      <c r="A411" s="1074">
        <v>633</v>
      </c>
      <c r="B411" s="1074" t="s">
        <v>453</v>
      </c>
      <c r="C411" s="1074" t="s">
        <v>454</v>
      </c>
      <c r="D411" s="1118">
        <v>622</v>
      </c>
      <c r="E411" s="1813"/>
      <c r="F411" s="1531">
        <v>1000</v>
      </c>
      <c r="G411" s="1531">
        <v>213</v>
      </c>
      <c r="H411" s="1335">
        <v>500</v>
      </c>
      <c r="I411" s="1602">
        <v>500</v>
      </c>
      <c r="J411" s="1602">
        <v>500</v>
      </c>
      <c r="K411" s="48"/>
      <c r="L411" s="58"/>
      <c r="M411" s="50"/>
      <c r="N411" s="58"/>
      <c r="O411" s="49"/>
    </row>
    <row r="412" spans="1:15" s="33" customFormat="1" x14ac:dyDescent="0.2">
      <c r="A412" s="1074">
        <v>633</v>
      </c>
      <c r="B412" s="1074" t="s">
        <v>455</v>
      </c>
      <c r="C412" s="1074" t="s">
        <v>456</v>
      </c>
      <c r="D412" s="1118">
        <v>0</v>
      </c>
      <c r="E412" s="1813"/>
      <c r="F412" s="1531">
        <v>300</v>
      </c>
      <c r="G412" s="1531">
        <v>0</v>
      </c>
      <c r="H412" s="1335">
        <v>200</v>
      </c>
      <c r="I412" s="1602">
        <v>200</v>
      </c>
      <c r="J412" s="1602">
        <v>200</v>
      </c>
      <c r="K412" s="48"/>
      <c r="L412" s="58"/>
      <c r="M412" s="50"/>
      <c r="N412" s="58"/>
      <c r="O412" s="49"/>
    </row>
    <row r="413" spans="1:15" s="33" customFormat="1" x14ac:dyDescent="0.2">
      <c r="A413" s="1074">
        <v>633</v>
      </c>
      <c r="B413" s="1074" t="s">
        <v>457</v>
      </c>
      <c r="C413" s="1074" t="s">
        <v>763</v>
      </c>
      <c r="D413" s="1118">
        <v>92</v>
      </c>
      <c r="E413" s="1813"/>
      <c r="F413" s="1531">
        <v>200</v>
      </c>
      <c r="G413" s="1531">
        <v>114</v>
      </c>
      <c r="H413" s="1335">
        <v>200</v>
      </c>
      <c r="I413" s="1602">
        <v>200</v>
      </c>
      <c r="J413" s="1602">
        <v>200</v>
      </c>
      <c r="K413" s="48"/>
      <c r="L413" s="58"/>
      <c r="M413" s="50"/>
      <c r="N413" s="58"/>
      <c r="O413" s="49"/>
    </row>
    <row r="414" spans="1:15" s="33" customFormat="1" x14ac:dyDescent="0.2">
      <c r="A414" s="1074">
        <v>633</v>
      </c>
      <c r="B414" s="1074" t="s">
        <v>100</v>
      </c>
      <c r="C414" s="1074" t="s">
        <v>459</v>
      </c>
      <c r="D414" s="1118">
        <v>103</v>
      </c>
      <c r="E414" s="1813"/>
      <c r="F414" s="1531">
        <v>500</v>
      </c>
      <c r="G414" s="1531">
        <v>379</v>
      </c>
      <c r="H414" s="1335">
        <v>500</v>
      </c>
      <c r="I414" s="1602">
        <v>500</v>
      </c>
      <c r="J414" s="1602">
        <v>500</v>
      </c>
      <c r="K414" s="48"/>
      <c r="L414" s="58"/>
      <c r="M414" s="50"/>
      <c r="N414" s="58"/>
      <c r="O414" s="49"/>
    </row>
    <row r="415" spans="1:15" s="33" customFormat="1" x14ac:dyDescent="0.2">
      <c r="A415" s="1074">
        <v>633</v>
      </c>
      <c r="B415" s="1074" t="s">
        <v>460</v>
      </c>
      <c r="C415" s="1074" t="s">
        <v>461</v>
      </c>
      <c r="D415" s="1118">
        <v>500</v>
      </c>
      <c r="E415" s="1813"/>
      <c r="F415" s="1531">
        <v>500</v>
      </c>
      <c r="G415" s="1531">
        <v>373</v>
      </c>
      <c r="H415" s="1335">
        <v>0</v>
      </c>
      <c r="I415" s="1602">
        <v>0</v>
      </c>
      <c r="J415" s="1602">
        <v>0</v>
      </c>
      <c r="K415" s="48"/>
      <c r="L415" s="58"/>
      <c r="M415" s="50"/>
      <c r="N415" s="58"/>
      <c r="O415" s="49"/>
    </row>
    <row r="416" spans="1:15" s="33" customFormat="1" x14ac:dyDescent="0.2">
      <c r="A416" s="1573">
        <v>635</v>
      </c>
      <c r="B416" s="1573"/>
      <c r="C416" s="1573" t="s">
        <v>469</v>
      </c>
      <c r="D416" s="1523">
        <f>SUM(D417:D419)</f>
        <v>1940</v>
      </c>
      <c r="E416" s="1823"/>
      <c r="F416" s="1523">
        <f>SUM(F417:F419)</f>
        <v>2600</v>
      </c>
      <c r="G416" s="1523">
        <f>SUM(G417:G419)</f>
        <v>666</v>
      </c>
      <c r="H416" s="1950">
        <f t="shared" ref="H416:I416" si="84">SUM(H417:H419)</f>
        <v>1300</v>
      </c>
      <c r="I416" s="1623">
        <f t="shared" si="84"/>
        <v>1300</v>
      </c>
      <c r="J416" s="1623">
        <f t="shared" ref="J416" si="85">SUM(J417:J419)</f>
        <v>1300</v>
      </c>
      <c r="K416" s="48"/>
      <c r="L416" s="58"/>
      <c r="M416" s="50"/>
      <c r="N416" s="58"/>
      <c r="O416" s="49"/>
    </row>
    <row r="417" spans="1:15" s="33" customFormat="1" x14ac:dyDescent="0.2">
      <c r="A417" s="1074">
        <v>635</v>
      </c>
      <c r="B417" s="1074" t="s">
        <v>94</v>
      </c>
      <c r="C417" s="1074" t="s">
        <v>470</v>
      </c>
      <c r="D417" s="1118">
        <v>0</v>
      </c>
      <c r="E417" s="1813"/>
      <c r="F417" s="1531">
        <v>100</v>
      </c>
      <c r="G417" s="1531">
        <v>0</v>
      </c>
      <c r="H417" s="1335">
        <v>0</v>
      </c>
      <c r="I417" s="1602">
        <v>0</v>
      </c>
      <c r="J417" s="1602">
        <v>0</v>
      </c>
      <c r="K417" s="48"/>
      <c r="L417" s="58"/>
      <c r="M417" s="50"/>
      <c r="N417" s="58"/>
      <c r="O417" s="49"/>
    </row>
    <row r="418" spans="1:15" s="33" customFormat="1" x14ac:dyDescent="0.2">
      <c r="A418" s="1074">
        <v>635</v>
      </c>
      <c r="B418" s="1074" t="s">
        <v>108</v>
      </c>
      <c r="C418" s="1074" t="s">
        <v>471</v>
      </c>
      <c r="D418" s="1118">
        <v>1940</v>
      </c>
      <c r="E418" s="1813"/>
      <c r="F418" s="1531">
        <v>500</v>
      </c>
      <c r="G418" s="1531">
        <v>666</v>
      </c>
      <c r="H418" s="1335">
        <v>300</v>
      </c>
      <c r="I418" s="1602">
        <v>300</v>
      </c>
      <c r="J418" s="1602">
        <v>300</v>
      </c>
      <c r="K418" s="48"/>
      <c r="L418" s="58"/>
      <c r="M418" s="50"/>
      <c r="N418" s="58"/>
      <c r="O418" s="49"/>
    </row>
    <row r="419" spans="1:15" s="33" customFormat="1" x14ac:dyDescent="0.2">
      <c r="A419" s="1074">
        <v>635</v>
      </c>
      <c r="B419" s="1074" t="s">
        <v>122</v>
      </c>
      <c r="C419" s="1074" t="s">
        <v>472</v>
      </c>
      <c r="D419" s="1118">
        <v>0</v>
      </c>
      <c r="E419" s="1813"/>
      <c r="F419" s="1531">
        <v>2000</v>
      </c>
      <c r="G419" s="1531">
        <v>0</v>
      </c>
      <c r="H419" s="1335">
        <v>1000</v>
      </c>
      <c r="I419" s="1602">
        <v>1000</v>
      </c>
      <c r="J419" s="1602">
        <v>1000</v>
      </c>
      <c r="K419" s="48"/>
      <c r="L419" s="58"/>
      <c r="M419" s="50"/>
      <c r="N419" s="58"/>
      <c r="O419" s="49"/>
    </row>
    <row r="420" spans="1:15" s="33" customFormat="1" x14ac:dyDescent="0.2">
      <c r="A420" s="1573">
        <v>637</v>
      </c>
      <c r="B420" s="1573"/>
      <c r="C420" s="1573" t="s">
        <v>475</v>
      </c>
      <c r="D420" s="1523">
        <f>SUM(D421:D427)</f>
        <v>6367</v>
      </c>
      <c r="E420" s="1823"/>
      <c r="F420" s="1523">
        <f>SUM(F421:F427)</f>
        <v>13050</v>
      </c>
      <c r="G420" s="1523">
        <f>SUM(G421:G427)</f>
        <v>11200</v>
      </c>
      <c r="H420" s="1950">
        <f t="shared" ref="H420:I420" si="86">SUM(H421:H427)</f>
        <v>12150</v>
      </c>
      <c r="I420" s="1623">
        <f t="shared" si="86"/>
        <v>11950</v>
      </c>
      <c r="J420" s="1623">
        <f t="shared" ref="J420" si="87">SUM(J421:J427)</f>
        <v>11950</v>
      </c>
      <c r="K420" s="48"/>
      <c r="L420" s="58"/>
      <c r="M420" s="50"/>
      <c r="N420" s="58"/>
      <c r="O420" s="49"/>
    </row>
    <row r="421" spans="1:15" s="33" customFormat="1" x14ac:dyDescent="0.2">
      <c r="A421" s="1074">
        <v>637</v>
      </c>
      <c r="B421" s="1074" t="s">
        <v>91</v>
      </c>
      <c r="C421" s="1074" t="s">
        <v>476</v>
      </c>
      <c r="D421" s="1118">
        <v>0</v>
      </c>
      <c r="E421" s="1813"/>
      <c r="F421" s="1531">
        <v>350</v>
      </c>
      <c r="G421" s="1531">
        <v>310</v>
      </c>
      <c r="H421" s="1335">
        <v>150</v>
      </c>
      <c r="I421" s="1076">
        <v>150</v>
      </c>
      <c r="J421" s="1076">
        <v>150</v>
      </c>
      <c r="K421" s="48"/>
      <c r="L421" s="58"/>
      <c r="M421" s="50"/>
      <c r="N421" s="58"/>
      <c r="O421" s="49"/>
    </row>
    <row r="422" spans="1:15" s="33" customFormat="1" x14ac:dyDescent="0.2">
      <c r="A422" s="1074">
        <v>637</v>
      </c>
      <c r="B422" s="1074" t="s">
        <v>108</v>
      </c>
      <c r="C422" s="1074" t="s">
        <v>479</v>
      </c>
      <c r="D422" s="1118">
        <v>4828</v>
      </c>
      <c r="E422" s="1813"/>
      <c r="F422" s="1531">
        <v>5500</v>
      </c>
      <c r="G422" s="1531">
        <v>5150</v>
      </c>
      <c r="H422" s="1335">
        <v>5500</v>
      </c>
      <c r="I422" s="1076">
        <v>5500</v>
      </c>
      <c r="J422" s="1076">
        <v>5500</v>
      </c>
      <c r="K422" s="48"/>
      <c r="L422" s="58"/>
      <c r="M422" s="50"/>
      <c r="N422" s="58"/>
      <c r="O422" s="49"/>
    </row>
    <row r="423" spans="1:15" s="33" customFormat="1" x14ac:dyDescent="0.2">
      <c r="A423" s="1074">
        <v>637</v>
      </c>
      <c r="B423" s="1074" t="s">
        <v>117</v>
      </c>
      <c r="C423" s="1074" t="s">
        <v>321</v>
      </c>
      <c r="D423" s="1118">
        <v>0</v>
      </c>
      <c r="E423" s="1813"/>
      <c r="F423" s="1531">
        <v>500</v>
      </c>
      <c r="G423" s="1531">
        <v>0</v>
      </c>
      <c r="H423" s="1335">
        <v>100</v>
      </c>
      <c r="I423" s="1076">
        <v>0</v>
      </c>
      <c r="J423" s="1076">
        <v>0</v>
      </c>
      <c r="K423" s="48"/>
      <c r="L423" s="58"/>
      <c r="M423" s="50"/>
      <c r="N423" s="58"/>
      <c r="O423" s="49"/>
    </row>
    <row r="424" spans="1:15" s="33" customFormat="1" x14ac:dyDescent="0.2">
      <c r="A424" s="1074">
        <v>637</v>
      </c>
      <c r="B424" s="1074" t="s">
        <v>99</v>
      </c>
      <c r="C424" s="1074" t="s">
        <v>480</v>
      </c>
      <c r="D424" s="1118">
        <v>379</v>
      </c>
      <c r="E424" s="1813"/>
      <c r="F424" s="1531">
        <v>500</v>
      </c>
      <c r="G424" s="1531">
        <v>463</v>
      </c>
      <c r="H424" s="1335">
        <v>500</v>
      </c>
      <c r="I424" s="1076">
        <v>300</v>
      </c>
      <c r="J424" s="1076">
        <v>300</v>
      </c>
      <c r="K424" s="48"/>
      <c r="L424" s="58"/>
      <c r="M424" s="50"/>
      <c r="N424" s="58"/>
      <c r="O424" s="49"/>
    </row>
    <row r="425" spans="1:15" s="33" customFormat="1" x14ac:dyDescent="0.2">
      <c r="A425" s="1074">
        <v>637</v>
      </c>
      <c r="B425" s="1074" t="s">
        <v>102</v>
      </c>
      <c r="C425" s="1074" t="s">
        <v>481</v>
      </c>
      <c r="D425" s="1118">
        <v>0</v>
      </c>
      <c r="E425" s="1813"/>
      <c r="F425" s="1531">
        <v>3900</v>
      </c>
      <c r="G425" s="1531">
        <v>3866</v>
      </c>
      <c r="H425" s="1335">
        <v>3900</v>
      </c>
      <c r="I425" s="1076">
        <v>3900</v>
      </c>
      <c r="J425" s="1076">
        <v>3900</v>
      </c>
      <c r="K425" s="48"/>
      <c r="L425" s="58"/>
      <c r="M425" s="50"/>
      <c r="N425" s="58"/>
      <c r="O425" s="49"/>
    </row>
    <row r="426" spans="1:15" s="33" customFormat="1" x14ac:dyDescent="0.2">
      <c r="A426" s="1074">
        <v>637</v>
      </c>
      <c r="B426" s="1074" t="s">
        <v>460</v>
      </c>
      <c r="C426" s="1074" t="s">
        <v>485</v>
      </c>
      <c r="D426" s="1118">
        <v>960</v>
      </c>
      <c r="E426" s="1813"/>
      <c r="F426" s="1531">
        <v>1800</v>
      </c>
      <c r="G426" s="1531">
        <v>1411</v>
      </c>
      <c r="H426" s="1335">
        <v>1500</v>
      </c>
      <c r="I426" s="1076">
        <v>1600</v>
      </c>
      <c r="J426" s="1076">
        <v>1600</v>
      </c>
      <c r="K426" s="48"/>
      <c r="L426" s="58"/>
      <c r="M426" s="50"/>
      <c r="N426" s="58"/>
      <c r="O426" s="49"/>
    </row>
    <row r="427" spans="1:15" s="33" customFormat="1" x14ac:dyDescent="0.2">
      <c r="A427" s="1074">
        <v>637</v>
      </c>
      <c r="B427" s="1074" t="s">
        <v>488</v>
      </c>
      <c r="C427" s="1074" t="s">
        <v>885</v>
      </c>
      <c r="D427" s="1118">
        <v>200</v>
      </c>
      <c r="E427" s="1813"/>
      <c r="F427" s="1531">
        <v>500</v>
      </c>
      <c r="G427" s="1531">
        <v>0</v>
      </c>
      <c r="H427" s="1335">
        <v>500</v>
      </c>
      <c r="I427" s="1076">
        <v>500</v>
      </c>
      <c r="J427" s="1076">
        <v>500</v>
      </c>
      <c r="K427" s="48"/>
      <c r="L427" s="58"/>
      <c r="M427" s="50"/>
      <c r="N427" s="58"/>
      <c r="O427" s="49"/>
    </row>
    <row r="428" spans="1:15" s="33" customFormat="1" x14ac:dyDescent="0.2">
      <c r="A428" s="1580">
        <v>640</v>
      </c>
      <c r="B428" s="1573"/>
      <c r="C428" s="1573" t="s">
        <v>489</v>
      </c>
      <c r="D428" s="1523">
        <f>D429+D430+D431+D432</f>
        <v>12210</v>
      </c>
      <c r="E428" s="1823"/>
      <c r="F428" s="1523">
        <f>F429+F430+F431+F432</f>
        <v>20300</v>
      </c>
      <c r="G428" s="1523">
        <f>G429+G430+G431+G432</f>
        <v>29172</v>
      </c>
      <c r="H428" s="1966">
        <f t="shared" ref="H428:I428" si="88">H429+H430</f>
        <v>100</v>
      </c>
      <c r="I428" s="1623">
        <f t="shared" si="88"/>
        <v>100</v>
      </c>
      <c r="J428" s="1623">
        <f t="shared" ref="J428" si="89">J429+J430</f>
        <v>100</v>
      </c>
      <c r="K428" s="48"/>
      <c r="L428" s="58"/>
      <c r="M428" s="50"/>
      <c r="N428" s="58"/>
      <c r="O428" s="49"/>
    </row>
    <row r="429" spans="1:15" s="33" customFormat="1" x14ac:dyDescent="0.2">
      <c r="A429" s="1119"/>
      <c r="B429" s="1119"/>
      <c r="C429" s="1121" t="s">
        <v>381</v>
      </c>
      <c r="D429" s="1290">
        <v>0</v>
      </c>
      <c r="E429" s="1813"/>
      <c r="F429" s="1531">
        <v>300</v>
      </c>
      <c r="G429" s="1531">
        <v>0</v>
      </c>
      <c r="H429" s="1967">
        <v>100</v>
      </c>
      <c r="I429" s="1627">
        <v>100</v>
      </c>
      <c r="J429" s="1627">
        <v>100</v>
      </c>
      <c r="K429" s="526"/>
      <c r="L429" s="525"/>
      <c r="M429" s="469"/>
      <c r="N429" s="525"/>
      <c r="O429" s="16"/>
    </row>
    <row r="430" spans="1:15" s="33" customFormat="1" x14ac:dyDescent="0.2">
      <c r="A430" s="1119"/>
      <c r="B430" s="1119"/>
      <c r="C430" s="1121" t="s">
        <v>575</v>
      </c>
      <c r="D430" s="1290">
        <v>12210</v>
      </c>
      <c r="E430" s="1813"/>
      <c r="F430" s="1531">
        <v>20000</v>
      </c>
      <c r="G430" s="1531">
        <v>29172</v>
      </c>
      <c r="H430" s="1967">
        <v>0</v>
      </c>
      <c r="I430" s="1628">
        <v>0</v>
      </c>
      <c r="J430" s="1628">
        <v>0</v>
      </c>
      <c r="K430" s="526"/>
      <c r="L430" s="525"/>
      <c r="M430" s="469"/>
      <c r="N430" s="525"/>
      <c r="O430" s="16"/>
    </row>
    <row r="431" spans="1:15" s="33" customFormat="1" x14ac:dyDescent="0.2">
      <c r="A431" s="1119"/>
      <c r="B431" s="1119"/>
      <c r="C431" s="1121" t="s">
        <v>864</v>
      </c>
      <c r="D431" s="1290"/>
      <c r="E431" s="1813"/>
      <c r="F431" s="1531">
        <v>0</v>
      </c>
      <c r="G431" s="1531">
        <v>0</v>
      </c>
      <c r="H431" s="1967"/>
      <c r="I431" s="1628"/>
      <c r="J431" s="1628"/>
      <c r="K431" s="526"/>
      <c r="L431" s="525"/>
      <c r="M431" s="469"/>
      <c r="N431" s="525"/>
      <c r="O431" s="16"/>
    </row>
    <row r="432" spans="1:15" s="33" customFormat="1" x14ac:dyDescent="0.2">
      <c r="A432" s="1119"/>
      <c r="B432" s="1119"/>
      <c r="C432" s="1121" t="s">
        <v>861</v>
      </c>
      <c r="D432" s="1290"/>
      <c r="E432" s="1813"/>
      <c r="F432" s="1531">
        <v>0</v>
      </c>
      <c r="G432" s="1531">
        <v>0</v>
      </c>
      <c r="H432" s="1967"/>
      <c r="I432" s="1628"/>
      <c r="J432" s="1628"/>
      <c r="K432" s="526"/>
      <c r="L432" s="525"/>
      <c r="M432" s="469"/>
      <c r="N432" s="525"/>
      <c r="O432" s="16"/>
    </row>
    <row r="433" spans="1:15" s="33" customFormat="1" x14ac:dyDescent="0.2">
      <c r="A433" s="1119"/>
      <c r="B433" s="1119"/>
      <c r="C433" s="1112" t="s">
        <v>576</v>
      </c>
      <c r="D433" s="1115">
        <v>0</v>
      </c>
      <c r="E433" s="1813"/>
      <c r="F433" s="1335">
        <v>0</v>
      </c>
      <c r="G433" s="1335">
        <v>0</v>
      </c>
      <c r="H433" s="1609">
        <v>0</v>
      </c>
      <c r="I433" s="1602">
        <v>0</v>
      </c>
      <c r="J433" s="1602">
        <v>0</v>
      </c>
      <c r="K433" s="48"/>
      <c r="L433" s="58"/>
      <c r="M433" s="50"/>
      <c r="N433" s="58"/>
      <c r="O433" s="16"/>
    </row>
    <row r="434" spans="1:15" s="33" customFormat="1" x14ac:dyDescent="0.2">
      <c r="A434" s="2409" t="s">
        <v>705</v>
      </c>
      <c r="B434" s="2409"/>
      <c r="C434" s="2409"/>
      <c r="D434" s="1535">
        <f>D435+D436+D437</f>
        <v>45162</v>
      </c>
      <c r="E434" s="1824">
        <f t="shared" ref="E434:J434" si="90">E437+E435+E436</f>
        <v>0</v>
      </c>
      <c r="F434" s="1935">
        <f t="shared" si="90"/>
        <v>56720</v>
      </c>
      <c r="G434" s="1935">
        <f t="shared" si="90"/>
        <v>52582</v>
      </c>
      <c r="H434" s="1535">
        <f t="shared" si="90"/>
        <v>66020</v>
      </c>
      <c r="I434" s="1535">
        <f t="shared" si="90"/>
        <v>70780</v>
      </c>
      <c r="J434" s="1535">
        <f t="shared" si="90"/>
        <v>70680</v>
      </c>
      <c r="K434" s="48"/>
      <c r="L434" s="58"/>
      <c r="M434" s="50"/>
      <c r="N434" s="58"/>
      <c r="O434" s="16"/>
    </row>
    <row r="435" spans="1:15" s="33" customFormat="1" x14ac:dyDescent="0.2">
      <c r="A435" s="1621"/>
      <c r="B435" s="1295">
        <v>610</v>
      </c>
      <c r="C435" s="1622" t="s">
        <v>441</v>
      </c>
      <c r="D435" s="1299">
        <v>19390</v>
      </c>
      <c r="E435" s="1820"/>
      <c r="F435" s="1523">
        <v>22000</v>
      </c>
      <c r="G435" s="1523">
        <v>22050</v>
      </c>
      <c r="H435" s="1950">
        <v>23300</v>
      </c>
      <c r="I435" s="1629">
        <v>26500</v>
      </c>
      <c r="J435" s="1629">
        <v>26500</v>
      </c>
      <c r="K435" s="48"/>
      <c r="L435" s="58"/>
      <c r="M435" s="50"/>
      <c r="N435" s="58"/>
      <c r="O435" s="16"/>
    </row>
    <row r="436" spans="1:15" s="33" customFormat="1" x14ac:dyDescent="0.2">
      <c r="A436" s="1294"/>
      <c r="B436" s="1295">
        <v>620</v>
      </c>
      <c r="C436" s="1624" t="s">
        <v>188</v>
      </c>
      <c r="D436" s="1299">
        <v>6776</v>
      </c>
      <c r="E436" s="1820"/>
      <c r="F436" s="1523">
        <v>7700</v>
      </c>
      <c r="G436" s="1523">
        <v>7706</v>
      </c>
      <c r="H436" s="1950">
        <v>8200</v>
      </c>
      <c r="I436" s="1629">
        <v>9260</v>
      </c>
      <c r="J436" s="1629">
        <v>9260</v>
      </c>
      <c r="K436" s="48"/>
      <c r="L436" s="58"/>
      <c r="M436" s="50"/>
      <c r="N436" s="58"/>
      <c r="O436" s="16"/>
    </row>
    <row r="437" spans="1:15" s="33" customFormat="1" x14ac:dyDescent="0.2">
      <c r="A437" s="1119"/>
      <c r="B437" s="1295" t="s">
        <v>574</v>
      </c>
      <c r="C437" s="1626" t="s">
        <v>356</v>
      </c>
      <c r="D437" s="1523">
        <f>SUM(D438+D444+D448)</f>
        <v>18996</v>
      </c>
      <c r="E437" s="1825"/>
      <c r="F437" s="1523">
        <f>SUM(F438+F444+F448)</f>
        <v>27020</v>
      </c>
      <c r="G437" s="1523">
        <f>SUM(G438+G444+G448)</f>
        <v>22826</v>
      </c>
      <c r="H437" s="1950">
        <f t="shared" ref="H437:I437" si="91">SUM(H438+H444+H448)</f>
        <v>34520</v>
      </c>
      <c r="I437" s="1630">
        <f t="shared" si="91"/>
        <v>35020</v>
      </c>
      <c r="J437" s="1630">
        <f t="shared" ref="J437" si="92">SUM(J438+J444+J448)</f>
        <v>34920</v>
      </c>
      <c r="K437" s="48"/>
      <c r="L437" s="58"/>
      <c r="M437" s="50"/>
      <c r="N437" s="58"/>
      <c r="O437" s="16"/>
    </row>
    <row r="438" spans="1:15" s="33" customFormat="1" x14ac:dyDescent="0.2">
      <c r="A438" s="1573">
        <v>633</v>
      </c>
      <c r="B438" s="1573"/>
      <c r="C438" s="1573" t="s">
        <v>447</v>
      </c>
      <c r="D438" s="1523">
        <f>SUM(D439:D443)</f>
        <v>18587</v>
      </c>
      <c r="E438" s="1826"/>
      <c r="F438" s="1523">
        <f>SUM(F439:F443)</f>
        <v>25770</v>
      </c>
      <c r="G438" s="1523">
        <f>SUM(G439:G443)</f>
        <v>22601</v>
      </c>
      <c r="H438" s="1950">
        <f t="shared" ref="H438:I438" si="93">SUM(H439:H443)</f>
        <v>34120</v>
      </c>
      <c r="I438" s="1631">
        <f t="shared" si="93"/>
        <v>34370</v>
      </c>
      <c r="J438" s="1631">
        <f t="shared" ref="J438" si="94">SUM(J439:J443)</f>
        <v>34270</v>
      </c>
      <c r="K438" s="48"/>
      <c r="L438" s="58"/>
      <c r="M438" s="50"/>
      <c r="N438" s="58"/>
      <c r="O438" s="16"/>
    </row>
    <row r="439" spans="1:15" s="33" customFormat="1" x14ac:dyDescent="0.2">
      <c r="A439" s="1074">
        <v>633</v>
      </c>
      <c r="B439" s="1574" t="s">
        <v>117</v>
      </c>
      <c r="C439" s="1074" t="s">
        <v>450</v>
      </c>
      <c r="D439" s="1118">
        <v>3283</v>
      </c>
      <c r="E439" s="1813"/>
      <c r="F439" s="1531">
        <v>2000</v>
      </c>
      <c r="G439" s="1531">
        <v>2318</v>
      </c>
      <c r="H439" s="1335">
        <v>300</v>
      </c>
      <c r="I439" s="1602">
        <v>300</v>
      </c>
      <c r="J439" s="1602">
        <v>200</v>
      </c>
      <c r="K439" s="48"/>
      <c r="L439" s="58"/>
      <c r="M439" s="50"/>
      <c r="N439" s="58"/>
      <c r="O439" s="16"/>
    </row>
    <row r="440" spans="1:15" s="33" customFormat="1" x14ac:dyDescent="0.2">
      <c r="A440" s="1074">
        <v>633</v>
      </c>
      <c r="B440" s="1074" t="s">
        <v>122</v>
      </c>
      <c r="C440" s="1074" t="s">
        <v>452</v>
      </c>
      <c r="D440" s="1118">
        <v>354</v>
      </c>
      <c r="E440" s="1813"/>
      <c r="F440" s="1531">
        <v>1150</v>
      </c>
      <c r="G440" s="1531">
        <v>783</v>
      </c>
      <c r="H440" s="1335">
        <v>700</v>
      </c>
      <c r="I440" s="1602">
        <v>950</v>
      </c>
      <c r="J440" s="1602">
        <v>950</v>
      </c>
      <c r="K440" s="48"/>
      <c r="L440" s="58"/>
      <c r="M440" s="50"/>
      <c r="N440" s="58"/>
      <c r="O440" s="16"/>
    </row>
    <row r="441" spans="1:15" s="33" customFormat="1" x14ac:dyDescent="0.2">
      <c r="A441" s="1074">
        <v>633</v>
      </c>
      <c r="B441" s="1074" t="s">
        <v>455</v>
      </c>
      <c r="C441" s="1074" t="s">
        <v>456</v>
      </c>
      <c r="D441" s="1118">
        <v>0</v>
      </c>
      <c r="E441" s="1813"/>
      <c r="F441" s="1531">
        <v>60</v>
      </c>
      <c r="G441" s="1531">
        <v>0</v>
      </c>
      <c r="H441" s="1335">
        <v>60</v>
      </c>
      <c r="I441" s="1602">
        <v>60</v>
      </c>
      <c r="J441" s="1602">
        <v>60</v>
      </c>
      <c r="K441" s="48"/>
      <c r="L441" s="58"/>
      <c r="M441" s="50"/>
      <c r="N441" s="58"/>
      <c r="O441" s="16"/>
    </row>
    <row r="442" spans="1:15" s="33" customFormat="1" x14ac:dyDescent="0.2">
      <c r="A442" s="1074">
        <v>633</v>
      </c>
      <c r="B442" s="1074" t="s">
        <v>457</v>
      </c>
      <c r="C442" s="1074" t="s">
        <v>458</v>
      </c>
      <c r="D442" s="1118">
        <v>14900</v>
      </c>
      <c r="E442" s="1813"/>
      <c r="F442" s="1531">
        <v>22500</v>
      </c>
      <c r="G442" s="1531">
        <v>19440</v>
      </c>
      <c r="H442" s="1335">
        <v>33000</v>
      </c>
      <c r="I442" s="1602">
        <v>33000</v>
      </c>
      <c r="J442" s="1602">
        <v>33000</v>
      </c>
      <c r="K442" s="48"/>
      <c r="L442" s="58"/>
      <c r="M442" s="50"/>
      <c r="N442" s="58"/>
      <c r="O442" s="16"/>
    </row>
    <row r="443" spans="1:15" s="33" customFormat="1" x14ac:dyDescent="0.2">
      <c r="A443" s="1074">
        <v>633</v>
      </c>
      <c r="B443" s="1074" t="s">
        <v>100</v>
      </c>
      <c r="C443" s="1074" t="s">
        <v>459</v>
      </c>
      <c r="D443" s="1118">
        <v>50</v>
      </c>
      <c r="E443" s="1813"/>
      <c r="F443" s="1531">
        <v>60</v>
      </c>
      <c r="G443" s="1531">
        <v>60</v>
      </c>
      <c r="H443" s="1335">
        <v>60</v>
      </c>
      <c r="I443" s="1602">
        <v>60</v>
      </c>
      <c r="J443" s="1602">
        <v>60</v>
      </c>
      <c r="K443" s="48"/>
      <c r="L443" s="58"/>
      <c r="M443" s="50"/>
      <c r="N443" s="58"/>
      <c r="O443" s="16"/>
    </row>
    <row r="444" spans="1:15" s="33" customFormat="1" x14ac:dyDescent="0.2">
      <c r="A444" s="1573">
        <v>635</v>
      </c>
      <c r="B444" s="1573"/>
      <c r="C444" s="1573" t="s">
        <v>469</v>
      </c>
      <c r="D444" s="1523">
        <f>SUM(D445:D447)</f>
        <v>359</v>
      </c>
      <c r="E444" s="1826"/>
      <c r="F444" s="1523">
        <f>SUM(F445:F447)</f>
        <v>850</v>
      </c>
      <c r="G444" s="1523">
        <f>SUM(G445:G447)</f>
        <v>100</v>
      </c>
      <c r="H444" s="1968">
        <f t="shared" ref="H444:I444" si="95">SUM(H445:H447)</f>
        <v>350</v>
      </c>
      <c r="I444" s="1632">
        <f t="shared" si="95"/>
        <v>550</v>
      </c>
      <c r="J444" s="1632">
        <f t="shared" ref="J444" si="96">SUM(J445:J447)</f>
        <v>550</v>
      </c>
      <c r="K444" s="48"/>
      <c r="L444" s="58"/>
      <c r="M444" s="50"/>
      <c r="N444" s="58"/>
      <c r="O444" s="16"/>
    </row>
    <row r="445" spans="1:15" s="33" customFormat="1" x14ac:dyDescent="0.2">
      <c r="A445" s="1074">
        <v>635</v>
      </c>
      <c r="B445" s="1074" t="s">
        <v>94</v>
      </c>
      <c r="C445" s="1074" t="s">
        <v>470</v>
      </c>
      <c r="D445" s="1118">
        <v>50</v>
      </c>
      <c r="E445" s="1813"/>
      <c r="F445" s="1531">
        <v>50</v>
      </c>
      <c r="G445" s="1531">
        <v>0</v>
      </c>
      <c r="H445" s="1335">
        <v>50</v>
      </c>
      <c r="I445" s="1602">
        <v>50</v>
      </c>
      <c r="J445" s="1602">
        <v>50</v>
      </c>
      <c r="K445" s="48"/>
      <c r="L445" s="58"/>
      <c r="M445" s="50"/>
      <c r="N445" s="58"/>
      <c r="O445" s="16"/>
    </row>
    <row r="446" spans="1:15" s="33" customFormat="1" x14ac:dyDescent="0.2">
      <c r="A446" s="1074">
        <v>635</v>
      </c>
      <c r="B446" s="1074" t="s">
        <v>108</v>
      </c>
      <c r="C446" s="1074" t="s">
        <v>471</v>
      </c>
      <c r="D446" s="1118">
        <v>309</v>
      </c>
      <c r="E446" s="1813"/>
      <c r="F446" s="1531">
        <v>600</v>
      </c>
      <c r="G446" s="1531">
        <v>100</v>
      </c>
      <c r="H446" s="1335">
        <v>300</v>
      </c>
      <c r="I446" s="1602">
        <v>500</v>
      </c>
      <c r="J446" s="1602">
        <v>500</v>
      </c>
      <c r="K446" s="48"/>
      <c r="L446" s="58"/>
      <c r="M446" s="50"/>
      <c r="N446" s="58"/>
      <c r="O446" s="16"/>
    </row>
    <row r="447" spans="1:15" s="33" customFormat="1" x14ac:dyDescent="0.2">
      <c r="A447" s="1074">
        <v>635</v>
      </c>
      <c r="B447" s="1074" t="s">
        <v>122</v>
      </c>
      <c r="C447" s="1074" t="s">
        <v>472</v>
      </c>
      <c r="D447" s="1118">
        <v>0</v>
      </c>
      <c r="E447" s="1813"/>
      <c r="F447" s="1531">
        <v>200</v>
      </c>
      <c r="G447" s="1531">
        <v>0</v>
      </c>
      <c r="H447" s="1335">
        <v>0</v>
      </c>
      <c r="I447" s="1602">
        <v>0</v>
      </c>
      <c r="J447" s="1602">
        <v>0</v>
      </c>
      <c r="K447" s="48"/>
      <c r="L447" s="58"/>
      <c r="M447" s="50"/>
      <c r="N447" s="58"/>
      <c r="O447" s="16"/>
    </row>
    <row r="448" spans="1:15" s="33" customFormat="1" x14ac:dyDescent="0.2">
      <c r="A448" s="1573">
        <v>637</v>
      </c>
      <c r="B448" s="1573"/>
      <c r="C448" s="1573" t="s">
        <v>475</v>
      </c>
      <c r="D448" s="1523">
        <f>SUM(D449:D451)</f>
        <v>50</v>
      </c>
      <c r="E448" s="1826"/>
      <c r="F448" s="1523">
        <f>SUM(F449:F451)</f>
        <v>400</v>
      </c>
      <c r="G448" s="1523">
        <f>SUM(G449:G451)</f>
        <v>125</v>
      </c>
      <c r="H448" s="1968">
        <f t="shared" ref="H448:I448" si="97">SUM(H449:H451)</f>
        <v>50</v>
      </c>
      <c r="I448" s="1632">
        <f t="shared" si="97"/>
        <v>100</v>
      </c>
      <c r="J448" s="1632">
        <f t="shared" ref="J448" si="98">SUM(J449:J451)</f>
        <v>100</v>
      </c>
      <c r="K448" s="48"/>
      <c r="L448" s="58"/>
      <c r="M448" s="50"/>
      <c r="N448" s="58"/>
      <c r="O448" s="16"/>
    </row>
    <row r="449" spans="1:15" s="33" customFormat="1" x14ac:dyDescent="0.2">
      <c r="A449" s="1074">
        <v>637</v>
      </c>
      <c r="B449" s="1074" t="s">
        <v>91</v>
      </c>
      <c r="C449" s="1074" t="s">
        <v>476</v>
      </c>
      <c r="D449" s="1118">
        <v>50</v>
      </c>
      <c r="E449" s="1809"/>
      <c r="F449" s="1531">
        <v>100</v>
      </c>
      <c r="G449" s="1531">
        <v>25</v>
      </c>
      <c r="H449" s="1335">
        <v>50</v>
      </c>
      <c r="I449" s="1602">
        <v>100</v>
      </c>
      <c r="J449" s="1602">
        <v>100</v>
      </c>
      <c r="K449" s="48"/>
      <c r="L449" s="58"/>
      <c r="M449" s="50"/>
      <c r="N449" s="58"/>
      <c r="O449" s="16"/>
    </row>
    <row r="450" spans="1:15" s="33" customFormat="1" x14ac:dyDescent="0.2">
      <c r="A450" s="1074">
        <v>637</v>
      </c>
      <c r="B450" s="1074" t="s">
        <v>108</v>
      </c>
      <c r="C450" s="1074" t="s">
        <v>479</v>
      </c>
      <c r="D450" s="1118">
        <v>0</v>
      </c>
      <c r="E450" s="1809"/>
      <c r="F450" s="1531">
        <v>300</v>
      </c>
      <c r="G450" s="1531">
        <v>100</v>
      </c>
      <c r="H450" s="1335">
        <v>0</v>
      </c>
      <c r="I450" s="1602">
        <v>0</v>
      </c>
      <c r="J450" s="1602">
        <v>0</v>
      </c>
      <c r="K450" s="48"/>
      <c r="L450" s="58"/>
      <c r="M450" s="50"/>
      <c r="N450" s="58"/>
      <c r="O450" s="16"/>
    </row>
    <row r="451" spans="1:15" s="33" customFormat="1" x14ac:dyDescent="0.2">
      <c r="A451" s="1294"/>
      <c r="B451" s="1119"/>
      <c r="C451" s="1121" t="s">
        <v>801</v>
      </c>
      <c r="D451" s="1118">
        <v>0</v>
      </c>
      <c r="E451" s="1809"/>
      <c r="F451" s="1531">
        <v>0</v>
      </c>
      <c r="G451" s="1531">
        <v>0</v>
      </c>
      <c r="H451" s="1335">
        <v>0</v>
      </c>
      <c r="I451" s="1602">
        <v>0</v>
      </c>
      <c r="J451" s="1602">
        <v>0</v>
      </c>
      <c r="K451" s="20"/>
      <c r="L451" s="58"/>
      <c r="M451" s="50"/>
      <c r="N451" s="58"/>
      <c r="O451" s="16"/>
    </row>
    <row r="452" spans="1:15" s="33" customFormat="1" hidden="1" x14ac:dyDescent="0.2">
      <c r="A452" s="1294"/>
      <c r="B452" s="1119"/>
      <c r="C452" s="1633"/>
      <c r="D452" s="1097"/>
      <c r="E452" s="1827"/>
      <c r="F452" s="1322"/>
      <c r="G452" s="1322"/>
      <c r="H452" s="1597"/>
      <c r="I452" s="1635"/>
      <c r="J452" s="1635"/>
      <c r="K452" s="20"/>
      <c r="L452" s="20"/>
      <c r="M452" s="20"/>
      <c r="N452" s="20"/>
      <c r="O452" s="16"/>
    </row>
    <row r="453" spans="1:15" s="92" customFormat="1" ht="11.25" x14ac:dyDescent="0.2">
      <c r="A453" s="1550" t="s">
        <v>577</v>
      </c>
      <c r="B453" s="1550"/>
      <c r="C453" s="1550"/>
      <c r="D453" s="1536">
        <f t="shared" ref="D453:I453" si="99">D454+D522</f>
        <v>986064</v>
      </c>
      <c r="E453" s="1808">
        <f>E454+E522</f>
        <v>1098777.68</v>
      </c>
      <c r="F453" s="1922">
        <f>F454+F522</f>
        <v>1143713</v>
      </c>
      <c r="G453" s="1922">
        <f>G454+G522</f>
        <v>1187826</v>
      </c>
      <c r="H453" s="1536">
        <f t="shared" si="99"/>
        <v>1158824</v>
      </c>
      <c r="I453" s="1536">
        <f t="shared" si="99"/>
        <v>820972</v>
      </c>
      <c r="J453" s="1536">
        <f t="shared" ref="J453" si="100">J454+J522</f>
        <v>820972</v>
      </c>
      <c r="K453" s="499"/>
      <c r="L453" s="471"/>
      <c r="M453" s="471"/>
      <c r="N453" s="471"/>
    </row>
    <row r="454" spans="1:15" s="92" customFormat="1" ht="11.25" x14ac:dyDescent="0.2">
      <c r="A454" s="1636" t="s">
        <v>156</v>
      </c>
      <c r="B454" s="1636"/>
      <c r="C454" s="1636"/>
      <c r="D454" s="1526">
        <f>D455+D470</f>
        <v>728758</v>
      </c>
      <c r="E454" s="1819">
        <v>828887.99</v>
      </c>
      <c r="F454" s="1934">
        <f>F455+F470</f>
        <v>854610</v>
      </c>
      <c r="G454" s="1934">
        <f>G455+G470</f>
        <v>916120</v>
      </c>
      <c r="H454" s="1526">
        <f>H455+H470</f>
        <v>851505</v>
      </c>
      <c r="I454" s="1526">
        <f>I455+I470</f>
        <v>820972</v>
      </c>
      <c r="J454" s="1526">
        <f>J455+J470</f>
        <v>820972</v>
      </c>
      <c r="K454" s="499"/>
      <c r="L454" s="471"/>
      <c r="M454" s="471"/>
      <c r="N454" s="471"/>
    </row>
    <row r="455" spans="1:15" s="92" customFormat="1" ht="11.25" x14ac:dyDescent="0.2">
      <c r="A455" s="2416">
        <v>610.62</v>
      </c>
      <c r="B455" s="2416"/>
      <c r="C455" s="1637" t="s">
        <v>712</v>
      </c>
      <c r="D455" s="1523">
        <f>SUM(D456:D463)+D464+D465+D466+D467+D468+D469</f>
        <v>637519</v>
      </c>
      <c r="E455" s="1828"/>
      <c r="F455" s="1523">
        <f>SUM(F456:F463)+F464+F465+F466+F467+F468</f>
        <v>759492</v>
      </c>
      <c r="G455" s="1523">
        <f>SUM(G456:G463)+G464+G465+G466+G467+G468</f>
        <v>782011</v>
      </c>
      <c r="H455" s="1969">
        <f>SUM(H456:H463)+H464+H465+H466+H467+H469</f>
        <v>765304</v>
      </c>
      <c r="I455" s="1123">
        <f>SUM(I456:I463)+I464+I465+I466+I467</f>
        <v>734752</v>
      </c>
      <c r="J455" s="1123">
        <f>SUM(J456:J463)+J464+J465+J466+J467</f>
        <v>734752</v>
      </c>
      <c r="K455" s="499"/>
      <c r="L455" s="471"/>
      <c r="M455" s="471"/>
      <c r="N455" s="471"/>
    </row>
    <row r="456" spans="1:15" x14ac:dyDescent="0.2">
      <c r="A456" s="2417" t="s">
        <v>706</v>
      </c>
      <c r="B456" s="1119">
        <v>610</v>
      </c>
      <c r="C456" s="1121" t="s">
        <v>441</v>
      </c>
      <c r="D456" s="1118">
        <v>194676</v>
      </c>
      <c r="E456" s="1809"/>
      <c r="F456" s="1531">
        <v>232860</v>
      </c>
      <c r="G456" s="1531">
        <v>235642</v>
      </c>
      <c r="H456" s="1322">
        <v>235642</v>
      </c>
      <c r="I456" s="1589">
        <v>235642</v>
      </c>
      <c r="J456" s="1589">
        <v>235642</v>
      </c>
      <c r="K456" s="48"/>
      <c r="L456" s="58"/>
      <c r="M456" s="50"/>
      <c r="N456" s="50"/>
    </row>
    <row r="457" spans="1:15" x14ac:dyDescent="0.2">
      <c r="A457" s="2417"/>
      <c r="B457" s="1119">
        <v>620</v>
      </c>
      <c r="C457" s="1120" t="s">
        <v>188</v>
      </c>
      <c r="D457" s="1118">
        <v>65939</v>
      </c>
      <c r="E457" s="1809"/>
      <c r="F457" s="1531">
        <v>78960</v>
      </c>
      <c r="G457" s="1531">
        <v>81584</v>
      </c>
      <c r="H457" s="1322">
        <v>81584</v>
      </c>
      <c r="I457" s="1589">
        <v>81584</v>
      </c>
      <c r="J457" s="1589">
        <v>81584</v>
      </c>
      <c r="K457" s="48"/>
      <c r="L457" s="58"/>
      <c r="M457" s="50"/>
      <c r="N457" s="50"/>
    </row>
    <row r="458" spans="1:15" x14ac:dyDescent="0.2">
      <c r="A458" s="2417" t="s">
        <v>707</v>
      </c>
      <c r="B458" s="1119">
        <v>610</v>
      </c>
      <c r="C458" s="1121" t="s">
        <v>441</v>
      </c>
      <c r="D458" s="1118">
        <v>192845</v>
      </c>
      <c r="E458" s="1809"/>
      <c r="F458" s="1531">
        <v>215400</v>
      </c>
      <c r="G458" s="1531">
        <v>227025</v>
      </c>
      <c r="H458" s="1322">
        <v>227025</v>
      </c>
      <c r="I458" s="1589">
        <v>227025</v>
      </c>
      <c r="J458" s="1589">
        <v>227025</v>
      </c>
      <c r="K458" s="48"/>
      <c r="L458" s="58"/>
      <c r="M458" s="50"/>
      <c r="N458" s="50"/>
    </row>
    <row r="459" spans="1:15" x14ac:dyDescent="0.2">
      <c r="A459" s="2417"/>
      <c r="B459" s="1119">
        <v>620</v>
      </c>
      <c r="C459" s="1120" t="s">
        <v>188</v>
      </c>
      <c r="D459" s="1118">
        <v>66503</v>
      </c>
      <c r="E459" s="1809"/>
      <c r="F459" s="1531">
        <v>74280</v>
      </c>
      <c r="G459" s="1531">
        <v>79347</v>
      </c>
      <c r="H459" s="1322">
        <v>79347</v>
      </c>
      <c r="I459" s="1589">
        <v>79347</v>
      </c>
      <c r="J459" s="1589">
        <v>79347</v>
      </c>
      <c r="K459" s="48"/>
      <c r="L459" s="58"/>
      <c r="M459" s="50"/>
      <c r="N459" s="50"/>
    </row>
    <row r="460" spans="1:15" x14ac:dyDescent="0.2">
      <c r="A460" s="2417" t="s">
        <v>387</v>
      </c>
      <c r="B460" s="1119">
        <v>610</v>
      </c>
      <c r="C460" s="1121" t="s">
        <v>441</v>
      </c>
      <c r="D460" s="1118">
        <v>22807</v>
      </c>
      <c r="E460" s="1809"/>
      <c r="F460" s="1531">
        <v>27096</v>
      </c>
      <c r="G460" s="1531">
        <v>26321</v>
      </c>
      <c r="H460" s="1322">
        <v>26321</v>
      </c>
      <c r="I460" s="1589">
        <v>26321</v>
      </c>
      <c r="J460" s="1589">
        <v>26321</v>
      </c>
      <c r="K460" s="48"/>
      <c r="L460" s="58"/>
      <c r="M460" s="50"/>
      <c r="N460" s="50"/>
    </row>
    <row r="461" spans="1:15" x14ac:dyDescent="0.2">
      <c r="A461" s="2417"/>
      <c r="B461" s="1119">
        <v>620</v>
      </c>
      <c r="C461" s="1120" t="s">
        <v>188</v>
      </c>
      <c r="D461" s="1118">
        <v>7972</v>
      </c>
      <c r="E461" s="1809"/>
      <c r="F461" s="1531">
        <v>9504</v>
      </c>
      <c r="G461" s="1531">
        <v>9752</v>
      </c>
      <c r="H461" s="1322">
        <v>9752</v>
      </c>
      <c r="I461" s="1589">
        <v>9752</v>
      </c>
      <c r="J461" s="1589">
        <v>9752</v>
      </c>
      <c r="K461" s="48"/>
      <c r="L461" s="58"/>
      <c r="M461" s="50"/>
      <c r="N461" s="50"/>
    </row>
    <row r="462" spans="1:15" x14ac:dyDescent="0.2">
      <c r="A462" s="2417" t="s">
        <v>708</v>
      </c>
      <c r="B462" s="1119">
        <v>610</v>
      </c>
      <c r="C462" s="1121" t="s">
        <v>441</v>
      </c>
      <c r="D462" s="1118">
        <v>48198</v>
      </c>
      <c r="E462" s="1809"/>
      <c r="F462" s="1531">
        <v>53808</v>
      </c>
      <c r="G462" s="1531">
        <v>55642</v>
      </c>
      <c r="H462" s="1322">
        <v>55642</v>
      </c>
      <c r="I462" s="1589">
        <v>55642</v>
      </c>
      <c r="J462" s="1589">
        <v>55642</v>
      </c>
      <c r="K462" s="1125"/>
      <c r="L462" s="58"/>
      <c r="M462" s="50"/>
      <c r="N462" s="50"/>
    </row>
    <row r="463" spans="1:15" x14ac:dyDescent="0.2">
      <c r="A463" s="2417"/>
      <c r="B463" s="1119">
        <v>620</v>
      </c>
      <c r="C463" s="1120" t="s">
        <v>188</v>
      </c>
      <c r="D463" s="1118">
        <v>16515</v>
      </c>
      <c r="E463" s="1809"/>
      <c r="F463" s="1531">
        <v>18468</v>
      </c>
      <c r="G463" s="1531">
        <v>19439</v>
      </c>
      <c r="H463" s="1322">
        <v>19439</v>
      </c>
      <c r="I463" s="1589">
        <v>19439</v>
      </c>
      <c r="J463" s="1589">
        <v>19439</v>
      </c>
      <c r="K463" s="48"/>
      <c r="L463" s="58"/>
      <c r="M463" s="50"/>
      <c r="N463" s="50"/>
    </row>
    <row r="464" spans="1:15" x14ac:dyDescent="0.2">
      <c r="A464" s="2418" t="s">
        <v>764</v>
      </c>
      <c r="B464" s="1119">
        <v>610</v>
      </c>
      <c r="C464" s="1121" t="s">
        <v>441</v>
      </c>
      <c r="D464" s="1118">
        <v>5107</v>
      </c>
      <c r="E464" s="1809"/>
      <c r="F464" s="1531">
        <v>36372</v>
      </c>
      <c r="G464" s="1531">
        <v>32109</v>
      </c>
      <c r="H464" s="1970">
        <v>0</v>
      </c>
      <c r="I464" s="1076">
        <v>0</v>
      </c>
      <c r="J464" s="1076">
        <v>0</v>
      </c>
      <c r="K464" s="48"/>
      <c r="L464" s="58"/>
      <c r="M464" s="50"/>
      <c r="N464" s="50"/>
    </row>
    <row r="465" spans="1:14" x14ac:dyDescent="0.2">
      <c r="A465" s="2418"/>
      <c r="B465" s="1119">
        <v>620</v>
      </c>
      <c r="C465" s="1120" t="s">
        <v>188</v>
      </c>
      <c r="D465" s="1118">
        <v>1785</v>
      </c>
      <c r="E465" s="1809"/>
      <c r="F465" s="1531">
        <v>12744</v>
      </c>
      <c r="G465" s="1531">
        <v>11002</v>
      </c>
      <c r="H465" s="1970">
        <v>0</v>
      </c>
      <c r="I465" s="1076">
        <v>0</v>
      </c>
      <c r="J465" s="1076">
        <v>0</v>
      </c>
      <c r="K465" s="48"/>
      <c r="L465" s="58"/>
      <c r="M465" s="50"/>
      <c r="N465" s="50"/>
    </row>
    <row r="466" spans="1:14" x14ac:dyDescent="0.2">
      <c r="A466" s="2418" t="s">
        <v>827</v>
      </c>
      <c r="B466" s="1119">
        <v>637</v>
      </c>
      <c r="C466" s="1120" t="s">
        <v>802</v>
      </c>
      <c r="D466" s="1118">
        <v>10780</v>
      </c>
      <c r="E466" s="1809"/>
      <c r="F466" s="1531">
        <v>0</v>
      </c>
      <c r="G466" s="1531">
        <v>1898</v>
      </c>
      <c r="H466" s="1322">
        <v>3796</v>
      </c>
      <c r="I466" s="1589">
        <v>0</v>
      </c>
      <c r="J466" s="1589">
        <v>0</v>
      </c>
      <c r="K466" s="48"/>
      <c r="L466" s="58"/>
      <c r="M466" s="50"/>
      <c r="N466" s="50"/>
    </row>
    <row r="467" spans="1:14" x14ac:dyDescent="0.2">
      <c r="A467" s="2418"/>
      <c r="B467" s="1119">
        <v>620</v>
      </c>
      <c r="C467" s="1120" t="s">
        <v>188</v>
      </c>
      <c r="D467" s="1118">
        <v>3774</v>
      </c>
      <c r="E467" s="1809"/>
      <c r="F467" s="1531">
        <v>0</v>
      </c>
      <c r="G467" s="1531">
        <v>578</v>
      </c>
      <c r="H467" s="1322">
        <v>1156</v>
      </c>
      <c r="I467" s="1589">
        <v>0</v>
      </c>
      <c r="J467" s="1589">
        <v>0</v>
      </c>
      <c r="K467" s="48"/>
      <c r="L467" s="58"/>
      <c r="M467" s="50"/>
      <c r="N467" s="50"/>
    </row>
    <row r="468" spans="1:14" x14ac:dyDescent="0.2">
      <c r="A468" s="1580">
        <v>610</v>
      </c>
      <c r="B468" s="1573">
        <v>620</v>
      </c>
      <c r="C468" s="1112" t="s">
        <v>816</v>
      </c>
      <c r="D468" s="1118">
        <v>618</v>
      </c>
      <c r="E468" s="1809"/>
      <c r="F468" s="1531">
        <v>0</v>
      </c>
      <c r="G468" s="1531">
        <v>1672</v>
      </c>
      <c r="H468" s="1322"/>
      <c r="I468" s="1589"/>
      <c r="J468" s="1589"/>
      <c r="K468" s="48"/>
      <c r="L468" s="58"/>
      <c r="M468" s="50"/>
      <c r="N468" s="50"/>
    </row>
    <row r="469" spans="1:14" x14ac:dyDescent="0.2">
      <c r="A469" s="2412">
        <v>610.62</v>
      </c>
      <c r="B469" s="2412"/>
      <c r="C469" s="1120" t="s">
        <v>958</v>
      </c>
      <c r="D469" s="1118">
        <v>0</v>
      </c>
      <c r="E469" s="1809"/>
      <c r="F469" s="1531"/>
      <c r="G469" s="1531"/>
      <c r="H469" s="1971">
        <v>25600</v>
      </c>
      <c r="I469" s="1638"/>
      <c r="J469" s="1638"/>
      <c r="K469" s="48"/>
      <c r="L469" s="58"/>
      <c r="M469" s="50"/>
      <c r="N469" s="50"/>
    </row>
    <row r="470" spans="1:14" x14ac:dyDescent="0.2">
      <c r="A470" s="1295"/>
      <c r="B470" s="1295" t="s">
        <v>574</v>
      </c>
      <c r="C470" s="1626" t="s">
        <v>356</v>
      </c>
      <c r="D470" s="1523">
        <f>D471+D472+D484+D488+D482+D498</f>
        <v>91239</v>
      </c>
      <c r="E470" s="1822"/>
      <c r="F470" s="1523">
        <f>F471+F472+F484+F488+F482+F498</f>
        <v>95118</v>
      </c>
      <c r="G470" s="1523">
        <f>G471+G472+G484+G488+G482+G498</f>
        <v>134109</v>
      </c>
      <c r="H470" s="1969">
        <f>H471+H472+H484+H488+H482+H498</f>
        <v>86201</v>
      </c>
      <c r="I470" s="1122">
        <f>I471+I472+I484+I488+I498+I482</f>
        <v>86220</v>
      </c>
      <c r="J470" s="1122">
        <f>J471+J472+J484+J488+J498+J482</f>
        <v>86220</v>
      </c>
      <c r="K470" s="48"/>
      <c r="L470" s="58"/>
      <c r="M470" s="50"/>
      <c r="N470" s="50"/>
    </row>
    <row r="471" spans="1:14" x14ac:dyDescent="0.2">
      <c r="A471" s="2414">
        <v>632</v>
      </c>
      <c r="B471" s="2414"/>
      <c r="C471" s="1570" t="s">
        <v>445</v>
      </c>
      <c r="D471" s="1199">
        <v>34249</v>
      </c>
      <c r="E471" s="1823"/>
      <c r="F471" s="1523">
        <v>33366</v>
      </c>
      <c r="G471" s="1523">
        <v>21150</v>
      </c>
      <c r="H471" s="1950">
        <v>25244</v>
      </c>
      <c r="I471" s="1122">
        <v>25244</v>
      </c>
      <c r="J471" s="1122">
        <v>25244</v>
      </c>
      <c r="K471" s="48"/>
      <c r="L471" s="58"/>
      <c r="M471" s="50"/>
      <c r="N471" s="50"/>
    </row>
    <row r="472" spans="1:14" x14ac:dyDescent="0.2">
      <c r="A472" s="2415">
        <v>633</v>
      </c>
      <c r="B472" s="2415"/>
      <c r="C472" s="1573" t="s">
        <v>447</v>
      </c>
      <c r="D472" s="1523">
        <f>SUM(D473:D481)</f>
        <v>7737</v>
      </c>
      <c r="E472" s="1823"/>
      <c r="F472" s="1523">
        <f>SUM(F473:F481)</f>
        <v>13671</v>
      </c>
      <c r="G472" s="1523">
        <f>SUM(G473:G481)</f>
        <v>49062</v>
      </c>
      <c r="H472" s="1969">
        <f t="shared" ref="H472" si="101">SUM(H473:H481)</f>
        <v>11862</v>
      </c>
      <c r="I472" s="1122">
        <f>SUM(I473:I481)</f>
        <v>11862</v>
      </c>
      <c r="J472" s="1122">
        <f>SUM(J473:J481)</f>
        <v>11862</v>
      </c>
      <c r="K472" s="48"/>
      <c r="L472" s="58"/>
      <c r="M472" s="50"/>
      <c r="N472" s="50"/>
    </row>
    <row r="473" spans="1:14" x14ac:dyDescent="0.2">
      <c r="A473" s="914">
        <v>633</v>
      </c>
      <c r="B473" s="914" t="s">
        <v>91</v>
      </c>
      <c r="C473" s="914" t="s">
        <v>448</v>
      </c>
      <c r="D473" s="1118">
        <v>0</v>
      </c>
      <c r="E473" s="1809"/>
      <c r="F473" s="1651">
        <v>0</v>
      </c>
      <c r="G473" s="1651">
        <v>30066</v>
      </c>
      <c r="H473" s="1332">
        <v>66</v>
      </c>
      <c r="I473" s="1601">
        <v>66</v>
      </c>
      <c r="J473" s="1601">
        <v>66</v>
      </c>
      <c r="K473" s="48"/>
      <c r="L473" s="58"/>
      <c r="M473" s="50"/>
      <c r="N473" s="50"/>
    </row>
    <row r="474" spans="1:14" x14ac:dyDescent="0.2">
      <c r="A474" s="1074">
        <v>633</v>
      </c>
      <c r="B474" s="1574" t="s">
        <v>94</v>
      </c>
      <c r="C474" s="1074" t="s">
        <v>449</v>
      </c>
      <c r="D474" s="1118">
        <v>0</v>
      </c>
      <c r="E474" s="1809"/>
      <c r="F474" s="1651">
        <v>3000</v>
      </c>
      <c r="G474" s="1651">
        <v>1160</v>
      </c>
      <c r="H474" s="1332">
        <v>660</v>
      </c>
      <c r="I474" s="1601">
        <v>660</v>
      </c>
      <c r="J474" s="1601">
        <v>660</v>
      </c>
      <c r="K474" s="48"/>
      <c r="L474" s="58"/>
      <c r="M474" s="50"/>
      <c r="N474" s="50"/>
    </row>
    <row r="475" spans="1:14" x14ac:dyDescent="0.2">
      <c r="A475" s="1074">
        <v>633</v>
      </c>
      <c r="B475" s="1574" t="s">
        <v>117</v>
      </c>
      <c r="C475" s="1074" t="s">
        <v>450</v>
      </c>
      <c r="D475" s="1118"/>
      <c r="E475" s="1809"/>
      <c r="F475" s="1651"/>
      <c r="G475" s="1651"/>
      <c r="H475" s="1332"/>
      <c r="I475" s="1601"/>
      <c r="J475" s="1601"/>
      <c r="K475" s="48"/>
      <c r="L475" s="58"/>
      <c r="M475" s="50"/>
      <c r="N475" s="50"/>
    </row>
    <row r="476" spans="1:14" x14ac:dyDescent="0.2">
      <c r="A476" s="1074">
        <v>633</v>
      </c>
      <c r="B476" s="1074" t="s">
        <v>122</v>
      </c>
      <c r="C476" s="1074" t="s">
        <v>452</v>
      </c>
      <c r="D476" s="1118">
        <v>3119</v>
      </c>
      <c r="E476" s="1809"/>
      <c r="F476" s="1651">
        <v>4464</v>
      </c>
      <c r="G476" s="1651">
        <v>14060</v>
      </c>
      <c r="H476" s="1332">
        <v>7360</v>
      </c>
      <c r="I476" s="1601">
        <v>7360</v>
      </c>
      <c r="J476" s="1601">
        <v>7360</v>
      </c>
      <c r="K476" s="48"/>
      <c r="L476" s="58"/>
      <c r="M476" s="50"/>
      <c r="N476" s="50"/>
    </row>
    <row r="477" spans="1:14" x14ac:dyDescent="0.2">
      <c r="A477" s="1639" t="s">
        <v>193</v>
      </c>
      <c r="B477" s="1119" t="s">
        <v>122</v>
      </c>
      <c r="C477" s="1120" t="s">
        <v>726</v>
      </c>
      <c r="D477" s="1118">
        <v>0</v>
      </c>
      <c r="E477" s="1809"/>
      <c r="F477" s="1651">
        <v>0</v>
      </c>
      <c r="G477" s="1651">
        <v>0</v>
      </c>
      <c r="H477" s="1972">
        <v>0</v>
      </c>
      <c r="I477" s="1601">
        <v>0</v>
      </c>
      <c r="J477" s="1601">
        <v>0</v>
      </c>
      <c r="K477" s="48"/>
      <c r="L477" s="58"/>
      <c r="M477" s="50"/>
      <c r="N477" s="50"/>
    </row>
    <row r="478" spans="1:14" x14ac:dyDescent="0.2">
      <c r="A478" s="1074">
        <v>633</v>
      </c>
      <c r="B478" s="1074" t="s">
        <v>453</v>
      </c>
      <c r="C478" s="1074" t="s">
        <v>766</v>
      </c>
      <c r="D478" s="1198">
        <v>2804</v>
      </c>
      <c r="E478" s="1829"/>
      <c r="F478" s="1651">
        <v>4198</v>
      </c>
      <c r="G478" s="1651">
        <v>1148</v>
      </c>
      <c r="H478" s="1332">
        <v>1148</v>
      </c>
      <c r="I478" s="1694">
        <v>1148</v>
      </c>
      <c r="J478" s="1694">
        <v>1148</v>
      </c>
      <c r="K478" s="48"/>
      <c r="L478" s="58"/>
      <c r="M478" s="50"/>
      <c r="N478" s="50"/>
    </row>
    <row r="479" spans="1:14" x14ac:dyDescent="0.2">
      <c r="A479" s="1074">
        <v>633</v>
      </c>
      <c r="B479" s="1074" t="s">
        <v>455</v>
      </c>
      <c r="C479" s="1074" t="s">
        <v>456</v>
      </c>
      <c r="D479" s="1118"/>
      <c r="E479" s="1809"/>
      <c r="F479" s="1651"/>
      <c r="G479" s="1651"/>
      <c r="H479" s="1332"/>
      <c r="I479" s="1601"/>
      <c r="J479" s="1601"/>
      <c r="K479" s="48"/>
      <c r="L479" s="58"/>
      <c r="M479" s="50"/>
      <c r="N479" s="50"/>
    </row>
    <row r="480" spans="1:14" x14ac:dyDescent="0.2">
      <c r="A480" s="1074">
        <v>633</v>
      </c>
      <c r="B480" s="1074" t="s">
        <v>457</v>
      </c>
      <c r="C480" s="1074" t="s">
        <v>461</v>
      </c>
      <c r="D480" s="1118">
        <v>250</v>
      </c>
      <c r="E480" s="1809"/>
      <c r="F480" s="1651">
        <v>445</v>
      </c>
      <c r="G480" s="1651">
        <v>425</v>
      </c>
      <c r="H480" s="1972">
        <v>425</v>
      </c>
      <c r="I480" s="1601">
        <v>425</v>
      </c>
      <c r="J480" s="1601">
        <v>425</v>
      </c>
      <c r="K480" s="48"/>
      <c r="L480" s="58"/>
      <c r="M480" s="50"/>
      <c r="N480" s="50"/>
    </row>
    <row r="481" spans="1:15" x14ac:dyDescent="0.2">
      <c r="A481" s="1074">
        <v>633</v>
      </c>
      <c r="B481" s="1074" t="s">
        <v>100</v>
      </c>
      <c r="C481" s="1074" t="s">
        <v>459</v>
      </c>
      <c r="D481" s="1118">
        <v>1564</v>
      </c>
      <c r="E481" s="1809"/>
      <c r="F481" s="1651">
        <v>1564</v>
      </c>
      <c r="G481" s="1651">
        <v>2203</v>
      </c>
      <c r="H481" s="1332">
        <v>2203</v>
      </c>
      <c r="I481" s="1601">
        <v>2203</v>
      </c>
      <c r="J481" s="1601">
        <v>2203</v>
      </c>
      <c r="K481" s="48"/>
      <c r="L481" s="58"/>
      <c r="M481" s="50"/>
      <c r="N481" s="50"/>
    </row>
    <row r="482" spans="1:15" x14ac:dyDescent="0.2">
      <c r="A482" s="2415">
        <v>634</v>
      </c>
      <c r="B482" s="2415"/>
      <c r="C482" s="1573" t="s">
        <v>462</v>
      </c>
      <c r="D482" s="1333">
        <f t="shared" ref="D482:J482" si="102">D483</f>
        <v>0</v>
      </c>
      <c r="E482" s="1801"/>
      <c r="F482" s="1651">
        <f t="shared" si="102"/>
        <v>0</v>
      </c>
      <c r="G482" s="1651">
        <f t="shared" si="102"/>
        <v>0</v>
      </c>
      <c r="H482" s="1973">
        <f t="shared" si="102"/>
        <v>0</v>
      </c>
      <c r="I482" s="1623">
        <f t="shared" si="102"/>
        <v>0</v>
      </c>
      <c r="J482" s="1623">
        <f t="shared" si="102"/>
        <v>0</v>
      </c>
      <c r="K482" s="48"/>
      <c r="L482" s="58"/>
      <c r="M482" s="50"/>
      <c r="N482" s="50"/>
    </row>
    <row r="483" spans="1:15" x14ac:dyDescent="0.2">
      <c r="A483" s="1074">
        <v>634</v>
      </c>
      <c r="B483" s="1074" t="s">
        <v>108</v>
      </c>
      <c r="C483" s="1074" t="s">
        <v>467</v>
      </c>
      <c r="D483" s="1333">
        <v>0</v>
      </c>
      <c r="E483" s="1801"/>
      <c r="F483" s="1651">
        <v>0</v>
      </c>
      <c r="G483" s="1651">
        <v>0</v>
      </c>
      <c r="H483" s="1974">
        <v>0</v>
      </c>
      <c r="I483" s="1601">
        <v>0</v>
      </c>
      <c r="J483" s="1601">
        <v>0</v>
      </c>
      <c r="K483" s="48"/>
      <c r="L483" s="58"/>
      <c r="M483" s="50"/>
      <c r="N483" s="50"/>
    </row>
    <row r="484" spans="1:15" x14ac:dyDescent="0.2">
      <c r="A484" s="2415">
        <v>635</v>
      </c>
      <c r="B484" s="2415"/>
      <c r="C484" s="1573" t="s">
        <v>469</v>
      </c>
      <c r="D484" s="1333">
        <f>SUM(D485:D487)</f>
        <v>0</v>
      </c>
      <c r="E484" s="1801"/>
      <c r="F484" s="1651">
        <f>SUM(F485:F487)</f>
        <v>0</v>
      </c>
      <c r="G484" s="1947">
        <f>SUM(G485:G487)</f>
        <v>350</v>
      </c>
      <c r="H484" s="1973">
        <f t="shared" ref="H484" si="103">SUM(H485:H487)</f>
        <v>350</v>
      </c>
      <c r="I484" s="1623">
        <f>I485+I486+I487</f>
        <v>350</v>
      </c>
      <c r="J484" s="1623">
        <f>J485+J486+J487</f>
        <v>350</v>
      </c>
      <c r="K484" s="48"/>
      <c r="L484" s="58"/>
      <c r="M484" s="50"/>
      <c r="N484" s="50"/>
      <c r="O484" s="19"/>
    </row>
    <row r="485" spans="1:15" x14ac:dyDescent="0.2">
      <c r="A485" s="1074">
        <v>635</v>
      </c>
      <c r="B485" s="1074" t="s">
        <v>94</v>
      </c>
      <c r="C485" s="1074" t="s">
        <v>470</v>
      </c>
      <c r="D485" s="1333">
        <v>0</v>
      </c>
      <c r="E485" s="1801"/>
      <c r="F485" s="1651">
        <v>0</v>
      </c>
      <c r="G485" s="1651">
        <v>350</v>
      </c>
      <c r="H485" s="1332">
        <v>350</v>
      </c>
      <c r="I485" s="1601">
        <v>350</v>
      </c>
      <c r="J485" s="1601">
        <v>350</v>
      </c>
      <c r="K485" s="48"/>
      <c r="L485" s="58"/>
      <c r="M485" s="50"/>
      <c r="N485" s="50"/>
    </row>
    <row r="486" spans="1:15" x14ac:dyDescent="0.2">
      <c r="A486" s="1074">
        <v>635</v>
      </c>
      <c r="B486" s="1074" t="s">
        <v>108</v>
      </c>
      <c r="C486" s="1074" t="s">
        <v>471</v>
      </c>
      <c r="D486" s="1333">
        <v>0</v>
      </c>
      <c r="E486" s="1801"/>
      <c r="F486" s="1651">
        <v>0</v>
      </c>
      <c r="G486" s="1651">
        <v>0</v>
      </c>
      <c r="H486" s="1332">
        <v>0</v>
      </c>
      <c r="I486" s="1601">
        <v>0</v>
      </c>
      <c r="J486" s="1601">
        <v>0</v>
      </c>
      <c r="K486" s="48"/>
      <c r="L486" s="58"/>
      <c r="M486" s="50"/>
      <c r="N486" s="50"/>
    </row>
    <row r="487" spans="1:15" x14ac:dyDescent="0.2">
      <c r="A487" s="1074">
        <v>635</v>
      </c>
      <c r="B487" s="1074" t="s">
        <v>122</v>
      </c>
      <c r="C487" s="1074" t="s">
        <v>472</v>
      </c>
      <c r="D487" s="1333">
        <v>0</v>
      </c>
      <c r="E487" s="1801"/>
      <c r="F487" s="1651">
        <v>0</v>
      </c>
      <c r="G487" s="1651">
        <v>0</v>
      </c>
      <c r="H487" s="1332">
        <v>0</v>
      </c>
      <c r="I487" s="1601">
        <v>0</v>
      </c>
      <c r="J487" s="1601">
        <v>0</v>
      </c>
      <c r="K487" s="48"/>
      <c r="L487" s="58"/>
      <c r="M487" s="50"/>
      <c r="N487" s="50"/>
      <c r="O487" s="19"/>
    </row>
    <row r="488" spans="1:15" x14ac:dyDescent="0.2">
      <c r="A488" s="2415">
        <v>637</v>
      </c>
      <c r="B488" s="2415"/>
      <c r="C488" s="1573" t="s">
        <v>475</v>
      </c>
      <c r="D488" s="1523">
        <f>SUM(D489:D497)</f>
        <v>12453</v>
      </c>
      <c r="E488" s="1830"/>
      <c r="F488" s="1523">
        <f>SUM(F489:F497)</f>
        <v>24582</v>
      </c>
      <c r="G488" s="1523">
        <f>SUM(G489:G497)</f>
        <v>37992</v>
      </c>
      <c r="H488" s="1969">
        <f t="shared" ref="H488:I488" si="104">SUM(H489:H497)</f>
        <v>25389</v>
      </c>
      <c r="I488" s="1122">
        <f t="shared" si="104"/>
        <v>25408</v>
      </c>
      <c r="J488" s="1122">
        <f t="shared" ref="J488" si="105">SUM(J489:J497)</f>
        <v>25408</v>
      </c>
      <c r="K488" s="48"/>
      <c r="L488" s="58"/>
      <c r="M488" s="50"/>
      <c r="N488" s="50"/>
    </row>
    <row r="489" spans="1:15" x14ac:dyDescent="0.2">
      <c r="A489" s="1074">
        <v>637</v>
      </c>
      <c r="B489" s="1074" t="s">
        <v>91</v>
      </c>
      <c r="C489" s="1074" t="s">
        <v>476</v>
      </c>
      <c r="D489" s="1118"/>
      <c r="E489" s="1809"/>
      <c r="F489" s="1531"/>
      <c r="G489" s="1531">
        <v>867</v>
      </c>
      <c r="H489" s="1322">
        <v>867</v>
      </c>
      <c r="I489" s="1589">
        <v>867</v>
      </c>
      <c r="J489" s="1589">
        <v>867</v>
      </c>
      <c r="K489" s="48"/>
      <c r="L489" s="58"/>
      <c r="M489" s="50"/>
      <c r="N489" s="50"/>
    </row>
    <row r="490" spans="1:15" x14ac:dyDescent="0.2">
      <c r="A490" s="1074">
        <v>637</v>
      </c>
      <c r="B490" s="1074" t="s">
        <v>108</v>
      </c>
      <c r="C490" s="1074" t="s">
        <v>479</v>
      </c>
      <c r="D490" s="1118">
        <v>4025</v>
      </c>
      <c r="E490" s="1809"/>
      <c r="F490" s="1531">
        <v>6278</v>
      </c>
      <c r="G490" s="1531">
        <v>20287</v>
      </c>
      <c r="H490" s="1322">
        <v>7684</v>
      </c>
      <c r="I490" s="1589">
        <v>7703</v>
      </c>
      <c r="J490" s="1589">
        <v>7703</v>
      </c>
      <c r="K490" s="48"/>
      <c r="L490" s="58"/>
      <c r="M490" s="50"/>
      <c r="N490" s="50"/>
    </row>
    <row r="491" spans="1:15" x14ac:dyDescent="0.2">
      <c r="A491" s="1074">
        <v>637</v>
      </c>
      <c r="B491" s="1074" t="s">
        <v>117</v>
      </c>
      <c r="C491" s="1074" t="s">
        <v>321</v>
      </c>
      <c r="D491" s="1118"/>
      <c r="E491" s="1809"/>
      <c r="F491" s="1531"/>
      <c r="G491" s="1531"/>
      <c r="H491" s="1322"/>
      <c r="I491" s="1589"/>
      <c r="J491" s="1589"/>
      <c r="K491" s="48"/>
      <c r="L491" s="58"/>
      <c r="M491" s="50"/>
      <c r="N491" s="50"/>
    </row>
    <row r="492" spans="1:15" x14ac:dyDescent="0.2">
      <c r="A492" s="1074">
        <v>637</v>
      </c>
      <c r="B492" s="1074" t="s">
        <v>99</v>
      </c>
      <c r="C492" s="1074" t="s">
        <v>480</v>
      </c>
      <c r="D492" s="1118"/>
      <c r="E492" s="1809"/>
      <c r="F492" s="1531">
        <v>572</v>
      </c>
      <c r="G492" s="1531">
        <v>522</v>
      </c>
      <c r="H492" s="1322">
        <v>522</v>
      </c>
      <c r="I492" s="1589">
        <v>522</v>
      </c>
      <c r="J492" s="1589">
        <v>522</v>
      </c>
      <c r="K492" s="48"/>
      <c r="L492" s="58"/>
      <c r="M492" s="50"/>
      <c r="N492" s="50"/>
    </row>
    <row r="493" spans="1:15" x14ac:dyDescent="0.2">
      <c r="A493" s="1074">
        <v>637</v>
      </c>
      <c r="B493" s="1074" t="s">
        <v>99</v>
      </c>
      <c r="C493" s="1074" t="s">
        <v>461</v>
      </c>
      <c r="D493" s="1118">
        <v>0</v>
      </c>
      <c r="E493" s="1809"/>
      <c r="F493" s="1531">
        <v>0</v>
      </c>
      <c r="G493" s="1531">
        <v>0</v>
      </c>
      <c r="H493" s="1322">
        <v>0</v>
      </c>
      <c r="I493" s="1589">
        <v>0</v>
      </c>
      <c r="J493" s="1589">
        <v>0</v>
      </c>
      <c r="K493" s="48"/>
      <c r="L493" s="58"/>
      <c r="M493" s="50"/>
      <c r="N493" s="50"/>
    </row>
    <row r="494" spans="1:15" x14ac:dyDescent="0.2">
      <c r="A494" s="1074">
        <v>637</v>
      </c>
      <c r="B494" s="1074" t="s">
        <v>102</v>
      </c>
      <c r="C494" s="1074" t="s">
        <v>481</v>
      </c>
      <c r="D494" s="1118">
        <v>8150</v>
      </c>
      <c r="E494" s="1809"/>
      <c r="F494" s="1531">
        <v>12600</v>
      </c>
      <c r="G494" s="1531">
        <v>10343</v>
      </c>
      <c r="H494" s="1322">
        <v>10343</v>
      </c>
      <c r="I494" s="1589">
        <v>10343</v>
      </c>
      <c r="J494" s="1589">
        <v>10343</v>
      </c>
      <c r="K494" s="48"/>
      <c r="L494" s="58"/>
      <c r="M494" s="50"/>
      <c r="N494" s="50"/>
    </row>
    <row r="495" spans="1:15" x14ac:dyDescent="0.2">
      <c r="A495" s="1074">
        <v>637</v>
      </c>
      <c r="B495" s="1074" t="s">
        <v>483</v>
      </c>
      <c r="C495" s="1074" t="s">
        <v>484</v>
      </c>
      <c r="D495" s="1118">
        <v>278</v>
      </c>
      <c r="E495" s="1809"/>
      <c r="F495" s="1531">
        <v>366</v>
      </c>
      <c r="G495" s="1531">
        <v>750</v>
      </c>
      <c r="H495" s="1322">
        <v>750</v>
      </c>
      <c r="I495" s="1589">
        <v>750</v>
      </c>
      <c r="J495" s="1589">
        <v>750</v>
      </c>
      <c r="K495" s="48"/>
      <c r="L495" s="58"/>
      <c r="M495" s="50"/>
      <c r="N495" s="50"/>
    </row>
    <row r="496" spans="1:15" x14ac:dyDescent="0.2">
      <c r="A496" s="1074">
        <v>637</v>
      </c>
      <c r="B496" s="1074" t="s">
        <v>460</v>
      </c>
      <c r="C496" s="1074" t="s">
        <v>485</v>
      </c>
      <c r="D496" s="1118"/>
      <c r="E496" s="1809"/>
      <c r="F496" s="1531">
        <v>4766</v>
      </c>
      <c r="G496" s="1531">
        <v>4701</v>
      </c>
      <c r="H496" s="1322">
        <v>4701</v>
      </c>
      <c r="I496" s="1589">
        <v>4701</v>
      </c>
      <c r="J496" s="1589">
        <v>4701</v>
      </c>
      <c r="K496" s="48"/>
      <c r="L496" s="58"/>
      <c r="M496" s="50"/>
      <c r="N496" s="50"/>
    </row>
    <row r="497" spans="1:14" x14ac:dyDescent="0.2">
      <c r="A497" s="1074">
        <v>637</v>
      </c>
      <c r="B497" s="1074" t="s">
        <v>488</v>
      </c>
      <c r="C497" s="1074" t="s">
        <v>765</v>
      </c>
      <c r="D497" s="1118"/>
      <c r="E497" s="1809"/>
      <c r="F497" s="1531"/>
      <c r="G497" s="1531">
        <v>522</v>
      </c>
      <c r="H497" s="1322">
        <v>522</v>
      </c>
      <c r="I497" s="1589">
        <v>522</v>
      </c>
      <c r="J497" s="1589">
        <v>522</v>
      </c>
      <c r="K497" s="48"/>
      <c r="L497" s="58"/>
      <c r="M497" s="50"/>
      <c r="N497" s="50"/>
    </row>
    <row r="498" spans="1:14" x14ac:dyDescent="0.2">
      <c r="A498" s="2415">
        <v>640</v>
      </c>
      <c r="B498" s="2415"/>
      <c r="C498" s="1573" t="s">
        <v>489</v>
      </c>
      <c r="D498" s="1523">
        <f>D499+D500+D506+D510+D515+D516+D501+D502+D503+D505</f>
        <v>36800</v>
      </c>
      <c r="E498" s="1830"/>
      <c r="F498" s="1523">
        <f>F499+F500+F506+F510+F515+F516+F501+F502+F503+F505</f>
        <v>23499</v>
      </c>
      <c r="G498" s="1523">
        <f>G499+G500+G506+G510+G515+G516+G501+G502+G503+G505+G521+G520</f>
        <v>25555</v>
      </c>
      <c r="H498" s="1975">
        <f>H499+H500+H506+H510+H515+H516+H501+H502+H503</f>
        <v>23356</v>
      </c>
      <c r="I498" s="1641">
        <f>I499+I500+I506+I510+I515+I516+I501+I502+I503</f>
        <v>23356</v>
      </c>
      <c r="J498" s="1641">
        <f>J499+J500+J506+J510+J515+J516+J501+J502+J503</f>
        <v>23356</v>
      </c>
      <c r="K498" s="48"/>
      <c r="L498" s="58"/>
      <c r="M498" s="50"/>
      <c r="N498" s="50"/>
    </row>
    <row r="499" spans="1:14" x14ac:dyDescent="0.2">
      <c r="A499" s="1580">
        <v>634</v>
      </c>
      <c r="B499" s="1573" t="s">
        <v>108</v>
      </c>
      <c r="C499" s="1112" t="s">
        <v>709</v>
      </c>
      <c r="D499" s="1531">
        <v>2256</v>
      </c>
      <c r="E499" s="1813"/>
      <c r="F499" s="1531">
        <v>2740</v>
      </c>
      <c r="G499" s="1531">
        <v>2691</v>
      </c>
      <c r="H499" s="1322">
        <v>2691</v>
      </c>
      <c r="I499" s="1640">
        <v>2691</v>
      </c>
      <c r="J499" s="1640">
        <v>2691</v>
      </c>
      <c r="K499" s="48"/>
      <c r="L499" s="58"/>
      <c r="M499" s="50"/>
      <c r="N499" s="50"/>
    </row>
    <row r="500" spans="1:14" x14ac:dyDescent="0.2">
      <c r="A500" s="1580"/>
      <c r="B500" s="1573"/>
      <c r="C500" s="1112" t="s">
        <v>714</v>
      </c>
      <c r="D500" s="1531">
        <v>382</v>
      </c>
      <c r="E500" s="1813"/>
      <c r="F500" s="1531">
        <v>249</v>
      </c>
      <c r="G500" s="1531">
        <v>266</v>
      </c>
      <c r="H500" s="1322">
        <v>266</v>
      </c>
      <c r="I500" s="1640">
        <v>266</v>
      </c>
      <c r="J500" s="1640">
        <v>266</v>
      </c>
      <c r="K500" s="48"/>
      <c r="L500" s="58"/>
      <c r="M500" s="50"/>
      <c r="N500" s="50"/>
    </row>
    <row r="501" spans="1:14" x14ac:dyDescent="0.2">
      <c r="A501" s="1580"/>
      <c r="B501" s="1573"/>
      <c r="C501" s="1112" t="s">
        <v>961</v>
      </c>
      <c r="D501" s="1531">
        <v>7200</v>
      </c>
      <c r="E501" s="1813"/>
      <c r="F501" s="1531">
        <v>0</v>
      </c>
      <c r="G501" s="1531">
        <v>0</v>
      </c>
      <c r="H501" s="1322">
        <v>0</v>
      </c>
      <c r="I501" s="1640">
        <v>0</v>
      </c>
      <c r="J501" s="1640">
        <v>0</v>
      </c>
      <c r="K501" s="48"/>
      <c r="L501" s="58"/>
      <c r="M501" s="50"/>
      <c r="N501" s="50"/>
    </row>
    <row r="502" spans="1:14" x14ac:dyDescent="0.2">
      <c r="A502" s="1580"/>
      <c r="B502" s="1573"/>
      <c r="C502" s="1112" t="s">
        <v>944</v>
      </c>
      <c r="D502" s="1531">
        <v>280</v>
      </c>
      <c r="E502" s="1813"/>
      <c r="F502" s="1531">
        <v>0</v>
      </c>
      <c r="G502" s="1531">
        <v>0</v>
      </c>
      <c r="H502" s="1322">
        <v>0</v>
      </c>
      <c r="I502" s="1640">
        <v>0</v>
      </c>
      <c r="J502" s="1640">
        <v>0</v>
      </c>
      <c r="K502" s="48"/>
      <c r="L502" s="58"/>
      <c r="M502" s="50"/>
      <c r="N502" s="50"/>
    </row>
    <row r="503" spans="1:14" x14ac:dyDescent="0.2">
      <c r="A503" s="1580"/>
      <c r="B503" s="1573"/>
      <c r="C503" s="1112" t="s">
        <v>960</v>
      </c>
      <c r="D503" s="1531">
        <v>6900</v>
      </c>
      <c r="E503" s="1813"/>
      <c r="F503" s="1531">
        <v>0</v>
      </c>
      <c r="G503" s="1531">
        <v>0</v>
      </c>
      <c r="H503" s="1322">
        <v>0</v>
      </c>
      <c r="I503" s="1640">
        <v>0</v>
      </c>
      <c r="J503" s="1640">
        <v>0</v>
      </c>
      <c r="K503" s="48"/>
      <c r="L503" s="58"/>
      <c r="M503" s="50"/>
      <c r="N503" s="50"/>
    </row>
    <row r="504" spans="1:14" x14ac:dyDescent="0.2">
      <c r="A504" s="1580"/>
      <c r="B504" s="1573"/>
      <c r="C504" s="1112" t="s">
        <v>962</v>
      </c>
      <c r="D504" s="1531"/>
      <c r="E504" s="1813"/>
      <c r="F504" s="1531"/>
      <c r="G504" s="1531"/>
      <c r="H504" s="1322"/>
      <c r="I504" s="1640"/>
      <c r="J504" s="1640"/>
      <c r="K504" s="48"/>
      <c r="L504" s="58"/>
      <c r="M504" s="50"/>
      <c r="N504" s="50"/>
    </row>
    <row r="505" spans="1:14" x14ac:dyDescent="0.2">
      <c r="A505" s="1580"/>
      <c r="B505" s="1573"/>
      <c r="C505" s="1112" t="s">
        <v>959</v>
      </c>
      <c r="D505" s="1531">
        <v>0</v>
      </c>
      <c r="E505" s="1813"/>
      <c r="F505" s="1531">
        <v>0</v>
      </c>
      <c r="G505" s="1531">
        <v>0</v>
      </c>
      <c r="H505" s="1322">
        <v>0</v>
      </c>
      <c r="I505" s="1640">
        <v>0</v>
      </c>
      <c r="J505" s="1640">
        <v>0</v>
      </c>
      <c r="K505" s="48"/>
      <c r="L505" s="58"/>
      <c r="M505" s="50"/>
      <c r="N505" s="50"/>
    </row>
    <row r="506" spans="1:14" x14ac:dyDescent="0.2">
      <c r="A506" s="1580"/>
      <c r="B506" s="1573"/>
      <c r="C506" s="1112" t="s">
        <v>710</v>
      </c>
      <c r="D506" s="1531">
        <v>5400</v>
      </c>
      <c r="E506" s="1813"/>
      <c r="F506" s="1531">
        <v>5000</v>
      </c>
      <c r="G506" s="1531">
        <v>5000</v>
      </c>
      <c r="H506" s="1322">
        <v>5000</v>
      </c>
      <c r="I506" s="1640">
        <v>5000</v>
      </c>
      <c r="J506" s="1640">
        <v>5000</v>
      </c>
      <c r="K506" s="48"/>
      <c r="L506" s="58"/>
      <c r="M506" s="50"/>
      <c r="N506" s="50"/>
    </row>
    <row r="507" spans="1:14" x14ac:dyDescent="0.2">
      <c r="A507" s="1580"/>
      <c r="B507" s="1573"/>
      <c r="C507" s="1112" t="s">
        <v>722</v>
      </c>
      <c r="D507" s="1531"/>
      <c r="E507" s="1813"/>
      <c r="F507" s="1531"/>
      <c r="G507" s="1531"/>
      <c r="H507" s="1322"/>
      <c r="I507" s="1699"/>
      <c r="J507" s="1699"/>
      <c r="K507" s="48"/>
      <c r="L507" s="58"/>
      <c r="M507" s="50"/>
      <c r="N507" s="50"/>
    </row>
    <row r="508" spans="1:14" x14ac:dyDescent="0.2">
      <c r="A508" s="1580"/>
      <c r="B508" s="1573"/>
      <c r="C508" s="1112" t="s">
        <v>723</v>
      </c>
      <c r="D508" s="1531"/>
      <c r="E508" s="1813"/>
      <c r="F508" s="1531"/>
      <c r="G508" s="1531"/>
      <c r="H508" s="1322"/>
      <c r="I508" s="1699"/>
      <c r="J508" s="1699"/>
      <c r="K508" s="48"/>
      <c r="L508" s="58"/>
      <c r="M508" s="50"/>
      <c r="N508" s="50"/>
    </row>
    <row r="509" spans="1:14" x14ac:dyDescent="0.2">
      <c r="A509" s="1580"/>
      <c r="B509" s="1573"/>
      <c r="C509" s="1112" t="s">
        <v>724</v>
      </c>
      <c r="D509" s="1531"/>
      <c r="E509" s="1813"/>
      <c r="F509" s="1531"/>
      <c r="G509" s="1531"/>
      <c r="H509" s="1322"/>
      <c r="I509" s="1699"/>
      <c r="J509" s="1699"/>
      <c r="K509" s="48"/>
      <c r="L509" s="58"/>
      <c r="M509" s="50"/>
      <c r="N509" s="50"/>
    </row>
    <row r="510" spans="1:14" x14ac:dyDescent="0.2">
      <c r="A510" s="1580"/>
      <c r="B510" s="1573"/>
      <c r="C510" s="1112" t="s">
        <v>579</v>
      </c>
      <c r="D510" s="1531">
        <v>7098</v>
      </c>
      <c r="E510" s="1813"/>
      <c r="F510" s="1531">
        <v>7232</v>
      </c>
      <c r="G510" s="1531">
        <v>7008</v>
      </c>
      <c r="H510" s="1322">
        <v>7360</v>
      </c>
      <c r="I510" s="1640">
        <v>7360</v>
      </c>
      <c r="J510" s="1640">
        <v>7360</v>
      </c>
      <c r="K510" s="48"/>
      <c r="L510" s="58"/>
      <c r="M510" s="50"/>
      <c r="N510" s="50"/>
    </row>
    <row r="511" spans="1:14" x14ac:dyDescent="0.2">
      <c r="A511" s="1580"/>
      <c r="B511" s="1573"/>
      <c r="C511" s="1112" t="s">
        <v>716</v>
      </c>
      <c r="D511" s="1531"/>
      <c r="E511" s="1813"/>
      <c r="F511" s="1531"/>
      <c r="G511" s="1531"/>
      <c r="H511" s="1322"/>
      <c r="I511" s="1699"/>
      <c r="J511" s="1699"/>
      <c r="K511" s="48"/>
      <c r="L511" s="58"/>
      <c r="M511" s="50"/>
      <c r="N511" s="50"/>
    </row>
    <row r="512" spans="1:14" x14ac:dyDescent="0.2">
      <c r="A512" s="1580"/>
      <c r="B512" s="1573"/>
      <c r="C512" s="1112" t="s">
        <v>723</v>
      </c>
      <c r="D512" s="1531"/>
      <c r="E512" s="1813"/>
      <c r="F512" s="1531"/>
      <c r="G512" s="1531"/>
      <c r="H512" s="1322"/>
      <c r="I512" s="1699"/>
      <c r="J512" s="1699"/>
      <c r="K512" s="48"/>
      <c r="L512" s="58"/>
      <c r="M512" s="50"/>
      <c r="N512" s="50"/>
    </row>
    <row r="513" spans="1:15" x14ac:dyDescent="0.2">
      <c r="A513" s="1580"/>
      <c r="B513" s="1573"/>
      <c r="C513" s="1112" t="s">
        <v>717</v>
      </c>
      <c r="D513" s="1531"/>
      <c r="E513" s="1813"/>
      <c r="F513" s="1531"/>
      <c r="G513" s="1531"/>
      <c r="H513" s="1322"/>
      <c r="I513" s="1699"/>
      <c r="J513" s="1699"/>
      <c r="K513" s="48"/>
      <c r="L513" s="58"/>
      <c r="M513" s="50"/>
      <c r="N513" s="50"/>
    </row>
    <row r="514" spans="1:15" x14ac:dyDescent="0.2">
      <c r="A514" s="1580"/>
      <c r="B514" s="1573"/>
      <c r="C514" s="1112" t="s">
        <v>721</v>
      </c>
      <c r="D514" s="1531"/>
      <c r="E514" s="1813"/>
      <c r="F514" s="1531"/>
      <c r="G514" s="1531"/>
      <c r="H514" s="1322"/>
      <c r="I514" s="1699"/>
      <c r="J514" s="1699"/>
      <c r="K514" s="48"/>
      <c r="L514" s="58"/>
      <c r="M514" s="50"/>
      <c r="N514" s="50"/>
    </row>
    <row r="515" spans="1:15" x14ac:dyDescent="0.2">
      <c r="A515" s="1580"/>
      <c r="B515" s="1573"/>
      <c r="C515" s="1112" t="s">
        <v>645</v>
      </c>
      <c r="D515" s="1531">
        <v>7284</v>
      </c>
      <c r="E515" s="1813"/>
      <c r="F515" s="1531">
        <v>5578</v>
      </c>
      <c r="G515" s="1531">
        <v>5339</v>
      </c>
      <c r="H515" s="1322">
        <v>5339</v>
      </c>
      <c r="I515" s="1640">
        <v>5339</v>
      </c>
      <c r="J515" s="1640">
        <v>5339</v>
      </c>
      <c r="K515" s="48"/>
      <c r="L515" s="58"/>
      <c r="M515" s="50"/>
      <c r="N515" s="50"/>
    </row>
    <row r="516" spans="1:15" x14ac:dyDescent="0.2">
      <c r="A516" s="1580"/>
      <c r="B516" s="1573"/>
      <c r="C516" s="1112" t="s">
        <v>711</v>
      </c>
      <c r="D516" s="1531">
        <v>0</v>
      </c>
      <c r="E516" s="1813"/>
      <c r="F516" s="1531">
        <v>2700</v>
      </c>
      <c r="G516" s="1531">
        <v>2700</v>
      </c>
      <c r="H516" s="1322">
        <v>2700</v>
      </c>
      <c r="I516" s="1640">
        <v>2700</v>
      </c>
      <c r="J516" s="1640">
        <v>2700</v>
      </c>
      <c r="K516" s="48"/>
      <c r="L516" s="58"/>
      <c r="M516" s="50"/>
      <c r="N516" s="50"/>
    </row>
    <row r="517" spans="1:15" x14ac:dyDescent="0.2">
      <c r="A517" s="1580"/>
      <c r="B517" s="1573"/>
      <c r="C517" s="1112" t="s">
        <v>718</v>
      </c>
      <c r="D517" s="1531"/>
      <c r="E517" s="1813"/>
      <c r="F517" s="1531"/>
      <c r="G517" s="1531"/>
      <c r="H517" s="1322"/>
      <c r="I517" s="1642"/>
      <c r="J517" s="1642"/>
      <c r="K517" s="48"/>
      <c r="L517" s="58"/>
      <c r="M517" s="50"/>
      <c r="N517" s="50"/>
    </row>
    <row r="518" spans="1:15" x14ac:dyDescent="0.2">
      <c r="A518" s="1580"/>
      <c r="B518" s="1573"/>
      <c r="C518" s="1112" t="s">
        <v>719</v>
      </c>
      <c r="D518" s="1531"/>
      <c r="E518" s="1813"/>
      <c r="F518" s="1531"/>
      <c r="G518" s="1531"/>
      <c r="H518" s="1322"/>
      <c r="I518" s="1642"/>
      <c r="J518" s="1642"/>
      <c r="K518" s="48"/>
      <c r="L518" s="58"/>
      <c r="M518" s="50"/>
      <c r="N518" s="50"/>
    </row>
    <row r="519" spans="1:15" x14ac:dyDescent="0.2">
      <c r="A519" s="1580"/>
      <c r="B519" s="1573"/>
      <c r="C519" s="1112" t="s">
        <v>720</v>
      </c>
      <c r="D519" s="1531"/>
      <c r="E519" s="1813"/>
      <c r="F519" s="1531"/>
      <c r="G519" s="1531"/>
      <c r="H519" s="1322"/>
      <c r="I519" s="1642"/>
      <c r="J519" s="1642"/>
      <c r="K519" s="48"/>
      <c r="L519" s="58"/>
      <c r="M519" s="50"/>
      <c r="N519" s="50"/>
    </row>
    <row r="520" spans="1:15" x14ac:dyDescent="0.2">
      <c r="A520" s="1580"/>
      <c r="B520" s="1573"/>
      <c r="C520" s="1112" t="s">
        <v>1013</v>
      </c>
      <c r="D520" s="1531"/>
      <c r="E520" s="1813"/>
      <c r="F520" s="1531"/>
      <c r="G520" s="1531">
        <v>1051</v>
      </c>
      <c r="H520" s="1322"/>
      <c r="I520" s="1642"/>
      <c r="J520" s="1642"/>
      <c r="K520" s="48"/>
      <c r="L520" s="58"/>
      <c r="M520" s="50"/>
      <c r="N520" s="50"/>
    </row>
    <row r="521" spans="1:15" x14ac:dyDescent="0.2">
      <c r="A521" s="1580"/>
      <c r="B521" s="1573"/>
      <c r="C521" s="1112" t="s">
        <v>1012</v>
      </c>
      <c r="D521" s="1531"/>
      <c r="E521" s="1813"/>
      <c r="F521" s="1531"/>
      <c r="G521" s="1531">
        <v>1500</v>
      </c>
      <c r="H521" s="1322"/>
      <c r="I521" s="1642"/>
      <c r="J521" s="1642"/>
      <c r="K521" s="48"/>
      <c r="L521" s="58"/>
      <c r="M521" s="50"/>
      <c r="N521" s="50"/>
    </row>
    <row r="522" spans="1:15" x14ac:dyDescent="0.2">
      <c r="A522" s="1636" t="s">
        <v>713</v>
      </c>
      <c r="B522" s="1636"/>
      <c r="C522" s="1636"/>
      <c r="D522" s="1526">
        <f>D523+D538+D566</f>
        <v>257306</v>
      </c>
      <c r="E522" s="1819">
        <v>269889.69</v>
      </c>
      <c r="F522" s="1934">
        <f>F523+F538+F580+F566</f>
        <v>289103</v>
      </c>
      <c r="G522" s="1934">
        <f>G523+G538+G580+G566</f>
        <v>271706</v>
      </c>
      <c r="H522" s="1643">
        <f>H523+H538+H566</f>
        <v>307319</v>
      </c>
      <c r="I522" s="1643">
        <f>I523+I538+I566</f>
        <v>0</v>
      </c>
      <c r="J522" s="1643">
        <f>J523+J538+J566</f>
        <v>0</v>
      </c>
      <c r="K522" s="64"/>
      <c r="L522" s="58"/>
      <c r="M522" s="50"/>
      <c r="N522" s="50"/>
    </row>
    <row r="523" spans="1:15" x14ac:dyDescent="0.2">
      <c r="A523" s="2416">
        <v>610.62</v>
      </c>
      <c r="B523" s="2416"/>
      <c r="C523" s="1626" t="s">
        <v>712</v>
      </c>
      <c r="D523" s="1523">
        <f>SUM(D524:D531)+D536</f>
        <v>235344</v>
      </c>
      <c r="E523" s="1831"/>
      <c r="F523" s="1523">
        <f t="shared" ref="F523" si="106">SUM(F524:F531)+F536</f>
        <v>264131</v>
      </c>
      <c r="G523" s="1523">
        <f>SUM(G524:G536)-H537</f>
        <v>257924</v>
      </c>
      <c r="H523" s="1976">
        <f>SUM(H524:H536)+H537</f>
        <v>293924</v>
      </c>
      <c r="I523" s="1623">
        <f>SUM(I524:I531)</f>
        <v>0</v>
      </c>
      <c r="J523" s="1623">
        <f>SUM(J524:J531)</f>
        <v>0</v>
      </c>
      <c r="K523" s="64"/>
      <c r="L523" s="58"/>
      <c r="M523" s="50"/>
      <c r="N523" s="50"/>
      <c r="O523" s="49"/>
    </row>
    <row r="524" spans="1:15" x14ac:dyDescent="0.2">
      <c r="A524" s="2417" t="s">
        <v>706</v>
      </c>
      <c r="B524" s="1119">
        <v>610</v>
      </c>
      <c r="C524" s="1121" t="s">
        <v>441</v>
      </c>
      <c r="D524" s="1531">
        <v>42388</v>
      </c>
      <c r="E524" s="1813"/>
      <c r="F524" s="1531">
        <v>40417</v>
      </c>
      <c r="G524" s="1531">
        <v>43171</v>
      </c>
      <c r="H524" s="1335">
        <v>43171</v>
      </c>
      <c r="I524" s="1531">
        <v>0</v>
      </c>
      <c r="J524" s="1531">
        <v>0</v>
      </c>
      <c r="K524" s="64"/>
      <c r="L524" s="58"/>
      <c r="M524" s="50"/>
      <c r="N524" s="50"/>
      <c r="O524" s="49"/>
    </row>
    <row r="525" spans="1:15" s="33" customFormat="1" x14ac:dyDescent="0.2">
      <c r="A525" s="2417"/>
      <c r="B525" s="1119">
        <v>620</v>
      </c>
      <c r="C525" s="1120" t="s">
        <v>188</v>
      </c>
      <c r="D525" s="1531">
        <v>14491</v>
      </c>
      <c r="E525" s="1813"/>
      <c r="F525" s="1531">
        <v>14156</v>
      </c>
      <c r="G525" s="1531">
        <v>10539</v>
      </c>
      <c r="H525" s="1335">
        <v>10539</v>
      </c>
      <c r="I525" s="1531">
        <v>0</v>
      </c>
      <c r="J525" s="1531">
        <v>0</v>
      </c>
      <c r="K525" s="20"/>
      <c r="L525" s="58"/>
      <c r="M525" s="488"/>
      <c r="N525" s="50"/>
      <c r="O525" s="49"/>
    </row>
    <row r="526" spans="1:15" s="534" customFormat="1" x14ac:dyDescent="0.2">
      <c r="A526" s="2417" t="s">
        <v>707</v>
      </c>
      <c r="B526" s="1119">
        <v>610</v>
      </c>
      <c r="C526" s="1121" t="s">
        <v>441</v>
      </c>
      <c r="D526" s="1531">
        <v>101534</v>
      </c>
      <c r="E526" s="1813"/>
      <c r="F526" s="1531">
        <v>123815</v>
      </c>
      <c r="G526" s="1531">
        <v>129963</v>
      </c>
      <c r="H526" s="1335">
        <v>129963</v>
      </c>
      <c r="I526" s="1531">
        <v>0</v>
      </c>
      <c r="J526" s="1531">
        <v>0</v>
      </c>
      <c r="K526" s="479"/>
      <c r="L526" s="485"/>
      <c r="M526" s="469"/>
      <c r="N526" s="484"/>
      <c r="O526" s="482"/>
    </row>
    <row r="527" spans="1:15" s="534" customFormat="1" x14ac:dyDescent="0.2">
      <c r="A527" s="2417"/>
      <c r="B527" s="1119">
        <v>620</v>
      </c>
      <c r="C527" s="1120" t="s">
        <v>188</v>
      </c>
      <c r="D527" s="1531">
        <v>35467</v>
      </c>
      <c r="E527" s="1813"/>
      <c r="F527" s="1531">
        <v>43296</v>
      </c>
      <c r="G527" s="1531">
        <v>46708</v>
      </c>
      <c r="H527" s="1335">
        <v>46708</v>
      </c>
      <c r="I527" s="1531">
        <v>0</v>
      </c>
      <c r="J527" s="1531">
        <v>0</v>
      </c>
      <c r="K527" s="479"/>
      <c r="L527" s="485"/>
      <c r="M527" s="469"/>
      <c r="N527" s="484"/>
      <c r="O527" s="482"/>
    </row>
    <row r="528" spans="1:15" s="33" customFormat="1" x14ac:dyDescent="0.2">
      <c r="A528" s="2417" t="s">
        <v>387</v>
      </c>
      <c r="B528" s="1119">
        <v>610</v>
      </c>
      <c r="C528" s="1121" t="s">
        <v>441</v>
      </c>
      <c r="D528" s="1531">
        <v>12381</v>
      </c>
      <c r="E528" s="1813"/>
      <c r="F528" s="1531">
        <v>13385</v>
      </c>
      <c r="G528" s="1531">
        <v>12602</v>
      </c>
      <c r="H528" s="1335">
        <v>12602</v>
      </c>
      <c r="I528" s="1531">
        <v>0</v>
      </c>
      <c r="J528" s="1531">
        <v>0</v>
      </c>
      <c r="K528" s="526"/>
      <c r="L528" s="525"/>
      <c r="M528" s="469"/>
      <c r="N528" s="535"/>
      <c r="O528" s="16"/>
    </row>
    <row r="529" spans="1:15" s="33" customFormat="1" x14ac:dyDescent="0.2">
      <c r="A529" s="2417"/>
      <c r="B529" s="1119">
        <v>620</v>
      </c>
      <c r="C529" s="1120" t="s">
        <v>188</v>
      </c>
      <c r="D529" s="1531">
        <v>4327</v>
      </c>
      <c r="E529" s="1813"/>
      <c r="F529" s="1531">
        <v>4711</v>
      </c>
      <c r="G529" s="1531">
        <v>4530</v>
      </c>
      <c r="H529" s="1335">
        <v>4530</v>
      </c>
      <c r="I529" s="1531">
        <v>0</v>
      </c>
      <c r="J529" s="1531">
        <v>0</v>
      </c>
      <c r="K529" s="526"/>
      <c r="L529" s="525"/>
      <c r="M529" s="469"/>
      <c r="N529" s="535"/>
      <c r="O529" s="16"/>
    </row>
    <row r="530" spans="1:15" s="33" customFormat="1" x14ac:dyDescent="0.2">
      <c r="A530" s="2417" t="s">
        <v>708</v>
      </c>
      <c r="B530" s="1119">
        <v>610</v>
      </c>
      <c r="C530" s="1121" t="s">
        <v>441</v>
      </c>
      <c r="D530" s="1531">
        <v>17221</v>
      </c>
      <c r="E530" s="1813"/>
      <c r="F530" s="1531">
        <v>18017</v>
      </c>
      <c r="G530" s="1531">
        <v>19106</v>
      </c>
      <c r="H530" s="1335">
        <v>19106</v>
      </c>
      <c r="I530" s="1531">
        <v>0</v>
      </c>
      <c r="J530" s="1531">
        <v>0</v>
      </c>
      <c r="K530" s="526"/>
      <c r="L530" s="525"/>
      <c r="M530" s="469"/>
      <c r="N530" s="535"/>
      <c r="O530" s="16"/>
    </row>
    <row r="531" spans="1:15" s="33" customFormat="1" x14ac:dyDescent="0.2">
      <c r="A531" s="2417"/>
      <c r="B531" s="1119">
        <v>620</v>
      </c>
      <c r="C531" s="1120" t="s">
        <v>188</v>
      </c>
      <c r="D531" s="1531">
        <v>6017</v>
      </c>
      <c r="E531" s="1813"/>
      <c r="F531" s="1531">
        <v>6334</v>
      </c>
      <c r="G531" s="1531">
        <v>4795</v>
      </c>
      <c r="H531" s="1335">
        <v>4795</v>
      </c>
      <c r="I531" s="1531">
        <v>0</v>
      </c>
      <c r="J531" s="1531">
        <v>0</v>
      </c>
      <c r="K531" s="526"/>
      <c r="L531" s="525"/>
      <c r="M531" s="469"/>
      <c r="N531" s="535"/>
      <c r="O531" s="16"/>
    </row>
    <row r="532" spans="1:15" s="33" customFormat="1" x14ac:dyDescent="0.2">
      <c r="A532" s="2420" t="s">
        <v>1016</v>
      </c>
      <c r="B532" s="1119">
        <v>610</v>
      </c>
      <c r="C532" s="1120" t="s">
        <v>441</v>
      </c>
      <c r="D532" s="1531"/>
      <c r="E532" s="1813"/>
      <c r="F532" s="1531"/>
      <c r="G532" s="1531">
        <v>974</v>
      </c>
      <c r="H532" s="1335">
        <v>974</v>
      </c>
      <c r="I532" s="1531"/>
      <c r="J532" s="1531"/>
      <c r="K532" s="526"/>
      <c r="L532" s="525"/>
      <c r="M532" s="469"/>
      <c r="N532" s="535"/>
      <c r="O532" s="16"/>
    </row>
    <row r="533" spans="1:15" s="33" customFormat="1" x14ac:dyDescent="0.2">
      <c r="A533" s="2421"/>
      <c r="B533" s="1119">
        <v>620</v>
      </c>
      <c r="C533" s="1120" t="s">
        <v>188</v>
      </c>
      <c r="D533" s="1531"/>
      <c r="E533" s="1813"/>
      <c r="F533" s="1531"/>
      <c r="G533" s="1531">
        <v>350</v>
      </c>
      <c r="H533" s="1335">
        <v>350</v>
      </c>
      <c r="I533" s="1531"/>
      <c r="J533" s="1531"/>
      <c r="K533" s="526"/>
      <c r="L533" s="525"/>
      <c r="M533" s="469"/>
      <c r="N533" s="535"/>
      <c r="O533" s="16"/>
    </row>
    <row r="534" spans="1:15" s="33" customFormat="1" x14ac:dyDescent="0.2">
      <c r="A534" s="2420" t="s">
        <v>1017</v>
      </c>
      <c r="B534" s="1119">
        <v>610</v>
      </c>
      <c r="C534" s="1120" t="s">
        <v>441</v>
      </c>
      <c r="D534" s="1531"/>
      <c r="E534" s="1813"/>
      <c r="F534" s="1531"/>
      <c r="G534" s="1531">
        <v>2550</v>
      </c>
      <c r="H534" s="1335">
        <v>2550</v>
      </c>
      <c r="I534" s="1531"/>
      <c r="J534" s="1531"/>
      <c r="K534" s="526"/>
      <c r="L534" s="525"/>
      <c r="M534" s="469"/>
      <c r="N534" s="535"/>
      <c r="O534" s="16"/>
    </row>
    <row r="535" spans="1:15" s="33" customFormat="1" x14ac:dyDescent="0.2">
      <c r="A535" s="2421"/>
      <c r="B535" s="1119">
        <v>620</v>
      </c>
      <c r="C535" s="1120" t="s">
        <v>188</v>
      </c>
      <c r="D535" s="1531"/>
      <c r="E535" s="1813"/>
      <c r="F535" s="1531"/>
      <c r="G535" s="1531">
        <v>636</v>
      </c>
      <c r="H535" s="1335">
        <v>636</v>
      </c>
      <c r="I535" s="1531"/>
      <c r="J535" s="1531"/>
      <c r="K535" s="526"/>
      <c r="L535" s="525"/>
      <c r="M535" s="469"/>
      <c r="N535" s="535"/>
      <c r="O535" s="16"/>
    </row>
    <row r="536" spans="1:15" s="33" customFormat="1" x14ac:dyDescent="0.2">
      <c r="A536" s="1639"/>
      <c r="B536" s="1119"/>
      <c r="C536" s="1120" t="s">
        <v>816</v>
      </c>
      <c r="D536" s="1531">
        <v>1518</v>
      </c>
      <c r="E536" s="1813"/>
      <c r="F536" s="1531">
        <v>0</v>
      </c>
      <c r="G536" s="1531">
        <v>0</v>
      </c>
      <c r="H536" s="1335">
        <v>0</v>
      </c>
      <c r="I536" s="1531">
        <v>0</v>
      </c>
      <c r="J536" s="1531">
        <v>0</v>
      </c>
      <c r="K536" s="526"/>
      <c r="L536" s="525"/>
      <c r="M536" s="469"/>
      <c r="N536" s="535"/>
      <c r="O536" s="16"/>
    </row>
    <row r="537" spans="1:15" s="33" customFormat="1" x14ac:dyDescent="0.2">
      <c r="A537" s="1639"/>
      <c r="B537" s="1119"/>
      <c r="C537" s="2142" t="s">
        <v>1456</v>
      </c>
      <c r="D537" s="1531"/>
      <c r="E537" s="1829"/>
      <c r="F537" s="1531"/>
      <c r="G537" s="1531"/>
      <c r="H537" s="1335">
        <v>18000</v>
      </c>
      <c r="I537" s="1644"/>
      <c r="J537" s="1644"/>
      <c r="K537" s="526"/>
      <c r="L537" s="525"/>
      <c r="M537" s="469"/>
      <c r="N537" s="535"/>
      <c r="O537" s="16"/>
    </row>
    <row r="538" spans="1:15" x14ac:dyDescent="0.2">
      <c r="A538" s="1295"/>
      <c r="B538" s="1295" t="s">
        <v>574</v>
      </c>
      <c r="C538" s="1626" t="s">
        <v>356</v>
      </c>
      <c r="D538" s="1532">
        <f>D539+D540+D551+D553+D557+D566</f>
        <v>16785</v>
      </c>
      <c r="E538" s="1830"/>
      <c r="F538" s="1532">
        <f>F539+F540+F551+F553+F557</f>
        <v>17755</v>
      </c>
      <c r="G538" s="1532">
        <f>G539+G540+G551+G553+G557</f>
        <v>8707</v>
      </c>
      <c r="H538" s="1976">
        <f>H539+H540+H551+H553+H557</f>
        <v>8818</v>
      </c>
      <c r="I538" s="1357">
        <f>I539+I540+I551+I553+I557</f>
        <v>0</v>
      </c>
      <c r="J538" s="1357">
        <f>J539+J540+J551+J553+J557</f>
        <v>0</v>
      </c>
      <c r="L538" s="509"/>
      <c r="M538" s="469"/>
      <c r="N538" s="484"/>
    </row>
    <row r="539" spans="1:15" x14ac:dyDescent="0.2">
      <c r="A539" s="2416">
        <v>632</v>
      </c>
      <c r="B539" s="2416"/>
      <c r="C539" s="1626" t="s">
        <v>445</v>
      </c>
      <c r="D539" s="1199">
        <v>4641</v>
      </c>
      <c r="E539" s="1823"/>
      <c r="F539" s="1523">
        <v>9409</v>
      </c>
      <c r="G539" s="1523">
        <v>3075</v>
      </c>
      <c r="H539" s="1950">
        <v>3075</v>
      </c>
      <c r="I539" s="1199">
        <v>0</v>
      </c>
      <c r="J539" s="1199">
        <v>0</v>
      </c>
      <c r="L539" s="509"/>
      <c r="M539" s="469"/>
      <c r="N539" s="484"/>
    </row>
    <row r="540" spans="1:15" x14ac:dyDescent="0.2">
      <c r="A540" s="2419">
        <v>633</v>
      </c>
      <c r="B540" s="2419"/>
      <c r="C540" s="1637" t="s">
        <v>447</v>
      </c>
      <c r="D540" s="1523">
        <f>SUM(D541:D549)+D550</f>
        <v>894</v>
      </c>
      <c r="E540" s="1823"/>
      <c r="F540" s="1523">
        <f>SUM(F541:F549)+F550</f>
        <v>1510</v>
      </c>
      <c r="G540" s="1523">
        <f>SUM(G541:G549)+G550</f>
        <v>587</v>
      </c>
      <c r="H540" s="1973">
        <f>SUM(H541:H549)+H550</f>
        <v>740</v>
      </c>
      <c r="I540" s="1199">
        <f>SUM(I542:I550)</f>
        <v>0</v>
      </c>
      <c r="J540" s="1199">
        <f>SUM(J542:J550)</f>
        <v>0</v>
      </c>
      <c r="L540" s="509"/>
      <c r="M540" s="469"/>
      <c r="N540" s="484"/>
    </row>
    <row r="541" spans="1:15" x14ac:dyDescent="0.2">
      <c r="A541" s="914">
        <v>633</v>
      </c>
      <c r="B541" s="914" t="s">
        <v>91</v>
      </c>
      <c r="C541" s="914" t="s">
        <v>448</v>
      </c>
      <c r="D541" s="1116"/>
      <c r="E541" s="1832"/>
      <c r="F541" s="1531"/>
      <c r="G541" s="1531"/>
      <c r="H541" s="1977"/>
      <c r="I541" s="1645"/>
      <c r="J541" s="1645"/>
      <c r="L541" s="509"/>
      <c r="M541" s="469"/>
      <c r="N541" s="484"/>
    </row>
    <row r="542" spans="1:15" x14ac:dyDescent="0.2">
      <c r="A542" s="1074">
        <v>633</v>
      </c>
      <c r="B542" s="1574" t="s">
        <v>94</v>
      </c>
      <c r="C542" s="1074" t="s">
        <v>449</v>
      </c>
      <c r="D542" s="1116"/>
      <c r="E542" s="1832"/>
      <c r="F542" s="1531"/>
      <c r="G542" s="1531"/>
      <c r="H542" s="1977"/>
      <c r="I542" s="1645"/>
      <c r="J542" s="1645"/>
      <c r="L542" s="509"/>
      <c r="M542" s="469"/>
      <c r="N542" s="484"/>
    </row>
    <row r="543" spans="1:15" x14ac:dyDescent="0.2">
      <c r="A543" s="1074">
        <v>633</v>
      </c>
      <c r="B543" s="1574" t="s">
        <v>117</v>
      </c>
      <c r="C543" s="1074" t="s">
        <v>450</v>
      </c>
      <c r="D543" s="1116"/>
      <c r="E543" s="1832"/>
      <c r="F543" s="1531"/>
      <c r="G543" s="1531"/>
      <c r="H543" s="1977"/>
      <c r="I543" s="1645"/>
      <c r="J543" s="1645"/>
      <c r="L543" s="509"/>
      <c r="M543" s="469"/>
      <c r="N543" s="484"/>
    </row>
    <row r="544" spans="1:15" x14ac:dyDescent="0.2">
      <c r="A544" s="1074">
        <v>633</v>
      </c>
      <c r="B544" s="1074" t="s">
        <v>122</v>
      </c>
      <c r="C544" s="1074" t="s">
        <v>452</v>
      </c>
      <c r="D544" s="1198">
        <v>413</v>
      </c>
      <c r="E544" s="1829"/>
      <c r="F544" s="1531">
        <v>500</v>
      </c>
      <c r="G544" s="1531">
        <v>197</v>
      </c>
      <c r="H544" s="1977">
        <v>200</v>
      </c>
      <c r="I544" s="1644">
        <v>0</v>
      </c>
      <c r="J544" s="1644">
        <v>0</v>
      </c>
      <c r="L544" s="509"/>
      <c r="M544" s="469"/>
      <c r="N544" s="484"/>
    </row>
    <row r="545" spans="1:14" x14ac:dyDescent="0.2">
      <c r="A545" s="1074">
        <v>633</v>
      </c>
      <c r="B545" s="1074" t="s">
        <v>122</v>
      </c>
      <c r="C545" s="1074" t="s">
        <v>726</v>
      </c>
      <c r="D545" s="1198">
        <v>0</v>
      </c>
      <c r="E545" s="1829"/>
      <c r="F545" s="1531">
        <v>0</v>
      </c>
      <c r="G545" s="1531">
        <v>0</v>
      </c>
      <c r="H545" s="1977">
        <v>0</v>
      </c>
      <c r="I545" s="1644">
        <v>0</v>
      </c>
      <c r="J545" s="1644">
        <v>0</v>
      </c>
      <c r="L545" s="509"/>
      <c r="M545" s="469"/>
      <c r="N545" s="484"/>
    </row>
    <row r="546" spans="1:14" x14ac:dyDescent="0.2">
      <c r="A546" s="1074">
        <v>633</v>
      </c>
      <c r="B546" s="1074" t="s">
        <v>453</v>
      </c>
      <c r="C546" s="1074" t="s">
        <v>381</v>
      </c>
      <c r="D546" s="1198">
        <v>161</v>
      </c>
      <c r="E546" s="1829"/>
      <c r="F546" s="1531">
        <v>210</v>
      </c>
      <c r="G546" s="1531">
        <v>0</v>
      </c>
      <c r="H546" s="1977">
        <v>150</v>
      </c>
      <c r="I546" s="1644">
        <v>0</v>
      </c>
      <c r="J546" s="1644">
        <v>0</v>
      </c>
      <c r="L546" s="509"/>
      <c r="M546" s="469"/>
      <c r="N546" s="484"/>
    </row>
    <row r="547" spans="1:14" x14ac:dyDescent="0.2">
      <c r="A547" s="1074">
        <v>633</v>
      </c>
      <c r="B547" s="1074" t="s">
        <v>455</v>
      </c>
      <c r="C547" s="1074" t="s">
        <v>456</v>
      </c>
      <c r="D547" s="1198"/>
      <c r="E547" s="1829"/>
      <c r="F547" s="1531"/>
      <c r="G547" s="1531"/>
      <c r="H547" s="1977"/>
      <c r="I547" s="1644"/>
      <c r="J547" s="1644"/>
      <c r="L547" s="509"/>
      <c r="M547" s="469"/>
      <c r="N547" s="484"/>
    </row>
    <row r="548" spans="1:14" x14ac:dyDescent="0.2">
      <c r="A548" s="1074">
        <v>633</v>
      </c>
      <c r="B548" s="1074" t="s">
        <v>457</v>
      </c>
      <c r="C548" s="1074" t="s">
        <v>458</v>
      </c>
      <c r="D548" s="1198"/>
      <c r="E548" s="1829"/>
      <c r="F548" s="1531"/>
      <c r="G548" s="1531"/>
      <c r="H548" s="1977"/>
      <c r="I548" s="1644"/>
      <c r="J548" s="1644"/>
      <c r="L548" s="509"/>
      <c r="M548" s="469"/>
      <c r="N548" s="484"/>
    </row>
    <row r="549" spans="1:14" x14ac:dyDescent="0.2">
      <c r="A549" s="1074">
        <v>633</v>
      </c>
      <c r="B549" s="1074" t="s">
        <v>100</v>
      </c>
      <c r="C549" s="1074" t="s">
        <v>459</v>
      </c>
      <c r="D549" s="1198">
        <v>320</v>
      </c>
      <c r="E549" s="1829"/>
      <c r="F549" s="1531">
        <v>500</v>
      </c>
      <c r="G549" s="1531">
        <v>390</v>
      </c>
      <c r="H549" s="1977">
        <v>390</v>
      </c>
      <c r="I549" s="1644">
        <v>0</v>
      </c>
      <c r="J549" s="1644">
        <v>0</v>
      </c>
      <c r="L549" s="509"/>
      <c r="M549" s="469"/>
      <c r="N549" s="484"/>
    </row>
    <row r="550" spans="1:14" x14ac:dyDescent="0.2">
      <c r="A550" s="1074">
        <v>633</v>
      </c>
      <c r="B550" s="1074" t="s">
        <v>460</v>
      </c>
      <c r="C550" s="1074" t="s">
        <v>461</v>
      </c>
      <c r="D550" s="1198">
        <v>0</v>
      </c>
      <c r="E550" s="1829"/>
      <c r="F550" s="1531">
        <v>300</v>
      </c>
      <c r="G550" s="1531">
        <v>0</v>
      </c>
      <c r="H550" s="1977">
        <v>0</v>
      </c>
      <c r="I550" s="1644">
        <v>0</v>
      </c>
      <c r="J550" s="1644">
        <v>0</v>
      </c>
      <c r="L550" s="509"/>
      <c r="M550" s="469"/>
      <c r="N550" s="484"/>
    </row>
    <row r="551" spans="1:14" x14ac:dyDescent="0.2">
      <c r="A551" s="2415">
        <v>634</v>
      </c>
      <c r="B551" s="2415"/>
      <c r="C551" s="1573" t="s">
        <v>462</v>
      </c>
      <c r="D551" s="1333">
        <f t="shared" ref="D551:J551" si="107">D552</f>
        <v>0</v>
      </c>
      <c r="E551" s="1801"/>
      <c r="F551" s="1333">
        <f t="shared" ref="F551:I551" si="108">F552</f>
        <v>0</v>
      </c>
      <c r="G551" s="1333">
        <f t="shared" si="108"/>
        <v>0</v>
      </c>
      <c r="H551" s="1978">
        <f t="shared" si="108"/>
        <v>0</v>
      </c>
      <c r="I551" s="1199">
        <f t="shared" si="108"/>
        <v>0</v>
      </c>
      <c r="J551" s="1199">
        <f t="shared" si="107"/>
        <v>0</v>
      </c>
      <c r="L551" s="509"/>
      <c r="M551" s="469"/>
      <c r="N551" s="484"/>
    </row>
    <row r="552" spans="1:14" x14ac:dyDescent="0.2">
      <c r="A552" s="1074">
        <v>634</v>
      </c>
      <c r="B552" s="1074" t="s">
        <v>108</v>
      </c>
      <c r="C552" s="1074" t="s">
        <v>467</v>
      </c>
      <c r="D552" s="1333"/>
      <c r="E552" s="1801"/>
      <c r="F552" s="1333"/>
      <c r="G552" s="1333"/>
      <c r="H552" s="1979"/>
      <c r="I552" s="1198"/>
      <c r="J552" s="1198"/>
      <c r="L552" s="509"/>
      <c r="M552" s="469"/>
      <c r="N552" s="484"/>
    </row>
    <row r="553" spans="1:14" x14ac:dyDescent="0.2">
      <c r="A553" s="2415">
        <v>635</v>
      </c>
      <c r="B553" s="2415"/>
      <c r="C553" s="1573" t="s">
        <v>469</v>
      </c>
      <c r="D553" s="1333">
        <f>SUM(D554:D556)</f>
        <v>0</v>
      </c>
      <c r="E553" s="1801"/>
      <c r="F553" s="1333">
        <f t="shared" ref="F553:I553" si="109">SUM(F554:F556)</f>
        <v>0</v>
      </c>
      <c r="G553" s="1333">
        <f t="shared" si="109"/>
        <v>0</v>
      </c>
      <c r="H553" s="1978">
        <f t="shared" si="109"/>
        <v>0</v>
      </c>
      <c r="I553" s="1199">
        <f t="shared" si="109"/>
        <v>0</v>
      </c>
      <c r="J553" s="1199">
        <f t="shared" ref="J553" si="110">SUM(J554:J556)</f>
        <v>0</v>
      </c>
      <c r="L553" s="509"/>
      <c r="M553" s="469"/>
      <c r="N553" s="484"/>
    </row>
    <row r="554" spans="1:14" x14ac:dyDescent="0.2">
      <c r="A554" s="1074">
        <v>635</v>
      </c>
      <c r="B554" s="1074" t="s">
        <v>94</v>
      </c>
      <c r="C554" s="1074" t="s">
        <v>470</v>
      </c>
      <c r="D554" s="1333"/>
      <c r="E554" s="1801"/>
      <c r="F554" s="1333"/>
      <c r="G554" s="1333"/>
      <c r="H554" s="1979"/>
      <c r="I554" s="1198"/>
      <c r="J554" s="1198"/>
      <c r="L554" s="509"/>
      <c r="M554" s="469"/>
      <c r="N554" s="484"/>
    </row>
    <row r="555" spans="1:14" x14ac:dyDescent="0.2">
      <c r="A555" s="1074">
        <v>635</v>
      </c>
      <c r="B555" s="1074" t="s">
        <v>108</v>
      </c>
      <c r="C555" s="1074" t="s">
        <v>471</v>
      </c>
      <c r="D555" s="1333"/>
      <c r="E555" s="1801"/>
      <c r="F555" s="1333"/>
      <c r="G555" s="1333"/>
      <c r="H555" s="1979"/>
      <c r="I555" s="1198"/>
      <c r="J555" s="1198"/>
      <c r="L555" s="509"/>
      <c r="M555" s="469"/>
      <c r="N555" s="484"/>
    </row>
    <row r="556" spans="1:14" x14ac:dyDescent="0.2">
      <c r="A556" s="1074">
        <v>635</v>
      </c>
      <c r="B556" s="1074" t="s">
        <v>122</v>
      </c>
      <c r="C556" s="1074" t="s">
        <v>472</v>
      </c>
      <c r="D556" s="1333"/>
      <c r="E556" s="1801"/>
      <c r="F556" s="1333"/>
      <c r="G556" s="1333"/>
      <c r="H556" s="1979"/>
      <c r="I556" s="1198"/>
      <c r="J556" s="1198"/>
      <c r="L556" s="509"/>
      <c r="M556" s="469"/>
      <c r="N556" s="484"/>
    </row>
    <row r="557" spans="1:14" x14ac:dyDescent="0.2">
      <c r="A557" s="2415">
        <v>637</v>
      </c>
      <c r="B557" s="2415"/>
      <c r="C557" s="1573" t="s">
        <v>475</v>
      </c>
      <c r="D557" s="1532">
        <f>SUM(D558:D565)</f>
        <v>6073</v>
      </c>
      <c r="E557" s="1830"/>
      <c r="F557" s="1532">
        <f>SUM(F558:F565)</f>
        <v>6836</v>
      </c>
      <c r="G557" s="1532">
        <f>SUM(G558:G565)</f>
        <v>5045</v>
      </c>
      <c r="H557" s="1980">
        <f>SUM(H558:H565)</f>
        <v>5003</v>
      </c>
      <c r="I557" s="1357">
        <f t="shared" ref="I557" si="111">SUM(I558:I565)</f>
        <v>0</v>
      </c>
      <c r="J557" s="1357">
        <f t="shared" ref="J557" si="112">SUM(J558:J565)</f>
        <v>0</v>
      </c>
      <c r="L557" s="509"/>
      <c r="M557" s="469"/>
      <c r="N557" s="484"/>
    </row>
    <row r="558" spans="1:14" x14ac:dyDescent="0.2">
      <c r="A558" s="1074">
        <v>637</v>
      </c>
      <c r="B558" s="1074" t="s">
        <v>91</v>
      </c>
      <c r="C558" s="1074" t="s">
        <v>476</v>
      </c>
      <c r="D558" s="1531"/>
      <c r="E558" s="1829"/>
      <c r="F558" s="1531"/>
      <c r="G558" s="1531"/>
      <c r="H558" s="1977"/>
      <c r="I558" s="1644"/>
      <c r="J558" s="1644"/>
      <c r="L558" s="509"/>
      <c r="M558" s="469"/>
      <c r="N558" s="484"/>
    </row>
    <row r="559" spans="1:14" x14ac:dyDescent="0.2">
      <c r="A559" s="1074">
        <v>637</v>
      </c>
      <c r="B559" s="1074" t="s">
        <v>108</v>
      </c>
      <c r="C559" s="1074" t="s">
        <v>479</v>
      </c>
      <c r="D559" s="1198">
        <v>2031</v>
      </c>
      <c r="E559" s="1829"/>
      <c r="F559" s="1531">
        <v>2133</v>
      </c>
      <c r="G559" s="1531">
        <v>342</v>
      </c>
      <c r="H559" s="1977">
        <v>300</v>
      </c>
      <c r="I559" s="1644">
        <v>0</v>
      </c>
      <c r="J559" s="1644">
        <v>0</v>
      </c>
      <c r="L559" s="509"/>
      <c r="M559" s="469"/>
      <c r="N559" s="484"/>
    </row>
    <row r="560" spans="1:14" x14ac:dyDescent="0.2">
      <c r="A560" s="1074">
        <v>637</v>
      </c>
      <c r="B560" s="1074" t="s">
        <v>117</v>
      </c>
      <c r="C560" s="1074" t="s">
        <v>321</v>
      </c>
      <c r="D560" s="1198"/>
      <c r="E560" s="1829"/>
      <c r="F560" s="1531"/>
      <c r="G560" s="1531"/>
      <c r="H560" s="1977"/>
      <c r="I560" s="1644"/>
      <c r="J560" s="1644"/>
      <c r="L560" s="509"/>
      <c r="M560" s="469"/>
      <c r="N560" s="484"/>
    </row>
    <row r="561" spans="1:14" x14ac:dyDescent="0.2">
      <c r="A561" s="1074">
        <v>637</v>
      </c>
      <c r="B561" s="1074" t="s">
        <v>99</v>
      </c>
      <c r="C561" s="1074" t="s">
        <v>480</v>
      </c>
      <c r="D561" s="1116"/>
      <c r="E561" s="1832"/>
      <c r="F561" s="1531"/>
      <c r="G561" s="1531"/>
      <c r="H561" s="1977"/>
      <c r="I561" s="1645"/>
      <c r="J561" s="1645"/>
      <c r="L561" s="509"/>
      <c r="M561" s="469"/>
      <c r="N561" s="484"/>
    </row>
    <row r="562" spans="1:14" x14ac:dyDescent="0.2">
      <c r="A562" s="1074">
        <v>637</v>
      </c>
      <c r="B562" s="1074" t="s">
        <v>102</v>
      </c>
      <c r="C562" s="1074" t="s">
        <v>481</v>
      </c>
      <c r="D562" s="1198">
        <v>3868</v>
      </c>
      <c r="E562" s="1829"/>
      <c r="F562" s="1531">
        <v>4529</v>
      </c>
      <c r="G562" s="1531">
        <v>4529</v>
      </c>
      <c r="H562" s="1977">
        <v>4529</v>
      </c>
      <c r="I562" s="1644">
        <v>0</v>
      </c>
      <c r="J562" s="1644">
        <v>0</v>
      </c>
      <c r="L562" s="509"/>
      <c r="M562" s="469"/>
      <c r="N562" s="484"/>
    </row>
    <row r="563" spans="1:14" x14ac:dyDescent="0.2">
      <c r="A563" s="1074">
        <v>637</v>
      </c>
      <c r="B563" s="1074" t="s">
        <v>483</v>
      </c>
      <c r="C563" s="1074" t="s">
        <v>484</v>
      </c>
      <c r="D563" s="1198">
        <v>174</v>
      </c>
      <c r="E563" s="1829"/>
      <c r="F563" s="1531">
        <v>174</v>
      </c>
      <c r="G563" s="1531">
        <v>174</v>
      </c>
      <c r="H563" s="1977">
        <v>174</v>
      </c>
      <c r="I563" s="1644">
        <v>0</v>
      </c>
      <c r="J563" s="1644">
        <v>0</v>
      </c>
      <c r="L563" s="509"/>
      <c r="M563" s="469"/>
      <c r="N563" s="484"/>
    </row>
    <row r="564" spans="1:14" x14ac:dyDescent="0.2">
      <c r="A564" s="1074">
        <v>637</v>
      </c>
      <c r="B564" s="1074" t="s">
        <v>460</v>
      </c>
      <c r="C564" s="1074" t="s">
        <v>485</v>
      </c>
      <c r="D564" s="1116"/>
      <c r="E564" s="1832"/>
      <c r="F564" s="1531"/>
      <c r="G564" s="1531"/>
      <c r="H564" s="1977"/>
      <c r="I564" s="1645"/>
      <c r="J564" s="1645"/>
      <c r="L564" s="509"/>
      <c r="M564" s="469"/>
      <c r="N564" s="484"/>
    </row>
    <row r="565" spans="1:14" x14ac:dyDescent="0.2">
      <c r="A565" s="1074">
        <v>637</v>
      </c>
      <c r="B565" s="1074" t="s">
        <v>488</v>
      </c>
      <c r="C565" s="1074" t="s">
        <v>251</v>
      </c>
      <c r="D565" s="1116"/>
      <c r="E565" s="1832"/>
      <c r="F565" s="1531"/>
      <c r="G565" s="1531"/>
      <c r="H565" s="1977"/>
      <c r="I565" s="1645"/>
      <c r="J565" s="1645"/>
      <c r="L565" s="509"/>
      <c r="M565" s="469"/>
      <c r="N565" s="484"/>
    </row>
    <row r="566" spans="1:14" x14ac:dyDescent="0.2">
      <c r="A566" s="2415">
        <v>640</v>
      </c>
      <c r="B566" s="2415"/>
      <c r="C566" s="1573" t="s">
        <v>489</v>
      </c>
      <c r="D566" s="1532">
        <f>D567+D568+D571+D573+D578+D579+D569+D570+D580</f>
        <v>5177</v>
      </c>
      <c r="E566" s="1830"/>
      <c r="F566" s="1532">
        <f>F567+F568+F571+F573+F578+F579+F569+F570</f>
        <v>7217</v>
      </c>
      <c r="G566" s="1532">
        <f>G567+G568+G571+G573+G578+G579+G569+G570</f>
        <v>5075</v>
      </c>
      <c r="H566" s="1980">
        <f>H567+H568+H571+H573+H578+H579+H569+H570</f>
        <v>4577</v>
      </c>
      <c r="I566" s="1357">
        <f>I567+I568+I571+I573+I578+I579+I570</f>
        <v>0</v>
      </c>
      <c r="J566" s="1357">
        <f>J567+J568+J571+J573+J578+J579+J570</f>
        <v>0</v>
      </c>
      <c r="L566" s="509"/>
      <c r="M566" s="469"/>
      <c r="N566" s="484"/>
    </row>
    <row r="567" spans="1:14" x14ac:dyDescent="0.2">
      <c r="A567" s="1580"/>
      <c r="B567" s="1573"/>
      <c r="C567" s="1112" t="s">
        <v>709</v>
      </c>
      <c r="D567" s="1533">
        <v>1391</v>
      </c>
      <c r="E567" s="1833"/>
      <c r="F567" s="1533">
        <v>1701</v>
      </c>
      <c r="G567" s="1533">
        <v>1248</v>
      </c>
      <c r="H567" s="1958">
        <v>749</v>
      </c>
      <c r="I567" s="1128">
        <v>0</v>
      </c>
      <c r="J567" s="1128">
        <v>0</v>
      </c>
      <c r="L567" s="509"/>
      <c r="M567" s="469"/>
      <c r="N567" s="484"/>
    </row>
    <row r="568" spans="1:14" x14ac:dyDescent="0.2">
      <c r="A568" s="1580"/>
      <c r="B568" s="1573"/>
      <c r="C568" s="1112" t="s">
        <v>715</v>
      </c>
      <c r="D568" s="1533">
        <v>166</v>
      </c>
      <c r="E568" s="1833"/>
      <c r="F568" s="1533">
        <v>116</v>
      </c>
      <c r="G568" s="1533">
        <v>0</v>
      </c>
      <c r="H568" s="1958">
        <v>0</v>
      </c>
      <c r="I568" s="1128">
        <v>0</v>
      </c>
      <c r="J568" s="1128">
        <v>0</v>
      </c>
      <c r="L568" s="509"/>
      <c r="M568" s="469"/>
      <c r="N568" s="484"/>
    </row>
    <row r="569" spans="1:14" x14ac:dyDescent="0.2">
      <c r="A569" s="1580"/>
      <c r="B569" s="1573"/>
      <c r="C569" s="1112" t="s">
        <v>865</v>
      </c>
      <c r="D569" s="1533">
        <v>0</v>
      </c>
      <c r="E569" s="1833"/>
      <c r="F569" s="1533">
        <v>0</v>
      </c>
      <c r="G569" s="1533">
        <v>0</v>
      </c>
      <c r="H569" s="1958">
        <v>0</v>
      </c>
      <c r="I569" s="1128">
        <v>0</v>
      </c>
      <c r="J569" s="1128"/>
      <c r="L569" s="509"/>
      <c r="M569" s="469"/>
      <c r="N569" s="484"/>
    </row>
    <row r="570" spans="1:14" x14ac:dyDescent="0.2">
      <c r="A570" s="1580"/>
      <c r="B570" s="1573"/>
      <c r="C570" s="1112" t="s">
        <v>867</v>
      </c>
      <c r="D570" s="1533">
        <v>0</v>
      </c>
      <c r="E570" s="1833"/>
      <c r="F570" s="1533">
        <v>0</v>
      </c>
      <c r="G570" s="1533">
        <v>0</v>
      </c>
      <c r="H570" s="1958">
        <v>0</v>
      </c>
      <c r="I570" s="1128">
        <v>0</v>
      </c>
      <c r="J570" s="1128">
        <v>0</v>
      </c>
      <c r="L570" s="509"/>
      <c r="M570" s="469"/>
      <c r="N570" s="484"/>
    </row>
    <row r="571" spans="1:14" x14ac:dyDescent="0.2">
      <c r="A571" s="1580"/>
      <c r="B571" s="1573"/>
      <c r="C571" s="1112" t="s">
        <v>710</v>
      </c>
      <c r="D571" s="1533">
        <v>0</v>
      </c>
      <c r="E571" s="1833"/>
      <c r="F571" s="1533">
        <v>2000</v>
      </c>
      <c r="G571" s="1533">
        <v>1650</v>
      </c>
      <c r="H571" s="1958">
        <v>1650</v>
      </c>
      <c r="I571" s="1128">
        <v>0</v>
      </c>
      <c r="J571" s="1128">
        <v>0</v>
      </c>
      <c r="L571" s="509"/>
      <c r="M571" s="469"/>
      <c r="N571" s="484"/>
    </row>
    <row r="572" spans="1:14" x14ac:dyDescent="0.2">
      <c r="A572" s="1580"/>
      <c r="B572" s="1573"/>
      <c r="C572" s="1112" t="s">
        <v>727</v>
      </c>
      <c r="D572" s="1533"/>
      <c r="E572" s="1833"/>
      <c r="F572" s="1533"/>
      <c r="G572" s="1533"/>
      <c r="H572" s="1958"/>
      <c r="I572" s="1116"/>
      <c r="J572" s="1116"/>
      <c r="L572" s="509"/>
      <c r="M572" s="469"/>
      <c r="N572" s="484"/>
    </row>
    <row r="573" spans="1:14" x14ac:dyDescent="0.2">
      <c r="A573" s="1580"/>
      <c r="B573" s="1573"/>
      <c r="C573" s="1112" t="s">
        <v>579</v>
      </c>
      <c r="D573" s="1533">
        <v>1178</v>
      </c>
      <c r="E573" s="1833"/>
      <c r="F573" s="1533">
        <v>1800</v>
      </c>
      <c r="G573" s="1533">
        <v>778</v>
      </c>
      <c r="H573" s="1958">
        <v>778</v>
      </c>
      <c r="I573" s="1128">
        <v>0</v>
      </c>
      <c r="J573" s="1128">
        <v>0</v>
      </c>
      <c r="L573" s="509"/>
      <c r="M573" s="469"/>
      <c r="N573" s="484"/>
    </row>
    <row r="574" spans="1:14" x14ac:dyDescent="0.2">
      <c r="A574" s="1580"/>
      <c r="B574" s="1573"/>
      <c r="C574" s="1112" t="s">
        <v>728</v>
      </c>
      <c r="D574" s="1533"/>
      <c r="E574" s="1833"/>
      <c r="F574" s="1533"/>
      <c r="G574" s="1533"/>
      <c r="H574" s="1958"/>
      <c r="I574" s="1116"/>
      <c r="J574" s="1116"/>
      <c r="L574" s="509"/>
      <c r="M574" s="469"/>
      <c r="N574" s="484"/>
    </row>
    <row r="575" spans="1:14" x14ac:dyDescent="0.2">
      <c r="A575" s="1580"/>
      <c r="B575" s="1573"/>
      <c r="C575" s="1112" t="s">
        <v>723</v>
      </c>
      <c r="D575" s="1533"/>
      <c r="E575" s="1833"/>
      <c r="F575" s="1533"/>
      <c r="G575" s="1533"/>
      <c r="H575" s="1958"/>
      <c r="I575" s="1116"/>
      <c r="J575" s="1116"/>
      <c r="L575" s="509"/>
      <c r="M575" s="469"/>
      <c r="N575" s="484"/>
    </row>
    <row r="576" spans="1:14" x14ac:dyDescent="0.2">
      <c r="A576" s="1580"/>
      <c r="B576" s="1573"/>
      <c r="C576" s="1112" t="s">
        <v>729</v>
      </c>
      <c r="D576" s="1533"/>
      <c r="E576" s="1833"/>
      <c r="F576" s="1533"/>
      <c r="G576" s="1533"/>
      <c r="H576" s="1958"/>
      <c r="I576" s="1116"/>
      <c r="J576" s="1116"/>
      <c r="L576" s="509"/>
      <c r="M576" s="469"/>
      <c r="N576" s="484"/>
    </row>
    <row r="577" spans="1:14" x14ac:dyDescent="0.2">
      <c r="A577" s="1580"/>
      <c r="B577" s="1573"/>
      <c r="C577" s="1112" t="s">
        <v>720</v>
      </c>
      <c r="D577" s="1533"/>
      <c r="E577" s="1833"/>
      <c r="F577" s="1533"/>
      <c r="G577" s="1533"/>
      <c r="H577" s="1958"/>
      <c r="I577" s="1116"/>
      <c r="J577" s="1116"/>
      <c r="L577" s="509"/>
      <c r="M577" s="469"/>
      <c r="N577" s="484"/>
    </row>
    <row r="578" spans="1:14" x14ac:dyDescent="0.2">
      <c r="A578" s="2415"/>
      <c r="B578" s="2415"/>
      <c r="C578" s="1112" t="s">
        <v>645</v>
      </c>
      <c r="D578" s="1533">
        <v>1842</v>
      </c>
      <c r="E578" s="1833"/>
      <c r="F578" s="1533">
        <v>1000</v>
      </c>
      <c r="G578" s="1533">
        <v>949</v>
      </c>
      <c r="H578" s="1958">
        <v>950</v>
      </c>
      <c r="I578" s="1128">
        <v>0</v>
      </c>
      <c r="J578" s="1128">
        <v>0</v>
      </c>
      <c r="L578" s="509"/>
      <c r="M578" s="469"/>
      <c r="N578" s="484"/>
    </row>
    <row r="579" spans="1:14" x14ac:dyDescent="0.2">
      <c r="A579" s="2415"/>
      <c r="B579" s="2415"/>
      <c r="C579" s="1112" t="s">
        <v>711</v>
      </c>
      <c r="D579" s="1533">
        <v>600</v>
      </c>
      <c r="E579" s="1833"/>
      <c r="F579" s="1533">
        <v>600</v>
      </c>
      <c r="G579" s="1533">
        <v>450</v>
      </c>
      <c r="H579" s="1958">
        <v>450</v>
      </c>
      <c r="I579" s="1128">
        <v>0</v>
      </c>
      <c r="J579" s="1128">
        <v>0</v>
      </c>
      <c r="L579" s="509"/>
      <c r="M579" s="469"/>
      <c r="N579" s="484"/>
    </row>
    <row r="580" spans="1:14" x14ac:dyDescent="0.2">
      <c r="A580" s="2415"/>
      <c r="B580" s="2415"/>
      <c r="C580" s="1112" t="s">
        <v>855</v>
      </c>
      <c r="D580" s="1531">
        <v>0</v>
      </c>
      <c r="E580" s="1813"/>
      <c r="F580" s="1531">
        <v>0</v>
      </c>
      <c r="G580" s="1531">
        <v>0</v>
      </c>
      <c r="H580" s="1958">
        <v>0</v>
      </c>
      <c r="I580" s="1116"/>
      <c r="J580" s="1116"/>
      <c r="L580" s="509"/>
      <c r="M580" s="469"/>
      <c r="N580" s="484"/>
    </row>
    <row r="581" spans="1:14" hidden="1" x14ac:dyDescent="0.2">
      <c r="A581" s="1580"/>
      <c r="B581" s="1573"/>
      <c r="C581" s="1112"/>
      <c r="D581" s="1291"/>
      <c r="E581" s="1834"/>
      <c r="F581" s="1310"/>
      <c r="G581" s="1310"/>
      <c r="H581" s="1646"/>
      <c r="I581" s="1128"/>
      <c r="J581" s="1128"/>
      <c r="L581" s="509"/>
      <c r="M581" s="469"/>
      <c r="N581" s="484"/>
    </row>
    <row r="582" spans="1:14" hidden="1" x14ac:dyDescent="0.2">
      <c r="A582" s="1571"/>
      <c r="B582" s="1571"/>
      <c r="C582" s="1571"/>
      <c r="D582" s="1647"/>
      <c r="E582" s="1835"/>
      <c r="F582" s="1310"/>
      <c r="G582" s="1310"/>
      <c r="H582" s="1648"/>
      <c r="I582" s="1292"/>
      <c r="J582" s="1292"/>
      <c r="L582" s="509"/>
      <c r="M582" s="469"/>
      <c r="N582" s="484"/>
    </row>
    <row r="583" spans="1:14" hidden="1" x14ac:dyDescent="0.2">
      <c r="A583" s="1571"/>
      <c r="B583" s="1571"/>
      <c r="C583" s="1649"/>
      <c r="D583" s="1649"/>
      <c r="E583" s="1836"/>
      <c r="F583" s="1310"/>
      <c r="G583" s="1310"/>
      <c r="H583" s="1650"/>
      <c r="I583" s="1649"/>
      <c r="J583" s="1649"/>
      <c r="L583" s="509"/>
      <c r="M583" s="469"/>
      <c r="N583" s="484"/>
    </row>
    <row r="584" spans="1:14" s="500" customFormat="1" x14ac:dyDescent="0.2">
      <c r="A584" s="1550" t="s">
        <v>580</v>
      </c>
      <c r="B584" s="1550"/>
      <c r="C584" s="1550" t="s">
        <v>392</v>
      </c>
      <c r="D584" s="1536">
        <f>SUM(D585,D587,D586,D588)</f>
        <v>111963</v>
      </c>
      <c r="E584" s="1808">
        <f>SUM(E585,E587,E588)+E586</f>
        <v>121186.18</v>
      </c>
      <c r="F584" s="1933">
        <f>SUM(F585,F587,F588)+F586</f>
        <v>116300</v>
      </c>
      <c r="G584" s="1933">
        <f>SUM(G585,G587,G588)+G586</f>
        <v>154638</v>
      </c>
      <c r="H584" s="1536">
        <f>SUM(H585,H587,H588)</f>
        <v>112885</v>
      </c>
      <c r="I584" s="1536">
        <f>SUM(I585,I587,I588)+I586</f>
        <v>121385</v>
      </c>
      <c r="J584" s="1536">
        <f>SUM(J585,J587,J588)+J586</f>
        <v>121385</v>
      </c>
      <c r="K584" s="491"/>
      <c r="L584" s="471"/>
      <c r="M584" s="471"/>
      <c r="N584" s="471"/>
    </row>
    <row r="585" spans="1:14" x14ac:dyDescent="0.2">
      <c r="A585" s="1286">
        <v>610</v>
      </c>
      <c r="B585" s="1200"/>
      <c r="C585" s="1121" t="s">
        <v>441</v>
      </c>
      <c r="D585" s="1520">
        <v>54000</v>
      </c>
      <c r="E585" s="1896">
        <v>53896.05</v>
      </c>
      <c r="F585" s="1333">
        <v>55500</v>
      </c>
      <c r="G585" s="1333">
        <v>56400</v>
      </c>
      <c r="H585" s="1957">
        <v>54000</v>
      </c>
      <c r="I585" s="1601">
        <v>54000</v>
      </c>
      <c r="J585" s="1601">
        <v>54000</v>
      </c>
      <c r="L585" s="58"/>
      <c r="M585" s="50"/>
      <c r="N585" s="58"/>
    </row>
    <row r="586" spans="1:14" x14ac:dyDescent="0.2">
      <c r="A586" s="1286"/>
      <c r="B586" s="1200"/>
      <c r="C586" s="1121"/>
      <c r="D586" s="1520">
        <v>0</v>
      </c>
      <c r="E586" s="1896">
        <v>0</v>
      </c>
      <c r="F586" s="1333">
        <v>0</v>
      </c>
      <c r="G586" s="1333">
        <v>0</v>
      </c>
      <c r="H586" s="1957">
        <v>0</v>
      </c>
      <c r="I586" s="1601">
        <v>0</v>
      </c>
      <c r="J586" s="1601">
        <v>0</v>
      </c>
      <c r="L586" s="58"/>
      <c r="M586" s="50"/>
      <c r="N586" s="58"/>
    </row>
    <row r="587" spans="1:14" x14ac:dyDescent="0.2">
      <c r="A587" s="1286">
        <v>620</v>
      </c>
      <c r="B587" s="1286"/>
      <c r="C587" s="1120" t="s">
        <v>188</v>
      </c>
      <c r="D587" s="1520">
        <v>18400</v>
      </c>
      <c r="E587" s="1896">
        <v>19131.25</v>
      </c>
      <c r="F587" s="1333">
        <v>19000</v>
      </c>
      <c r="G587" s="1333">
        <v>20500</v>
      </c>
      <c r="H587" s="1957">
        <v>19000</v>
      </c>
      <c r="I587" s="1601">
        <v>19000</v>
      </c>
      <c r="J587" s="1601">
        <v>19000</v>
      </c>
      <c r="L587" s="58"/>
      <c r="M587" s="50"/>
      <c r="N587" s="58"/>
    </row>
    <row r="588" spans="1:14" x14ac:dyDescent="0.2">
      <c r="A588" s="1618">
        <v>630</v>
      </c>
      <c r="B588" s="1287"/>
      <c r="C588" s="1112" t="s">
        <v>356</v>
      </c>
      <c r="D588" s="1520">
        <f t="shared" ref="D588:H588" si="113">SUM(D589,D590,D593,D597,D594,D595)+D598+D592+D596</f>
        <v>39563</v>
      </c>
      <c r="E588" s="1896">
        <f>SUM(E589,E590,E592,E596,E593,E594)+E597+E591+E595</f>
        <v>48158.879999999997</v>
      </c>
      <c r="F588" s="1333">
        <v>41800</v>
      </c>
      <c r="G588" s="1333">
        <f>G589+G590+G591+G592+G593+G594+G595+G596+G597</f>
        <v>77738</v>
      </c>
      <c r="H588" s="1957">
        <f t="shared" si="113"/>
        <v>39885</v>
      </c>
      <c r="I588" s="1601">
        <v>48385</v>
      </c>
      <c r="J588" s="1601">
        <f t="shared" ref="J588" si="114">SUM(J589,J590,J593,J597,J594,J595)+J598+J592+J596</f>
        <v>48385</v>
      </c>
      <c r="L588" s="50"/>
      <c r="M588" s="50"/>
      <c r="N588" s="58"/>
    </row>
    <row r="589" spans="1:14" x14ac:dyDescent="0.2">
      <c r="A589" s="1074">
        <v>632</v>
      </c>
      <c r="B589" s="1074"/>
      <c r="C589" s="1074" t="s">
        <v>581</v>
      </c>
      <c r="D589" s="1651">
        <v>10000</v>
      </c>
      <c r="E589" s="1902">
        <v>4601.1099999999997</v>
      </c>
      <c r="F589" s="1531">
        <v>6000</v>
      </c>
      <c r="G589" s="1531">
        <v>11500</v>
      </c>
      <c r="H589" s="1977">
        <v>8185</v>
      </c>
      <c r="I589" s="1652">
        <v>8185</v>
      </c>
      <c r="J589" s="1652">
        <v>8185</v>
      </c>
      <c r="L589" s="490"/>
      <c r="M589" s="488"/>
      <c r="N589" s="490"/>
    </row>
    <row r="590" spans="1:14" x14ac:dyDescent="0.2">
      <c r="A590" s="1074">
        <v>633</v>
      </c>
      <c r="B590" s="1074"/>
      <c r="C590" s="1074" t="s">
        <v>350</v>
      </c>
      <c r="D590" s="1651">
        <v>2000</v>
      </c>
      <c r="E590" s="1902">
        <v>1013.54</v>
      </c>
      <c r="F590" s="1531">
        <v>2000</v>
      </c>
      <c r="G590" s="1531">
        <v>2000</v>
      </c>
      <c r="H590" s="1977">
        <v>2000</v>
      </c>
      <c r="I590" s="1652">
        <v>2000</v>
      </c>
      <c r="J590" s="1652">
        <v>2000</v>
      </c>
      <c r="L590" s="506"/>
      <c r="M590" s="488"/>
      <c r="N590" s="490"/>
    </row>
    <row r="591" spans="1:14" x14ac:dyDescent="0.2">
      <c r="A591" s="1074">
        <v>633</v>
      </c>
      <c r="B591" s="1074"/>
      <c r="C591" s="1074" t="s">
        <v>974</v>
      </c>
      <c r="D591" s="1651"/>
      <c r="E591" s="1903">
        <v>0</v>
      </c>
      <c r="F591" s="1531">
        <v>0</v>
      </c>
      <c r="G591" s="1946">
        <v>7382</v>
      </c>
      <c r="H591" s="1977"/>
      <c r="I591" s="1652">
        <v>0</v>
      </c>
      <c r="J591" s="1652"/>
      <c r="L591" s="506"/>
      <c r="M591" s="488"/>
      <c r="N591" s="490"/>
    </row>
    <row r="592" spans="1:14" x14ac:dyDescent="0.2">
      <c r="A592" s="1074">
        <v>633</v>
      </c>
      <c r="B592" s="1074" t="s">
        <v>94</v>
      </c>
      <c r="C592" s="1074" t="s">
        <v>448</v>
      </c>
      <c r="D592" s="1651">
        <v>0</v>
      </c>
      <c r="E592" s="1902">
        <v>1117</v>
      </c>
      <c r="F592" s="1531">
        <v>1500</v>
      </c>
      <c r="G592" s="1531">
        <v>1500</v>
      </c>
      <c r="H592" s="1977">
        <v>1500</v>
      </c>
      <c r="I592" s="1652">
        <v>1500</v>
      </c>
      <c r="J592" s="1652">
        <v>0</v>
      </c>
      <c r="L592" s="506"/>
      <c r="M592" s="488"/>
      <c r="N592" s="490"/>
    </row>
    <row r="593" spans="1:15" x14ac:dyDescent="0.2">
      <c r="A593" s="1074">
        <v>633</v>
      </c>
      <c r="B593" s="1074" t="s">
        <v>457</v>
      </c>
      <c r="C593" s="1074" t="s">
        <v>380</v>
      </c>
      <c r="D593" s="1651">
        <v>23746</v>
      </c>
      <c r="E593" s="1902">
        <v>39921.839999999997</v>
      </c>
      <c r="F593" s="1531">
        <v>30000</v>
      </c>
      <c r="G593" s="1531">
        <v>52856</v>
      </c>
      <c r="H593" s="1977">
        <v>25000</v>
      </c>
      <c r="I593" s="1652">
        <v>35000</v>
      </c>
      <c r="J593" s="1652">
        <v>35000</v>
      </c>
      <c r="L593" s="490"/>
      <c r="M593" s="488"/>
      <c r="N593" s="58"/>
    </row>
    <row r="594" spans="1:15" x14ac:dyDescent="0.2">
      <c r="A594" s="1074">
        <v>633</v>
      </c>
      <c r="B594" s="1074" t="s">
        <v>108</v>
      </c>
      <c r="C594" s="1070" t="s">
        <v>582</v>
      </c>
      <c r="D594" s="1651">
        <v>1117</v>
      </c>
      <c r="E594" s="1902">
        <v>0</v>
      </c>
      <c r="F594" s="1531">
        <v>500</v>
      </c>
      <c r="G594" s="1531">
        <v>500</v>
      </c>
      <c r="H594" s="1977">
        <v>1500</v>
      </c>
      <c r="I594" s="1652">
        <v>500</v>
      </c>
      <c r="J594" s="1652">
        <v>1500</v>
      </c>
      <c r="L594" s="490"/>
      <c r="M594" s="488"/>
      <c r="N594" s="58"/>
    </row>
    <row r="595" spans="1:15" x14ac:dyDescent="0.2">
      <c r="A595" s="1074">
        <v>635</v>
      </c>
      <c r="B595" s="1074"/>
      <c r="C595" s="1070" t="s">
        <v>583</v>
      </c>
      <c r="D595" s="1651">
        <v>500</v>
      </c>
      <c r="E595" s="1902">
        <v>1000</v>
      </c>
      <c r="F595" s="1531">
        <v>1000</v>
      </c>
      <c r="G595" s="1531">
        <v>1000</v>
      </c>
      <c r="H595" s="1977">
        <v>500</v>
      </c>
      <c r="I595" s="1652">
        <v>1000</v>
      </c>
      <c r="J595" s="1652">
        <v>500</v>
      </c>
      <c r="L595" s="490"/>
      <c r="M595" s="488"/>
      <c r="N595" s="58"/>
    </row>
    <row r="596" spans="1:15" x14ac:dyDescent="0.2">
      <c r="A596" s="1074">
        <v>636</v>
      </c>
      <c r="B596" s="1074"/>
      <c r="C596" s="1070" t="s">
        <v>753</v>
      </c>
      <c r="D596" s="1651">
        <v>2000</v>
      </c>
      <c r="E596" s="1902">
        <v>403.5</v>
      </c>
      <c r="F596" s="1531">
        <v>800</v>
      </c>
      <c r="G596" s="1531">
        <v>1000</v>
      </c>
      <c r="H596" s="1977">
        <v>1000</v>
      </c>
      <c r="I596" s="1652">
        <v>200</v>
      </c>
      <c r="J596" s="1652">
        <v>1000</v>
      </c>
      <c r="L596" s="490"/>
      <c r="M596" s="488"/>
      <c r="N596" s="58"/>
    </row>
    <row r="597" spans="1:15" x14ac:dyDescent="0.2">
      <c r="A597" s="1119">
        <v>637</v>
      </c>
      <c r="B597" s="914"/>
      <c r="C597" s="914" t="s">
        <v>202</v>
      </c>
      <c r="D597" s="1651">
        <v>200</v>
      </c>
      <c r="E597" s="1902">
        <v>101.89</v>
      </c>
      <c r="F597" s="1531">
        <v>0</v>
      </c>
      <c r="G597" s="1531">
        <v>0</v>
      </c>
      <c r="H597" s="1977">
        <v>200</v>
      </c>
      <c r="I597" s="1652">
        <v>0</v>
      </c>
      <c r="J597" s="1652">
        <v>200</v>
      </c>
      <c r="L597" s="506"/>
      <c r="M597" s="488"/>
      <c r="N597" s="58"/>
      <c r="O597" s="493"/>
    </row>
    <row r="598" spans="1:15" x14ac:dyDescent="0.2">
      <c r="A598" s="1119">
        <v>642</v>
      </c>
      <c r="B598" s="914"/>
      <c r="C598" s="914" t="s">
        <v>297</v>
      </c>
      <c r="D598" s="1651">
        <v>0</v>
      </c>
      <c r="E598" s="1837">
        <v>0</v>
      </c>
      <c r="F598" s="1531">
        <v>0</v>
      </c>
      <c r="G598" s="1531"/>
      <c r="H598" s="1977">
        <v>0</v>
      </c>
      <c r="I598" s="1652">
        <v>0</v>
      </c>
      <c r="J598" s="1652">
        <v>0</v>
      </c>
      <c r="L598" s="506"/>
      <c r="M598" s="488"/>
      <c r="N598" s="58"/>
      <c r="O598" s="493"/>
    </row>
    <row r="599" spans="1:15" x14ac:dyDescent="0.2">
      <c r="A599" s="1550" t="s">
        <v>771</v>
      </c>
      <c r="B599" s="1550"/>
      <c r="C599" s="1550" t="s">
        <v>739</v>
      </c>
      <c r="D599" s="1653">
        <f t="shared" ref="D599:J599" si="115">D600</f>
        <v>300</v>
      </c>
      <c r="E599" s="1838">
        <f t="shared" si="115"/>
        <v>0</v>
      </c>
      <c r="F599" s="1935">
        <f t="shared" si="115"/>
        <v>300</v>
      </c>
      <c r="G599" s="1935">
        <f>G600</f>
        <v>450</v>
      </c>
      <c r="H599" s="1653">
        <f t="shared" si="115"/>
        <v>300</v>
      </c>
      <c r="I599" s="1653">
        <f t="shared" si="115"/>
        <v>300</v>
      </c>
      <c r="J599" s="1653">
        <f t="shared" si="115"/>
        <v>300</v>
      </c>
      <c r="L599" s="506"/>
      <c r="M599" s="488"/>
      <c r="N599" s="58"/>
      <c r="O599" s="493"/>
    </row>
    <row r="600" spans="1:15" x14ac:dyDescent="0.2">
      <c r="A600" s="2413">
        <v>640</v>
      </c>
      <c r="B600" s="2413"/>
      <c r="C600" s="1654" t="s">
        <v>489</v>
      </c>
      <c r="D600" s="1118">
        <v>300</v>
      </c>
      <c r="E600" s="1806">
        <v>0</v>
      </c>
      <c r="F600" s="1333">
        <v>300</v>
      </c>
      <c r="G600" s="1333">
        <v>450</v>
      </c>
      <c r="H600" s="1322">
        <v>300</v>
      </c>
      <c r="I600" s="1076">
        <v>300</v>
      </c>
      <c r="J600" s="1076">
        <v>300</v>
      </c>
      <c r="L600" s="506"/>
      <c r="M600" s="488"/>
      <c r="N600" s="58"/>
      <c r="O600" s="493"/>
    </row>
    <row r="601" spans="1:15" x14ac:dyDescent="0.2">
      <c r="A601" s="1551" t="s">
        <v>584</v>
      </c>
      <c r="B601" s="1552"/>
      <c r="C601" s="1553" t="s">
        <v>438</v>
      </c>
      <c r="D601" s="1554">
        <f t="shared" ref="D601:H601" si="116">SUM(D397,D453,D584)+D599</f>
        <v>1387736</v>
      </c>
      <c r="E601" s="1759">
        <f t="shared" si="116"/>
        <v>1568675.38</v>
      </c>
      <c r="F601" s="1320">
        <f t="shared" si="116"/>
        <v>1629768</v>
      </c>
      <c r="G601" s="1320">
        <f t="shared" si="116"/>
        <v>1685295</v>
      </c>
      <c r="H601" s="1554">
        <f t="shared" si="116"/>
        <v>1614099</v>
      </c>
      <c r="I601" s="1554">
        <f>I397+I454+I522+I584+I599</f>
        <v>1289002</v>
      </c>
      <c r="J601" s="1554">
        <f>J397+J454+J522+J584+J599</f>
        <v>1288902</v>
      </c>
      <c r="K601" s="50"/>
      <c r="L601" s="471"/>
      <c r="M601" s="471"/>
      <c r="N601" s="471"/>
    </row>
    <row r="602" spans="1:15" hidden="1" x14ac:dyDescent="0.2">
      <c r="A602" s="50"/>
      <c r="B602" s="50"/>
      <c r="C602" s="50"/>
      <c r="D602" s="38"/>
      <c r="E602" s="494"/>
      <c r="F602" s="1306"/>
      <c r="G602" s="1306"/>
      <c r="H602" s="38"/>
      <c r="I602" s="38"/>
      <c r="J602" s="38"/>
    </row>
    <row r="603" spans="1:15" x14ac:dyDescent="0.2">
      <c r="A603" s="50"/>
      <c r="B603" s="50"/>
      <c r="C603" s="50"/>
      <c r="D603" s="38"/>
      <c r="E603" s="494"/>
      <c r="F603" s="1328"/>
      <c r="G603" s="1328"/>
      <c r="H603" s="38"/>
      <c r="I603" s="38"/>
      <c r="J603" s="38"/>
    </row>
    <row r="604" spans="1:15" hidden="1" x14ac:dyDescent="0.2">
      <c r="A604" s="50"/>
      <c r="B604" s="50"/>
      <c r="C604" s="50"/>
      <c r="D604" s="38"/>
      <c r="E604" s="494"/>
      <c r="F604" s="1306"/>
      <c r="G604" s="1306"/>
      <c r="H604" s="38"/>
      <c r="I604" s="38"/>
      <c r="J604" s="38"/>
    </row>
    <row r="605" spans="1:15" hidden="1" x14ac:dyDescent="0.2">
      <c r="A605" s="50"/>
      <c r="B605" s="50"/>
      <c r="C605" s="50"/>
      <c r="D605" s="38"/>
      <c r="E605" s="494"/>
      <c r="F605" s="1306"/>
      <c r="G605" s="1306"/>
      <c r="H605" s="38"/>
      <c r="I605" s="38"/>
      <c r="J605" s="38"/>
    </row>
    <row r="606" spans="1:15" hidden="1" x14ac:dyDescent="0.2">
      <c r="A606" s="50"/>
      <c r="B606" s="50"/>
      <c r="C606" s="50"/>
      <c r="D606" s="38"/>
      <c r="E606" s="494"/>
      <c r="F606" s="1306"/>
      <c r="G606" s="1306"/>
      <c r="H606" s="38"/>
      <c r="I606" s="38"/>
      <c r="J606" s="38"/>
    </row>
    <row r="607" spans="1:15" x14ac:dyDescent="0.2">
      <c r="A607" s="50"/>
      <c r="B607" s="50"/>
      <c r="C607" s="50"/>
      <c r="D607" s="38"/>
      <c r="E607" s="2407" t="s">
        <v>1467</v>
      </c>
      <c r="F607" s="2407"/>
      <c r="G607" s="2407"/>
      <c r="H607" s="2407"/>
      <c r="I607" s="2407"/>
      <c r="J607" s="1795"/>
      <c r="K607" s="86"/>
      <c r="L607" s="86"/>
      <c r="M607" s="86"/>
      <c r="N607" s="86"/>
    </row>
    <row r="608" spans="1:15" hidden="1" x14ac:dyDescent="0.2">
      <c r="A608" s="50"/>
      <c r="B608" s="50"/>
      <c r="C608" s="50"/>
      <c r="D608" s="38"/>
      <c r="E608" s="494"/>
      <c r="F608" s="1306"/>
      <c r="G608" s="1306"/>
      <c r="H608" s="38"/>
      <c r="I608" s="38"/>
      <c r="J608" s="38"/>
    </row>
    <row r="609" spans="1:15" s="497" customFormat="1" x14ac:dyDescent="0.2">
      <c r="A609" s="1544" t="s">
        <v>426</v>
      </c>
      <c r="B609" s="1545"/>
      <c r="C609" s="1546"/>
      <c r="D609" s="1548">
        <v>2022</v>
      </c>
      <c r="E609" s="1915" t="s">
        <v>983</v>
      </c>
      <c r="F609" s="1549">
        <v>2024</v>
      </c>
      <c r="G609" s="1549" t="s">
        <v>984</v>
      </c>
      <c r="H609" s="1724">
        <v>2025</v>
      </c>
      <c r="I609" s="1724">
        <v>2026</v>
      </c>
      <c r="J609" s="1724">
        <v>2027</v>
      </c>
      <c r="K609" s="495"/>
      <c r="L609" s="496"/>
      <c r="M609" s="467"/>
      <c r="N609" s="468"/>
    </row>
    <row r="610" spans="1:15" s="92" customFormat="1" ht="11.25" x14ac:dyDescent="0.2">
      <c r="A610" s="1550" t="s">
        <v>585</v>
      </c>
      <c r="B610" s="1550"/>
      <c r="C610" s="1550"/>
      <c r="D610" s="1536">
        <f>D611+D612+D614+D615+D616</f>
        <v>16360</v>
      </c>
      <c r="E610" s="1808">
        <f>E611+E612+E614+E615+E616+E613</f>
        <v>13008.69</v>
      </c>
      <c r="F610" s="1933">
        <f>F611+F612+F614+F615+F616+F613</f>
        <v>13500</v>
      </c>
      <c r="G610" s="1933">
        <f>G611+G612+G613+G614+G615+G616</f>
        <v>14218</v>
      </c>
      <c r="H610" s="1536">
        <f>H611+H612+H614+H615+H616+H613</f>
        <v>13500</v>
      </c>
      <c r="I610" s="1536">
        <f>I611+I612+I614+I615+I616+I613</f>
        <v>13500</v>
      </c>
      <c r="J610" s="1536">
        <f>J611+J612+J614+J615+J616+J613</f>
        <v>13500</v>
      </c>
      <c r="K610" s="78"/>
      <c r="L610" s="471"/>
      <c r="M610" s="471"/>
      <c r="N610" s="471"/>
    </row>
    <row r="611" spans="1:15" x14ac:dyDescent="0.2">
      <c r="A611" s="914" t="s">
        <v>586</v>
      </c>
      <c r="B611" s="914"/>
      <c r="C611" s="914" t="s">
        <v>404</v>
      </c>
      <c r="D611" s="1333">
        <v>500</v>
      </c>
      <c r="E611" s="1878">
        <v>135.6</v>
      </c>
      <c r="F611" s="1333">
        <v>500</v>
      </c>
      <c r="G611" s="1333">
        <v>500</v>
      </c>
      <c r="H611" s="1322">
        <v>500</v>
      </c>
      <c r="I611" s="1655">
        <v>500</v>
      </c>
      <c r="J611" s="1655">
        <v>500</v>
      </c>
      <c r="K611" s="21"/>
      <c r="L611" s="58"/>
      <c r="M611" s="50"/>
      <c r="N611" s="50"/>
    </row>
    <row r="612" spans="1:15" x14ac:dyDescent="0.2">
      <c r="A612" s="914" t="s">
        <v>586</v>
      </c>
      <c r="B612" s="914"/>
      <c r="C612" s="914" t="s">
        <v>405</v>
      </c>
      <c r="D612" s="1333">
        <v>11060</v>
      </c>
      <c r="E612" s="1878">
        <v>11600</v>
      </c>
      <c r="F612" s="1333">
        <v>12000</v>
      </c>
      <c r="G612" s="1333">
        <v>11800</v>
      </c>
      <c r="H612" s="1322">
        <v>12000</v>
      </c>
      <c r="I612" s="1655">
        <v>12000</v>
      </c>
      <c r="J612" s="1655">
        <v>12000</v>
      </c>
      <c r="K612" s="536"/>
      <c r="L612" s="58"/>
      <c r="M612" s="50"/>
      <c r="N612" s="50"/>
    </row>
    <row r="613" spans="1:15" x14ac:dyDescent="0.2">
      <c r="A613" s="914" t="s">
        <v>586</v>
      </c>
      <c r="B613" s="914"/>
      <c r="C613" s="914" t="s">
        <v>406</v>
      </c>
      <c r="D613" s="1333">
        <v>0</v>
      </c>
      <c r="E613" s="1878">
        <v>0</v>
      </c>
      <c r="F613" s="1333">
        <v>0</v>
      </c>
      <c r="G613" s="1333">
        <v>0</v>
      </c>
      <c r="H613" s="1322">
        <v>0</v>
      </c>
      <c r="I613" s="1655">
        <v>0</v>
      </c>
      <c r="J613" s="1655">
        <v>0</v>
      </c>
      <c r="K613" s="536"/>
      <c r="L613" s="58"/>
      <c r="M613" s="50"/>
      <c r="N613" s="50"/>
    </row>
    <row r="614" spans="1:15" x14ac:dyDescent="0.2">
      <c r="A614" s="914" t="s">
        <v>408</v>
      </c>
      <c r="B614" s="914"/>
      <c r="C614" s="914" t="s">
        <v>982</v>
      </c>
      <c r="D614" s="1333">
        <v>1300</v>
      </c>
      <c r="E614" s="1878">
        <v>873.09</v>
      </c>
      <c r="F614" s="1333">
        <v>1000</v>
      </c>
      <c r="G614" s="1333"/>
      <c r="H614" s="1322">
        <v>1000</v>
      </c>
      <c r="I614" s="1655">
        <v>1000</v>
      </c>
      <c r="J614" s="1655">
        <v>1000</v>
      </c>
      <c r="K614" s="74"/>
      <c r="L614" s="64"/>
      <c r="M614" s="64"/>
      <c r="N614" s="64"/>
    </row>
    <row r="615" spans="1:15" x14ac:dyDescent="0.2">
      <c r="A615" s="914" t="s">
        <v>408</v>
      </c>
      <c r="B615" s="914"/>
      <c r="C615" s="914" t="s">
        <v>587</v>
      </c>
      <c r="D615" s="1525">
        <v>2500</v>
      </c>
      <c r="E615" s="1884">
        <v>0</v>
      </c>
      <c r="F615" s="1333">
        <v>0</v>
      </c>
      <c r="G615" s="1333">
        <v>1518</v>
      </c>
      <c r="H615" s="1322">
        <v>0</v>
      </c>
      <c r="I615" s="1117">
        <v>0</v>
      </c>
      <c r="J615" s="1117">
        <v>0</v>
      </c>
      <c r="K615" s="74"/>
      <c r="L615" s="64"/>
      <c r="M615" s="64"/>
      <c r="N615" s="50"/>
    </row>
    <row r="616" spans="1:15" s="33" customFormat="1" x14ac:dyDescent="0.2">
      <c r="A616" s="1656" t="s">
        <v>588</v>
      </c>
      <c r="B616" s="914"/>
      <c r="C616" s="914" t="s">
        <v>589</v>
      </c>
      <c r="D616" s="1333">
        <v>1000</v>
      </c>
      <c r="E616" s="1878">
        <v>400</v>
      </c>
      <c r="F616" s="1333">
        <v>0</v>
      </c>
      <c r="G616" s="1333">
        <v>400</v>
      </c>
      <c r="H616" s="1322">
        <v>0</v>
      </c>
      <c r="I616" s="1655">
        <v>0</v>
      </c>
      <c r="J616" s="1655">
        <v>0</v>
      </c>
      <c r="K616" s="74"/>
      <c r="L616" s="64"/>
      <c r="M616" s="64"/>
      <c r="N616" s="64"/>
      <c r="O616" s="16"/>
    </row>
    <row r="617" spans="1:15" x14ac:dyDescent="0.2">
      <c r="A617" s="1657" t="s">
        <v>415</v>
      </c>
      <c r="B617" s="1658"/>
      <c r="C617" s="1659" t="s">
        <v>646</v>
      </c>
      <c r="D617" s="1634">
        <f t="shared" ref="D617" si="117">SUM(D618,D621,D619)</f>
        <v>25500</v>
      </c>
      <c r="E617" s="1839">
        <f>SUM(E618,E621,E619)+E620</f>
        <v>37933.78</v>
      </c>
      <c r="F617" s="1922">
        <f>SUM(F618:F621)</f>
        <v>38000</v>
      </c>
      <c r="G617" s="1922">
        <f>G619+G621</f>
        <v>38200</v>
      </c>
      <c r="H617" s="1634">
        <f>SUM(H618:H621)</f>
        <v>38000</v>
      </c>
      <c r="I617" s="1634">
        <f>SUM(I618:I621)</f>
        <v>37500</v>
      </c>
      <c r="J617" s="1634">
        <f>SUM(J618:J621)</f>
        <v>37500</v>
      </c>
      <c r="K617" s="74"/>
      <c r="L617" s="64"/>
      <c r="M617" s="64"/>
      <c r="N617" s="64"/>
    </row>
    <row r="618" spans="1:15" x14ac:dyDescent="0.2">
      <c r="A618" s="2411" t="s">
        <v>573</v>
      </c>
      <c r="B618" s="2411"/>
      <c r="C618" s="1294" t="s">
        <v>441</v>
      </c>
      <c r="D618" s="1525">
        <v>5000</v>
      </c>
      <c r="E618" s="1805"/>
      <c r="F618" s="1333">
        <v>0</v>
      </c>
      <c r="G618" s="1333"/>
      <c r="H618" s="1322">
        <v>0</v>
      </c>
      <c r="I618" s="1115">
        <v>0</v>
      </c>
      <c r="J618" s="1115">
        <v>0</v>
      </c>
      <c r="K618" s="74"/>
      <c r="L618" s="64"/>
      <c r="M618" s="537"/>
      <c r="N618" s="490"/>
    </row>
    <row r="619" spans="1:15" x14ac:dyDescent="0.2">
      <c r="A619" s="2412"/>
      <c r="B619" s="2412"/>
      <c r="C619" s="1294" t="s">
        <v>441</v>
      </c>
      <c r="D619" s="1780">
        <v>20000</v>
      </c>
      <c r="E619" s="1904">
        <v>37594.57</v>
      </c>
      <c r="F619" s="1783">
        <v>37500</v>
      </c>
      <c r="G619" s="1783">
        <v>37700</v>
      </c>
      <c r="H619" s="1981">
        <v>37500</v>
      </c>
      <c r="I619" s="1782">
        <v>37500</v>
      </c>
      <c r="J619" s="1782">
        <v>37500</v>
      </c>
      <c r="K619" s="74"/>
      <c r="L619" s="64"/>
      <c r="M619" s="537"/>
      <c r="N619" s="490"/>
    </row>
    <row r="620" spans="1:15" x14ac:dyDescent="0.2">
      <c r="A620" s="1660"/>
      <c r="B620" s="1660"/>
      <c r="C620" s="1294" t="s">
        <v>840</v>
      </c>
      <c r="D620" s="1525"/>
      <c r="E620" s="1805"/>
      <c r="F620" s="1333"/>
      <c r="G620" s="1333"/>
      <c r="H620" s="1322"/>
      <c r="I620" s="1115"/>
      <c r="J620" s="1115"/>
      <c r="K620" s="74"/>
      <c r="L620" s="64"/>
      <c r="M620" s="537"/>
      <c r="N620" s="490"/>
    </row>
    <row r="621" spans="1:15" x14ac:dyDescent="0.2">
      <c r="A621" s="2411" t="s">
        <v>574</v>
      </c>
      <c r="B621" s="2411"/>
      <c r="C621" s="1294" t="s">
        <v>356</v>
      </c>
      <c r="D621" s="1525">
        <v>500</v>
      </c>
      <c r="E621" s="1805">
        <v>339.21</v>
      </c>
      <c r="F621" s="1333">
        <v>500</v>
      </c>
      <c r="G621" s="1333">
        <v>500</v>
      </c>
      <c r="H621" s="1322">
        <v>500</v>
      </c>
      <c r="I621" s="1076">
        <v>0</v>
      </c>
      <c r="J621" s="1076">
        <v>0</v>
      </c>
      <c r="K621" s="74"/>
      <c r="L621" s="64"/>
      <c r="M621" s="537"/>
      <c r="N621" s="490"/>
    </row>
    <row r="622" spans="1:15" x14ac:dyDescent="0.2">
      <c r="A622" s="1661" t="s">
        <v>415</v>
      </c>
      <c r="B622" s="1662"/>
      <c r="C622" s="1663" t="s">
        <v>412</v>
      </c>
      <c r="D622" s="1653">
        <f t="shared" ref="D622" si="118">SUM(D623:D639)</f>
        <v>57550</v>
      </c>
      <c r="E622" s="1838">
        <f>E623+E624+E625+E626+E627+E628+E629+E630+E631+E632+E633+E634+E635+E636+E637+E638</f>
        <v>76826.630000000019</v>
      </c>
      <c r="F622" s="1922">
        <f>SUM(F623:F639)</f>
        <v>70000</v>
      </c>
      <c r="G622" s="1922">
        <f>G624+G626+G627+G628+G629+G630+G631+G632+G633+G634+G635+G636+G637+G638+G639</f>
        <v>76300</v>
      </c>
      <c r="H622" s="1653">
        <f>SUM(H623:H639)</f>
        <v>77150</v>
      </c>
      <c r="I622" s="1653">
        <f>SUM(I623:I639)</f>
        <v>77150</v>
      </c>
      <c r="J622" s="1653">
        <f>SUM(J623:J639)</f>
        <v>76650</v>
      </c>
      <c r="K622" s="74"/>
      <c r="L622" s="64"/>
      <c r="M622" s="537"/>
      <c r="N622" s="64"/>
    </row>
    <row r="623" spans="1:15" x14ac:dyDescent="0.2">
      <c r="A623" s="2423">
        <v>610</v>
      </c>
      <c r="B623" s="2423"/>
      <c r="C623" s="1294" t="s">
        <v>441</v>
      </c>
      <c r="D623" s="1101">
        <v>3600</v>
      </c>
      <c r="E623" s="1905">
        <v>0</v>
      </c>
      <c r="F623" s="1333">
        <v>0</v>
      </c>
      <c r="G623" s="1333">
        <v>0</v>
      </c>
      <c r="H623" s="1322">
        <v>0</v>
      </c>
      <c r="I623" s="1655">
        <v>0</v>
      </c>
      <c r="J623" s="1655">
        <v>0</v>
      </c>
      <c r="K623" s="74"/>
      <c r="L623" s="64"/>
      <c r="M623" s="64"/>
      <c r="N623" s="64"/>
    </row>
    <row r="624" spans="1:15" x14ac:dyDescent="0.2">
      <c r="A624" s="2426"/>
      <c r="B624" s="2426"/>
      <c r="C624" s="1294" t="s">
        <v>441</v>
      </c>
      <c r="D624" s="1781">
        <v>45000</v>
      </c>
      <c r="E624" s="1891">
        <v>60066.11</v>
      </c>
      <c r="F624" s="1783">
        <v>60000</v>
      </c>
      <c r="G624" s="1783">
        <v>59300</v>
      </c>
      <c r="H624" s="1981">
        <v>60000</v>
      </c>
      <c r="I624" s="1784">
        <v>60000</v>
      </c>
      <c r="J624" s="1784">
        <v>60000</v>
      </c>
      <c r="K624" s="74"/>
      <c r="L624" s="64"/>
      <c r="M624" s="64"/>
      <c r="N624" s="64"/>
    </row>
    <row r="625" spans="1:14" x14ac:dyDescent="0.2">
      <c r="A625" s="2426"/>
      <c r="B625" s="2426"/>
      <c r="C625" s="1294" t="s">
        <v>841</v>
      </c>
      <c r="D625" s="1071">
        <v>0</v>
      </c>
      <c r="E625" s="1886">
        <v>285.66000000000003</v>
      </c>
      <c r="F625" s="1333"/>
      <c r="G625" s="1333"/>
      <c r="H625" s="1322">
        <v>0</v>
      </c>
      <c r="I625" s="1070">
        <v>0</v>
      </c>
      <c r="J625" s="1070">
        <v>0</v>
      </c>
      <c r="K625" s="74"/>
      <c r="L625" s="64"/>
      <c r="M625" s="64"/>
      <c r="N625" s="64"/>
    </row>
    <row r="626" spans="1:14" x14ac:dyDescent="0.2">
      <c r="A626" s="2423">
        <v>631</v>
      </c>
      <c r="B626" s="2423"/>
      <c r="C626" s="1294" t="s">
        <v>647</v>
      </c>
      <c r="D626" s="1101">
        <v>400</v>
      </c>
      <c r="E626" s="1905">
        <v>385.55</v>
      </c>
      <c r="F626" s="1333">
        <v>400</v>
      </c>
      <c r="G626" s="1333">
        <v>400</v>
      </c>
      <c r="H626" s="1322">
        <v>400</v>
      </c>
      <c r="I626" s="1655">
        <v>400</v>
      </c>
      <c r="J626" s="1655">
        <v>400</v>
      </c>
      <c r="K626" s="74"/>
      <c r="L626" s="64"/>
      <c r="M626" s="64"/>
      <c r="N626" s="64"/>
    </row>
    <row r="627" spans="1:14" x14ac:dyDescent="0.2">
      <c r="A627" s="2423">
        <v>632</v>
      </c>
      <c r="B627" s="2423"/>
      <c r="C627" s="1294" t="s">
        <v>648</v>
      </c>
      <c r="D627" s="1101">
        <v>6000</v>
      </c>
      <c r="E627" s="1905">
        <v>4557.41</v>
      </c>
      <c r="F627" s="1333">
        <v>6500</v>
      </c>
      <c r="G627" s="1333">
        <v>6500</v>
      </c>
      <c r="H627" s="1322">
        <v>6500</v>
      </c>
      <c r="I627" s="1655">
        <v>6500</v>
      </c>
      <c r="J627" s="1655">
        <v>6000</v>
      </c>
      <c r="K627" s="74"/>
      <c r="L627" s="64"/>
      <c r="M627" s="64"/>
      <c r="N627" s="64"/>
    </row>
    <row r="628" spans="1:14" x14ac:dyDescent="0.2">
      <c r="A628" s="2423">
        <v>633</v>
      </c>
      <c r="B628" s="2423"/>
      <c r="C628" s="1294" t="s">
        <v>448</v>
      </c>
      <c r="D628" s="1101">
        <v>300</v>
      </c>
      <c r="E628" s="1905">
        <v>0</v>
      </c>
      <c r="F628" s="1333">
        <v>300</v>
      </c>
      <c r="G628" s="1333">
        <v>300</v>
      </c>
      <c r="H628" s="1322">
        <v>500</v>
      </c>
      <c r="I628" s="1655">
        <v>500</v>
      </c>
      <c r="J628" s="1655">
        <v>500</v>
      </c>
      <c r="K628" s="74"/>
      <c r="L628" s="64"/>
      <c r="M628" s="64"/>
      <c r="N628" s="64"/>
    </row>
    <row r="629" spans="1:14" x14ac:dyDescent="0.2">
      <c r="A629" s="2423">
        <v>633</v>
      </c>
      <c r="B629" s="2423"/>
      <c r="C629" s="1294" t="s">
        <v>988</v>
      </c>
      <c r="D629" s="1071">
        <v>0</v>
      </c>
      <c r="E629" s="1886">
        <v>254.96</v>
      </c>
      <c r="F629" s="1333">
        <v>0</v>
      </c>
      <c r="G629" s="1333">
        <v>450</v>
      </c>
      <c r="H629" s="1322">
        <v>1000</v>
      </c>
      <c r="I629" s="1070">
        <v>1000</v>
      </c>
      <c r="J629" s="1070">
        <v>1000</v>
      </c>
      <c r="K629" s="74"/>
      <c r="L629" s="64"/>
      <c r="M629" s="64"/>
      <c r="N629" s="64"/>
    </row>
    <row r="630" spans="1:14" x14ac:dyDescent="0.2">
      <c r="A630" s="2423">
        <v>633</v>
      </c>
      <c r="B630" s="2423"/>
      <c r="C630" s="1294" t="s">
        <v>449</v>
      </c>
      <c r="D630" s="1101">
        <v>0</v>
      </c>
      <c r="E630" s="1905">
        <v>0</v>
      </c>
      <c r="F630" s="1333">
        <v>0</v>
      </c>
      <c r="G630" s="1333">
        <v>0</v>
      </c>
      <c r="H630" s="1322">
        <v>0</v>
      </c>
      <c r="I630" s="1655">
        <v>0</v>
      </c>
      <c r="J630" s="1655">
        <v>0</v>
      </c>
      <c r="K630" s="74"/>
      <c r="L630" s="64"/>
      <c r="M630" s="64"/>
      <c r="N630" s="64"/>
    </row>
    <row r="631" spans="1:14" x14ac:dyDescent="0.2">
      <c r="A631" s="2423">
        <v>633</v>
      </c>
      <c r="B631" s="2423"/>
      <c r="C631" s="1294" t="s">
        <v>461</v>
      </c>
      <c r="D631" s="1071">
        <v>0</v>
      </c>
      <c r="E631" s="1886">
        <v>156.72999999999999</v>
      </c>
      <c r="F631" s="1333">
        <v>0</v>
      </c>
      <c r="G631" s="1333">
        <v>0</v>
      </c>
      <c r="H631" s="1322">
        <v>0</v>
      </c>
      <c r="I631" s="1070">
        <v>0</v>
      </c>
      <c r="J631" s="1070">
        <v>0</v>
      </c>
      <c r="K631" s="74"/>
      <c r="L631" s="64"/>
      <c r="M631" s="64"/>
      <c r="N631" s="64"/>
    </row>
    <row r="632" spans="1:14" x14ac:dyDescent="0.2">
      <c r="A632" s="2423">
        <v>633</v>
      </c>
      <c r="B632" s="2423"/>
      <c r="C632" s="1294" t="s">
        <v>649</v>
      </c>
      <c r="D632" s="1101">
        <v>500</v>
      </c>
      <c r="E632" s="1905">
        <v>525.59</v>
      </c>
      <c r="F632" s="1333">
        <v>500</v>
      </c>
      <c r="G632" s="1333">
        <v>500</v>
      </c>
      <c r="H632" s="1322">
        <v>500</v>
      </c>
      <c r="I632" s="1655">
        <v>500</v>
      </c>
      <c r="J632" s="1655">
        <v>500</v>
      </c>
      <c r="K632" s="74"/>
      <c r="L632" s="64"/>
      <c r="M632" s="64"/>
      <c r="N632" s="64"/>
    </row>
    <row r="633" spans="1:14" x14ac:dyDescent="0.2">
      <c r="A633" s="2423">
        <v>633</v>
      </c>
      <c r="B633" s="2423"/>
      <c r="C633" s="1294" t="s">
        <v>649</v>
      </c>
      <c r="D633" s="1071">
        <v>0</v>
      </c>
      <c r="E633" s="1886">
        <v>0</v>
      </c>
      <c r="F633" s="1333">
        <v>0</v>
      </c>
      <c r="G633" s="1333">
        <v>0</v>
      </c>
      <c r="H633" s="1322">
        <v>0</v>
      </c>
      <c r="I633" s="1070">
        <v>0</v>
      </c>
      <c r="J633" s="1070">
        <v>0</v>
      </c>
      <c r="K633" s="74"/>
      <c r="L633" s="64"/>
      <c r="M633" s="64"/>
      <c r="N633" s="64"/>
    </row>
    <row r="634" spans="1:14" x14ac:dyDescent="0.2">
      <c r="A634" s="2423">
        <v>633</v>
      </c>
      <c r="B634" s="2423"/>
      <c r="C634" s="1294" t="s">
        <v>452</v>
      </c>
      <c r="D634" s="1101">
        <v>1000</v>
      </c>
      <c r="E634" s="1905">
        <v>6074.08</v>
      </c>
      <c r="F634" s="1333">
        <v>1550</v>
      </c>
      <c r="G634" s="1333">
        <v>0</v>
      </c>
      <c r="H634" s="1322">
        <v>1000</v>
      </c>
      <c r="I634" s="1655">
        <v>1000</v>
      </c>
      <c r="J634" s="1655">
        <v>1000</v>
      </c>
      <c r="K634" s="74"/>
      <c r="L634" s="64"/>
      <c r="M634" s="64"/>
      <c r="N634" s="64"/>
    </row>
    <row r="635" spans="1:14" x14ac:dyDescent="0.2">
      <c r="A635" s="1793"/>
      <c r="B635" s="1793"/>
      <c r="C635" s="1794" t="s">
        <v>975</v>
      </c>
      <c r="D635" s="1101"/>
      <c r="E635" s="1906">
        <v>3420.94</v>
      </c>
      <c r="F635" s="1333">
        <v>0</v>
      </c>
      <c r="G635" s="1945">
        <v>6500</v>
      </c>
      <c r="H635" s="1322">
        <v>6500</v>
      </c>
      <c r="I635" s="1655">
        <v>6500</v>
      </c>
      <c r="J635" s="1655">
        <v>6500</v>
      </c>
      <c r="K635" s="74"/>
      <c r="L635" s="64"/>
      <c r="M635" s="64"/>
      <c r="N635" s="64"/>
    </row>
    <row r="636" spans="1:14" x14ac:dyDescent="0.2">
      <c r="A636" s="2423">
        <v>633</v>
      </c>
      <c r="B636" s="2423"/>
      <c r="C636" s="1294" t="s">
        <v>650</v>
      </c>
      <c r="D636" s="1101">
        <v>0</v>
      </c>
      <c r="E636" s="1905">
        <v>1030</v>
      </c>
      <c r="F636" s="1333">
        <v>500</v>
      </c>
      <c r="G636" s="1333">
        <v>500</v>
      </c>
      <c r="H636" s="1322">
        <v>0</v>
      </c>
      <c r="I636" s="1655">
        <v>0</v>
      </c>
      <c r="J636" s="1655">
        <v>0</v>
      </c>
      <c r="K636" s="74"/>
      <c r="L636" s="64"/>
      <c r="M636" s="64"/>
      <c r="N636" s="64"/>
    </row>
    <row r="637" spans="1:14" x14ac:dyDescent="0.2">
      <c r="A637" s="2423">
        <v>635</v>
      </c>
      <c r="B637" s="2423"/>
      <c r="C637" s="1294" t="s">
        <v>541</v>
      </c>
      <c r="D637" s="1101">
        <v>500</v>
      </c>
      <c r="E637" s="1905">
        <v>0</v>
      </c>
      <c r="F637" s="1333">
        <v>0</v>
      </c>
      <c r="G637" s="1333">
        <v>0</v>
      </c>
      <c r="H637" s="1322">
        <v>500</v>
      </c>
      <c r="I637" s="1655">
        <v>500</v>
      </c>
      <c r="J637" s="1655">
        <v>500</v>
      </c>
      <c r="K637" s="74"/>
      <c r="L637" s="64"/>
      <c r="M637" s="64"/>
      <c r="N637" s="64"/>
    </row>
    <row r="638" spans="1:14" customFormat="1" x14ac:dyDescent="0.2">
      <c r="A638" s="2424">
        <v>633</v>
      </c>
      <c r="B638" s="2424"/>
      <c r="C638" s="1324" t="s">
        <v>856</v>
      </c>
      <c r="D638" s="1664">
        <v>0</v>
      </c>
      <c r="E638" s="1907">
        <v>69.599999999999994</v>
      </c>
      <c r="F638" s="1333"/>
      <c r="G638" s="1333">
        <v>1600</v>
      </c>
      <c r="H638" s="1376">
        <v>0</v>
      </c>
      <c r="I638" s="1324">
        <v>0</v>
      </c>
      <c r="J638" s="1800">
        <v>0</v>
      </c>
    </row>
    <row r="639" spans="1:14" x14ac:dyDescent="0.2">
      <c r="A639" s="2423">
        <v>637</v>
      </c>
      <c r="B639" s="2423"/>
      <c r="C639" s="1294" t="s">
        <v>651</v>
      </c>
      <c r="D639" s="1101">
        <v>250</v>
      </c>
      <c r="E639" s="1905">
        <v>250</v>
      </c>
      <c r="F639" s="1333">
        <v>250</v>
      </c>
      <c r="G639" s="1333">
        <v>250</v>
      </c>
      <c r="H639" s="1322">
        <v>250</v>
      </c>
      <c r="I639" s="1655">
        <v>250</v>
      </c>
      <c r="J639" s="1655">
        <v>250</v>
      </c>
      <c r="K639" s="74"/>
      <c r="L639" s="64"/>
      <c r="M639" s="64"/>
      <c r="N639" s="64"/>
    </row>
    <row r="640" spans="1:14" x14ac:dyDescent="0.2">
      <c r="A640" s="1665" t="s">
        <v>590</v>
      </c>
      <c r="B640" s="1666"/>
      <c r="C640" s="1659" t="s">
        <v>591</v>
      </c>
      <c r="D640" s="1634">
        <f t="shared" ref="D640:F640" si="119">SUM(D641,D642,D643,D645,D644)</f>
        <v>7000</v>
      </c>
      <c r="E640" s="1839">
        <f t="shared" si="119"/>
        <v>4012.6</v>
      </c>
      <c r="F640" s="1922">
        <f t="shared" si="119"/>
        <v>3000</v>
      </c>
      <c r="G640" s="1922">
        <f>G642+G644+G645</f>
        <v>4000</v>
      </c>
      <c r="H640" s="1634">
        <f>SUM(H641,H642,H643,H644,H645)</f>
        <v>3000</v>
      </c>
      <c r="I640" s="1634">
        <f>SUM(I641,I642,I643,I644,I645)</f>
        <v>3000</v>
      </c>
      <c r="J640" s="1634">
        <f>SUM(J641,J642,J643,J644,J645)</f>
        <v>3000</v>
      </c>
      <c r="K640" s="74"/>
      <c r="L640" s="64"/>
      <c r="M640" s="64"/>
      <c r="N640" s="64"/>
    </row>
    <row r="641" spans="1:15" x14ac:dyDescent="0.2">
      <c r="A641" s="1289" t="s">
        <v>588</v>
      </c>
      <c r="B641" s="1611"/>
      <c r="C641" s="1612" t="s">
        <v>592</v>
      </c>
      <c r="D641" s="1071">
        <v>0</v>
      </c>
      <c r="E641" s="1801"/>
      <c r="F641" s="1333"/>
      <c r="G641" s="1333"/>
      <c r="H641" s="1322">
        <v>0</v>
      </c>
      <c r="I641" s="1070">
        <v>0</v>
      </c>
      <c r="J641" s="1070">
        <v>0</v>
      </c>
      <c r="K641" s="74"/>
      <c r="L641" s="490"/>
      <c r="M641" s="538"/>
      <c r="N641" s="64"/>
    </row>
    <row r="642" spans="1:15" x14ac:dyDescent="0.2">
      <c r="A642" s="914" t="s">
        <v>593</v>
      </c>
      <c r="B642" s="914"/>
      <c r="C642" s="914" t="s">
        <v>594</v>
      </c>
      <c r="D642" s="1071">
        <v>0</v>
      </c>
      <c r="E642" s="1801">
        <v>0</v>
      </c>
      <c r="F642" s="1333">
        <v>0</v>
      </c>
      <c r="G642" s="1333"/>
      <c r="H642" s="1322">
        <v>0</v>
      </c>
      <c r="I642" s="1070">
        <v>0</v>
      </c>
      <c r="J642" s="1070">
        <v>0</v>
      </c>
      <c r="K642" s="503"/>
      <c r="L642" s="490"/>
      <c r="M642" s="64"/>
      <c r="N642" s="64"/>
    </row>
    <row r="643" spans="1:15" x14ac:dyDescent="0.2">
      <c r="A643" s="1667" t="s">
        <v>593</v>
      </c>
      <c r="B643" s="1667"/>
      <c r="C643" s="1667" t="s">
        <v>595</v>
      </c>
      <c r="D643" s="1117">
        <v>0</v>
      </c>
      <c r="E643" s="1801"/>
      <c r="F643" s="1333"/>
      <c r="G643" s="1333"/>
      <c r="H643" s="1322"/>
      <c r="I643" s="1640"/>
      <c r="J643" s="1640"/>
      <c r="K643" s="539"/>
      <c r="L643" s="540"/>
      <c r="M643" s="541"/>
      <c r="N643" s="540"/>
    </row>
    <row r="644" spans="1:15" x14ac:dyDescent="0.2">
      <c r="A644" s="914" t="s">
        <v>593</v>
      </c>
      <c r="B644" s="914"/>
      <c r="C644" s="914" t="s">
        <v>596</v>
      </c>
      <c r="D644" s="1117">
        <v>0</v>
      </c>
      <c r="E644" s="1801">
        <v>0</v>
      </c>
      <c r="F644" s="1333">
        <v>0</v>
      </c>
      <c r="G644" s="1333"/>
      <c r="H644" s="1322">
        <v>0</v>
      </c>
      <c r="I644" s="1640">
        <v>0</v>
      </c>
      <c r="J644" s="1640">
        <v>0</v>
      </c>
      <c r="K644" s="539"/>
      <c r="L644" s="540"/>
      <c r="M644" s="541"/>
      <c r="N644" s="540"/>
    </row>
    <row r="645" spans="1:15" s="544" customFormat="1" x14ac:dyDescent="0.2">
      <c r="A645" s="914" t="s">
        <v>593</v>
      </c>
      <c r="B645" s="914"/>
      <c r="C645" s="914" t="s">
        <v>597</v>
      </c>
      <c r="D645" s="1117">
        <v>7000</v>
      </c>
      <c r="E645" s="1878">
        <v>4012.6</v>
      </c>
      <c r="F645" s="1333">
        <v>3000</v>
      </c>
      <c r="G645" s="1333">
        <v>4000</v>
      </c>
      <c r="H645" s="1322">
        <v>3000</v>
      </c>
      <c r="I645" s="1640">
        <v>3000</v>
      </c>
      <c r="J645" s="1640">
        <v>3000</v>
      </c>
      <c r="K645" s="536"/>
      <c r="L645" s="542"/>
      <c r="M645" s="543"/>
      <c r="N645" s="542"/>
    </row>
    <row r="646" spans="1:15" x14ac:dyDescent="0.2">
      <c r="A646" s="1551" t="s">
        <v>265</v>
      </c>
      <c r="B646" s="1552"/>
      <c r="C646" s="1553" t="s">
        <v>598</v>
      </c>
      <c r="D646" s="1554">
        <f>D610+D617+D622+D640</f>
        <v>106410</v>
      </c>
      <c r="E646" s="1759">
        <f>E610+E617+E622+E640</f>
        <v>131781.70000000001</v>
      </c>
      <c r="F646" s="1320">
        <f>F610+F617+F622+F640</f>
        <v>124500</v>
      </c>
      <c r="G646" s="1320">
        <f>G640+G622+G617+G610</f>
        <v>132718</v>
      </c>
      <c r="H646" s="1554">
        <f t="shared" ref="H646" si="120">H610+H617+H622+H640</f>
        <v>131650</v>
      </c>
      <c r="I646" s="1554">
        <f>I610+I617+I640+I622</f>
        <v>131150</v>
      </c>
      <c r="J646" s="1554">
        <f>J610+J617+J640+J622</f>
        <v>130650</v>
      </c>
      <c r="K646" s="78"/>
      <c r="L646" s="471"/>
      <c r="M646" s="471"/>
      <c r="N646" s="471"/>
    </row>
    <row r="647" spans="1:15" x14ac:dyDescent="0.2">
      <c r="A647" s="1668" t="s">
        <v>599</v>
      </c>
      <c r="B647" s="1669"/>
      <c r="C647" s="1668"/>
      <c r="D647" s="1670">
        <f t="shared" ref="D647:J647" si="121">D107+D124+D171+D234+D279+D298+D317+D386+D601+D646</f>
        <v>2527683.52</v>
      </c>
      <c r="E647" s="1841">
        <f t="shared" si="121"/>
        <v>2740178.1612</v>
      </c>
      <c r="F647" s="1672">
        <f t="shared" si="121"/>
        <v>2723108</v>
      </c>
      <c r="G647" s="1672">
        <f t="shared" si="121"/>
        <v>2913421</v>
      </c>
      <c r="H647" s="1670">
        <f t="shared" si="121"/>
        <v>2831659</v>
      </c>
      <c r="I647" s="1670">
        <f t="shared" si="121"/>
        <v>2485452</v>
      </c>
      <c r="J647" s="1670">
        <f t="shared" si="121"/>
        <v>2470357</v>
      </c>
      <c r="K647" s="21"/>
      <c r="L647" s="471"/>
      <c r="M647" s="471"/>
      <c r="N647" s="471"/>
      <c r="O647" s="507"/>
    </row>
    <row r="648" spans="1:15" x14ac:dyDescent="0.2">
      <c r="A648" s="88"/>
      <c r="B648" s="20"/>
      <c r="C648" s="88"/>
      <c r="D648" s="65"/>
      <c r="E648" s="34"/>
      <c r="F648" s="1277"/>
      <c r="G648" s="1277"/>
      <c r="H648" s="65"/>
      <c r="I648" s="65"/>
      <c r="J648" s="65"/>
      <c r="K648" s="21"/>
      <c r="L648" s="471"/>
      <c r="M648" s="471"/>
      <c r="N648" s="471"/>
      <c r="O648" s="507"/>
    </row>
    <row r="649" spans="1:15" x14ac:dyDescent="0.2">
      <c r="A649" s="88"/>
      <c r="B649" s="20"/>
      <c r="C649" s="88"/>
      <c r="D649" s="65"/>
      <c r="E649" s="34"/>
      <c r="F649" s="1277"/>
      <c r="G649" s="1277"/>
      <c r="H649" s="65"/>
      <c r="I649" s="65"/>
      <c r="J649" s="65"/>
      <c r="K649" s="21"/>
      <c r="L649" s="471"/>
      <c r="M649" s="471"/>
      <c r="N649" s="471"/>
      <c r="O649" s="507"/>
    </row>
    <row r="650" spans="1:15" x14ac:dyDescent="0.2">
      <c r="A650" s="88"/>
      <c r="B650" s="20"/>
      <c r="C650" s="88"/>
      <c r="D650" s="65"/>
      <c r="E650" s="34"/>
      <c r="F650" s="1277"/>
      <c r="G650" s="1277"/>
      <c r="H650" s="65"/>
      <c r="I650" s="65"/>
      <c r="J650" s="65"/>
      <c r="K650" s="21"/>
      <c r="L650" s="471"/>
      <c r="M650" s="471"/>
      <c r="N650" s="471"/>
      <c r="O650" s="507"/>
    </row>
    <row r="651" spans="1:15" hidden="1" x14ac:dyDescent="0.2">
      <c r="A651" s="88"/>
      <c r="B651" s="20"/>
      <c r="C651" s="88"/>
      <c r="D651" s="65"/>
      <c r="E651" s="34"/>
      <c r="F651" s="1277"/>
      <c r="G651" s="1277"/>
      <c r="H651" s="65"/>
      <c r="I651" s="65"/>
      <c r="J651" s="65"/>
      <c r="K651" s="21"/>
      <c r="L651" s="471"/>
      <c r="M651" s="471"/>
      <c r="N651" s="471"/>
      <c r="O651" s="507"/>
    </row>
    <row r="652" spans="1:15" hidden="1" x14ac:dyDescent="0.2">
      <c r="A652" s="88"/>
      <c r="B652" s="20"/>
      <c r="C652" s="88"/>
      <c r="D652" s="65"/>
      <c r="E652" s="34"/>
      <c r="F652" s="1277"/>
      <c r="G652" s="1277"/>
      <c r="H652" s="65"/>
      <c r="I652" s="65"/>
      <c r="J652" s="65"/>
      <c r="K652" s="21"/>
      <c r="L652" s="471"/>
      <c r="M652" s="471"/>
      <c r="N652" s="471"/>
      <c r="O652" s="507"/>
    </row>
    <row r="653" spans="1:15" hidden="1" x14ac:dyDescent="0.2">
      <c r="A653" s="88"/>
      <c r="B653" s="20"/>
      <c r="C653" s="88"/>
      <c r="D653" s="65"/>
      <c r="E653" s="34"/>
      <c r="F653" s="1277"/>
      <c r="G653" s="1277"/>
      <c r="H653" s="65"/>
      <c r="I653" s="65"/>
      <c r="J653" s="65"/>
      <c r="K653" s="21"/>
      <c r="L653" s="471"/>
      <c r="M653" s="471"/>
      <c r="N653" s="471"/>
      <c r="O653" s="507"/>
    </row>
    <row r="654" spans="1:15" hidden="1" x14ac:dyDescent="0.2">
      <c r="A654" s="88"/>
      <c r="B654" s="20"/>
      <c r="C654" s="88"/>
      <c r="D654" s="65"/>
      <c r="E654" s="34"/>
      <c r="F654" s="1277"/>
      <c r="G654" s="1277"/>
      <c r="H654" s="65"/>
      <c r="I654" s="65"/>
      <c r="J654" s="65"/>
      <c r="K654" s="21"/>
      <c r="L654" s="471"/>
      <c r="M654" s="471"/>
      <c r="N654" s="471"/>
      <c r="O654" s="507"/>
    </row>
    <row r="655" spans="1:15" hidden="1" x14ac:dyDescent="0.2">
      <c r="A655" s="88"/>
      <c r="B655" s="20"/>
      <c r="C655" s="88"/>
      <c r="D655" s="65"/>
      <c r="E655" s="34"/>
      <c r="F655" s="1277"/>
      <c r="G655" s="1277"/>
      <c r="H655" s="65"/>
      <c r="I655" s="65"/>
      <c r="J655" s="65"/>
      <c r="K655" s="21"/>
      <c r="L655" s="471"/>
      <c r="M655" s="471"/>
      <c r="N655" s="471"/>
      <c r="O655" s="507"/>
    </row>
    <row r="656" spans="1:15" hidden="1" x14ac:dyDescent="0.2">
      <c r="A656" s="88"/>
      <c r="B656" s="20"/>
      <c r="C656" s="88"/>
      <c r="D656" s="65"/>
      <c r="E656" s="34"/>
      <c r="F656" s="1277"/>
      <c r="G656" s="1277"/>
      <c r="H656" s="65"/>
      <c r="I656" s="65"/>
      <c r="J656" s="65"/>
      <c r="K656" s="21"/>
      <c r="L656" s="471"/>
      <c r="M656" s="471"/>
      <c r="N656" s="471"/>
      <c r="O656" s="507"/>
    </row>
    <row r="657" spans="1:15" hidden="1" x14ac:dyDescent="0.2">
      <c r="A657" s="88"/>
      <c r="B657" s="20"/>
      <c r="C657" s="88"/>
      <c r="D657" s="65"/>
      <c r="E657" s="34"/>
      <c r="F657" s="1277"/>
      <c r="G657" s="1277"/>
      <c r="H657" s="65"/>
      <c r="I657" s="65"/>
      <c r="J657" s="65"/>
      <c r="K657" s="21"/>
      <c r="L657" s="471"/>
      <c r="M657" s="471"/>
      <c r="N657" s="471"/>
      <c r="O657" s="507"/>
    </row>
    <row r="658" spans="1:15" hidden="1" x14ac:dyDescent="0.2">
      <c r="A658" s="88"/>
      <c r="B658" s="20"/>
      <c r="C658" s="88"/>
      <c r="D658" s="65"/>
      <c r="E658" s="34"/>
      <c r="F658" s="1277"/>
      <c r="G658" s="1277"/>
      <c r="H658" s="65"/>
      <c r="I658" s="65"/>
      <c r="J658" s="65"/>
      <c r="K658" s="21"/>
      <c r="L658" s="471"/>
      <c r="M658" s="471"/>
      <c r="N658" s="471"/>
      <c r="O658" s="507"/>
    </row>
    <row r="659" spans="1:15" hidden="1" x14ac:dyDescent="0.2">
      <c r="A659" s="88"/>
      <c r="B659" s="20"/>
      <c r="C659" s="88"/>
      <c r="D659" s="65"/>
      <c r="E659" s="34"/>
      <c r="F659" s="1277"/>
      <c r="G659" s="1277"/>
      <c r="H659" s="65"/>
      <c r="I659" s="65"/>
      <c r="J659" s="65"/>
      <c r="K659" s="21"/>
      <c r="L659" s="471"/>
      <c r="M659" s="471"/>
      <c r="N659" s="471"/>
      <c r="O659" s="507"/>
    </row>
    <row r="660" spans="1:15" hidden="1" x14ac:dyDescent="0.2">
      <c r="A660" s="88"/>
      <c r="B660" s="20"/>
      <c r="C660" s="88"/>
      <c r="D660" s="65"/>
      <c r="E660" s="34"/>
      <c r="F660" s="1277"/>
      <c r="G660" s="1277"/>
      <c r="H660" s="65"/>
      <c r="I660" s="65"/>
      <c r="J660" s="65"/>
      <c r="K660" s="21"/>
      <c r="L660" s="471"/>
      <c r="M660" s="471"/>
      <c r="N660" s="471"/>
      <c r="O660" s="507"/>
    </row>
    <row r="661" spans="1:15" hidden="1" x14ac:dyDescent="0.2">
      <c r="A661" s="88"/>
      <c r="B661" s="20"/>
      <c r="C661" s="88"/>
      <c r="D661" s="65"/>
      <c r="E661" s="34"/>
      <c r="F661" s="1277"/>
      <c r="G661" s="1277"/>
      <c r="H661" s="65"/>
      <c r="I661" s="65"/>
      <c r="J661" s="65"/>
      <c r="K661" s="21"/>
      <c r="L661" s="471"/>
      <c r="M661" s="471"/>
      <c r="N661" s="471"/>
      <c r="O661" s="507"/>
    </row>
    <row r="662" spans="1:15" hidden="1" x14ac:dyDescent="0.2">
      <c r="A662" s="88"/>
      <c r="B662" s="20"/>
      <c r="C662" s="88"/>
      <c r="D662" s="65"/>
      <c r="E662" s="34"/>
      <c r="F662" s="1277"/>
      <c r="G662" s="1277"/>
      <c r="H662" s="65"/>
      <c r="I662" s="65"/>
      <c r="J662" s="65"/>
      <c r="K662" s="21"/>
      <c r="L662" s="471"/>
      <c r="M662" s="471"/>
      <c r="N662" s="471"/>
      <c r="O662" s="507"/>
    </row>
    <row r="663" spans="1:15" hidden="1" x14ac:dyDescent="0.2">
      <c r="A663" s="88"/>
      <c r="B663" s="20"/>
      <c r="C663" s="88"/>
      <c r="D663" s="65"/>
      <c r="E663" s="34"/>
      <c r="F663" s="1277"/>
      <c r="G663" s="1277"/>
      <c r="H663" s="65"/>
      <c r="I663" s="65"/>
      <c r="J663" s="65"/>
      <c r="K663" s="21"/>
      <c r="L663" s="471"/>
      <c r="M663" s="471"/>
      <c r="N663" s="471"/>
      <c r="O663" s="507"/>
    </row>
    <row r="664" spans="1:15" hidden="1" x14ac:dyDescent="0.2">
      <c r="A664" s="88"/>
      <c r="B664" s="20"/>
      <c r="C664" s="88"/>
      <c r="D664" s="65"/>
      <c r="E664" s="34"/>
      <c r="F664" s="1277"/>
      <c r="G664" s="1277"/>
      <c r="H664" s="65"/>
      <c r="I664" s="65"/>
      <c r="J664" s="65"/>
      <c r="K664" s="21"/>
      <c r="L664" s="471"/>
      <c r="M664" s="471"/>
      <c r="N664" s="471"/>
      <c r="O664" s="507"/>
    </row>
    <row r="665" spans="1:15" hidden="1" x14ac:dyDescent="0.2">
      <c r="A665" s="88"/>
      <c r="B665" s="20"/>
      <c r="C665" s="88"/>
      <c r="D665" s="65"/>
      <c r="E665" s="34"/>
      <c r="F665" s="1277"/>
      <c r="G665" s="1277"/>
      <c r="H665" s="65"/>
      <c r="I665" s="65"/>
      <c r="J665" s="65"/>
      <c r="K665" s="21"/>
      <c r="L665" s="471"/>
      <c r="M665" s="471"/>
      <c r="N665" s="471"/>
      <c r="O665" s="507"/>
    </row>
    <row r="666" spans="1:15" hidden="1" x14ac:dyDescent="0.2">
      <c r="A666" s="88"/>
      <c r="B666" s="20"/>
      <c r="C666" s="88"/>
      <c r="D666" s="65"/>
      <c r="E666" s="34"/>
      <c r="F666" s="1277"/>
      <c r="G666" s="1277"/>
      <c r="H666" s="65"/>
      <c r="I666" s="65"/>
      <c r="J666" s="65"/>
      <c r="K666" s="21"/>
      <c r="L666" s="471"/>
      <c r="M666" s="471"/>
      <c r="N666" s="471"/>
      <c r="O666" s="507"/>
    </row>
    <row r="667" spans="1:15" hidden="1" x14ac:dyDescent="0.2">
      <c r="A667" s="88"/>
      <c r="B667" s="20"/>
      <c r="C667" s="88"/>
      <c r="D667" s="65"/>
      <c r="E667" s="34"/>
      <c r="F667" s="1277"/>
      <c r="G667" s="1277"/>
      <c r="H667" s="65"/>
      <c r="I667" s="65"/>
      <c r="J667" s="65"/>
      <c r="K667" s="21"/>
      <c r="L667" s="471"/>
      <c r="M667" s="471"/>
      <c r="N667" s="471"/>
      <c r="O667" s="507"/>
    </row>
    <row r="668" spans="1:15" hidden="1" x14ac:dyDescent="0.2">
      <c r="A668" s="88"/>
      <c r="B668" s="20"/>
      <c r="C668" s="88"/>
      <c r="D668" s="65"/>
      <c r="E668" s="34"/>
      <c r="F668" s="1277"/>
      <c r="G668" s="1277"/>
      <c r="H668" s="65"/>
      <c r="I668" s="65"/>
      <c r="J668" s="65"/>
      <c r="K668" s="21"/>
      <c r="L668" s="471"/>
      <c r="M668" s="471"/>
      <c r="N668" s="471"/>
      <c r="O668" s="507"/>
    </row>
    <row r="669" spans="1:15" hidden="1" x14ac:dyDescent="0.2">
      <c r="A669" s="88"/>
      <c r="B669" s="20"/>
      <c r="C669" s="88"/>
      <c r="D669" s="65"/>
      <c r="E669" s="34"/>
      <c r="F669" s="1277"/>
      <c r="G669" s="1277"/>
      <c r="H669" s="65"/>
      <c r="I669" s="65"/>
      <c r="J669" s="65"/>
      <c r="K669" s="21"/>
      <c r="L669" s="471"/>
      <c r="M669" s="471"/>
      <c r="N669" s="471"/>
      <c r="O669" s="507"/>
    </row>
    <row r="670" spans="1:15" hidden="1" x14ac:dyDescent="0.2">
      <c r="A670" s="88"/>
      <c r="B670" s="20"/>
      <c r="C670" s="88"/>
      <c r="D670" s="65"/>
      <c r="E670" s="34"/>
      <c r="F670" s="1277"/>
      <c r="G670" s="1277"/>
      <c r="H670" s="65"/>
      <c r="I670" s="65"/>
      <c r="J670" s="65"/>
      <c r="K670" s="21"/>
      <c r="L670" s="471"/>
      <c r="M670" s="471"/>
      <c r="N670" s="471"/>
      <c r="O670" s="507"/>
    </row>
    <row r="671" spans="1:15" hidden="1" x14ac:dyDescent="0.2">
      <c r="A671" s="88"/>
      <c r="B671" s="20"/>
      <c r="C671" s="88"/>
      <c r="D671" s="65"/>
      <c r="E671" s="34"/>
      <c r="F671" s="1277"/>
      <c r="G671" s="1277"/>
      <c r="H671" s="65"/>
      <c r="I671" s="65"/>
      <c r="J671" s="65"/>
      <c r="K671" s="21"/>
      <c r="L671" s="471"/>
      <c r="M671" s="471"/>
      <c r="N671" s="471"/>
      <c r="O671" s="507"/>
    </row>
    <row r="672" spans="1:15" hidden="1" x14ac:dyDescent="0.2">
      <c r="A672" s="88"/>
      <c r="B672" s="20"/>
      <c r="C672" s="88"/>
      <c r="D672" s="65"/>
      <c r="E672" s="34"/>
      <c r="F672" s="1277"/>
      <c r="G672" s="1277"/>
      <c r="H672" s="65"/>
      <c r="I672" s="65"/>
      <c r="J672" s="65"/>
      <c r="K672" s="21"/>
      <c r="L672" s="471"/>
      <c r="M672" s="471"/>
      <c r="N672" s="471"/>
      <c r="O672" s="507"/>
    </row>
    <row r="673" spans="1:15" hidden="1" x14ac:dyDescent="0.2">
      <c r="A673" s="88"/>
      <c r="B673" s="20"/>
      <c r="C673" s="88"/>
      <c r="D673" s="65"/>
      <c r="E673" s="34"/>
      <c r="F673" s="1277"/>
      <c r="G673" s="1277"/>
      <c r="H673" s="65"/>
      <c r="I673" s="65"/>
      <c r="J673" s="65"/>
      <c r="K673" s="21"/>
      <c r="L673" s="471"/>
      <c r="M673" s="471"/>
      <c r="N673" s="471"/>
      <c r="O673" s="507"/>
    </row>
    <row r="674" spans="1:15" hidden="1" x14ac:dyDescent="0.2">
      <c r="A674" s="88"/>
      <c r="B674" s="20"/>
      <c r="C674" s="88"/>
      <c r="D674" s="65"/>
      <c r="E674" s="34"/>
      <c r="F674" s="1277"/>
      <c r="G674" s="1277"/>
      <c r="H674" s="65"/>
      <c r="I674" s="65"/>
      <c r="J674" s="65"/>
      <c r="K674" s="21"/>
      <c r="L674" s="471"/>
      <c r="M674" s="471"/>
      <c r="N674" s="471"/>
      <c r="O674" s="507"/>
    </row>
    <row r="675" spans="1:15" hidden="1" x14ac:dyDescent="0.2">
      <c r="A675" s="88"/>
      <c r="B675" s="20"/>
      <c r="C675" s="88"/>
      <c r="D675" s="65"/>
      <c r="E675" s="34"/>
      <c r="F675" s="1277"/>
      <c r="G675" s="1277"/>
      <c r="H675" s="65"/>
      <c r="I675" s="65"/>
      <c r="J675" s="65"/>
      <c r="K675" s="21"/>
      <c r="L675" s="471"/>
      <c r="M675" s="471"/>
      <c r="N675" s="471"/>
      <c r="O675" s="507"/>
    </row>
    <row r="676" spans="1:15" hidden="1" x14ac:dyDescent="0.2">
      <c r="A676" s="88"/>
      <c r="B676" s="20"/>
      <c r="C676" s="88"/>
      <c r="D676" s="65"/>
      <c r="E676" s="34"/>
      <c r="F676" s="1277"/>
      <c r="G676" s="1277"/>
      <c r="H676" s="65"/>
      <c r="I676" s="65"/>
      <c r="J676" s="65"/>
      <c r="K676" s="21"/>
      <c r="L676" s="471"/>
      <c r="M676" s="471"/>
      <c r="N676" s="471"/>
      <c r="O676" s="507"/>
    </row>
    <row r="677" spans="1:15" x14ac:dyDescent="0.2">
      <c r="A677" s="88"/>
      <c r="B677" s="20"/>
      <c r="C677" s="88"/>
      <c r="D677" s="89"/>
      <c r="E677" s="89"/>
      <c r="F677" s="1331"/>
      <c r="G677" s="1331"/>
      <c r="H677" s="89"/>
      <c r="I677" s="504"/>
      <c r="J677" s="504"/>
    </row>
    <row r="678" spans="1:15" hidden="1" x14ac:dyDescent="0.2">
      <c r="A678" s="88"/>
      <c r="B678" s="20"/>
      <c r="C678" s="88"/>
      <c r="D678" s="89"/>
      <c r="E678" s="89"/>
      <c r="F678" s="1331"/>
      <c r="G678" s="1331"/>
      <c r="H678" s="89"/>
      <c r="I678" s="504"/>
      <c r="J678" s="504"/>
    </row>
    <row r="679" spans="1:15" hidden="1" x14ac:dyDescent="0.2">
      <c r="A679" s="88"/>
      <c r="B679" s="20"/>
      <c r="C679" s="88"/>
      <c r="D679" s="89"/>
      <c r="E679" s="89"/>
      <c r="F679" s="1331"/>
      <c r="G679" s="1331"/>
      <c r="H679" s="89"/>
      <c r="I679" s="504"/>
      <c r="J679" s="504"/>
    </row>
    <row r="680" spans="1:15" hidden="1" x14ac:dyDescent="0.2">
      <c r="A680" s="88"/>
      <c r="B680" s="20"/>
      <c r="C680" s="88"/>
      <c r="D680" s="89"/>
      <c r="E680" s="89"/>
      <c r="F680" s="1331"/>
      <c r="G680" s="1331"/>
      <c r="H680" s="545"/>
      <c r="I680" s="504"/>
      <c r="J680" s="504"/>
    </row>
    <row r="681" spans="1:15" hidden="1" x14ac:dyDescent="0.2">
      <c r="A681" s="88"/>
      <c r="B681" s="20"/>
      <c r="C681" s="88"/>
      <c r="D681" s="89"/>
      <c r="E681" s="89"/>
      <c r="F681" s="1331"/>
      <c r="G681" s="1331"/>
      <c r="H681" s="89"/>
      <c r="I681" s="504"/>
      <c r="J681" s="504"/>
    </row>
    <row r="682" spans="1:15" hidden="1" x14ac:dyDescent="0.2">
      <c r="A682" s="88"/>
      <c r="B682" s="20"/>
      <c r="C682" s="88"/>
      <c r="D682" s="89"/>
      <c r="E682" s="89"/>
      <c r="F682" s="1331"/>
      <c r="G682" s="1331"/>
      <c r="H682" s="89"/>
      <c r="I682" s="504"/>
      <c r="J682" s="504"/>
    </row>
    <row r="683" spans="1:15" hidden="1" x14ac:dyDescent="0.2">
      <c r="A683" s="88"/>
      <c r="B683" s="20"/>
      <c r="C683" s="88"/>
      <c r="D683" s="89"/>
      <c r="E683" s="89"/>
      <c r="F683" s="1331"/>
      <c r="G683" s="1331"/>
      <c r="H683" s="89"/>
      <c r="I683" s="504"/>
      <c r="J683" s="504"/>
    </row>
    <row r="684" spans="1:15" hidden="1" x14ac:dyDescent="0.2">
      <c r="A684" s="88"/>
      <c r="B684" s="20"/>
      <c r="C684" s="88"/>
      <c r="D684" s="89"/>
      <c r="E684" s="89"/>
      <c r="F684" s="1331"/>
      <c r="G684" s="1331"/>
      <c r="H684" s="89"/>
      <c r="I684" s="504"/>
      <c r="J684" s="504"/>
    </row>
    <row r="685" spans="1:15" hidden="1" x14ac:dyDescent="0.2">
      <c r="A685" s="88"/>
      <c r="B685" s="20"/>
      <c r="C685" s="88"/>
      <c r="D685" s="89"/>
      <c r="E685" s="89"/>
      <c r="F685" s="1331"/>
      <c r="G685" s="1331"/>
      <c r="H685" s="89"/>
      <c r="I685" s="504"/>
      <c r="J685" s="504"/>
    </row>
    <row r="686" spans="1:15" hidden="1" x14ac:dyDescent="0.2">
      <c r="A686" s="88"/>
      <c r="B686" s="20"/>
      <c r="C686" s="88"/>
      <c r="D686" s="89"/>
      <c r="E686" s="89"/>
      <c r="F686" s="1331"/>
      <c r="G686" s="1331"/>
      <c r="H686" s="89"/>
      <c r="I686" s="504"/>
      <c r="J686" s="504"/>
    </row>
    <row r="687" spans="1:15" hidden="1" x14ac:dyDescent="0.2">
      <c r="A687" s="88"/>
      <c r="B687" s="20"/>
      <c r="C687" s="88"/>
      <c r="D687" s="89"/>
      <c r="E687" s="89"/>
      <c r="F687" s="1331"/>
      <c r="G687" s="1331"/>
      <c r="H687" s="89"/>
      <c r="I687" s="504"/>
      <c r="J687" s="504"/>
    </row>
    <row r="688" spans="1:15" hidden="1" x14ac:dyDescent="0.2">
      <c r="A688" s="88"/>
      <c r="B688" s="20"/>
      <c r="C688" s="88"/>
      <c r="D688" s="89"/>
      <c r="E688" s="89"/>
      <c r="F688" s="1331"/>
      <c r="G688" s="1331"/>
      <c r="H688" s="89"/>
      <c r="I688" s="504"/>
      <c r="J688" s="504"/>
    </row>
    <row r="689" spans="1:14" hidden="1" x14ac:dyDescent="0.2">
      <c r="A689" s="88"/>
      <c r="B689" s="20"/>
      <c r="C689" s="88"/>
      <c r="D689" s="89"/>
      <c r="E689" s="89"/>
      <c r="F689" s="1331"/>
      <c r="G689" s="1331"/>
      <c r="H689" s="89"/>
      <c r="I689" s="504"/>
      <c r="J689" s="504"/>
    </row>
    <row r="690" spans="1:14" hidden="1" x14ac:dyDescent="0.2">
      <c r="A690" s="88"/>
      <c r="B690" s="20"/>
      <c r="C690" s="88"/>
      <c r="D690" s="89"/>
      <c r="E690" s="89"/>
      <c r="F690" s="1331"/>
      <c r="G690" s="1331"/>
      <c r="H690" s="89"/>
      <c r="I690" s="504"/>
      <c r="J690" s="504"/>
    </row>
    <row r="691" spans="1:14" hidden="1" x14ac:dyDescent="0.2">
      <c r="A691" s="88"/>
      <c r="B691" s="20"/>
      <c r="C691" s="88"/>
      <c r="D691" s="89"/>
      <c r="E691" s="89"/>
      <c r="F691" s="1331"/>
      <c r="G691" s="1331"/>
      <c r="H691" s="89"/>
      <c r="I691" s="504"/>
      <c r="J691" s="504"/>
    </row>
    <row r="692" spans="1:14" x14ac:dyDescent="0.2">
      <c r="A692" s="88"/>
      <c r="B692" s="20"/>
      <c r="C692" s="464" t="s">
        <v>427</v>
      </c>
      <c r="D692" s="89"/>
      <c r="E692" s="89"/>
      <c r="F692" s="1331"/>
      <c r="G692" s="1331"/>
      <c r="H692" s="89"/>
      <c r="I692" s="504"/>
      <c r="J692" s="504"/>
    </row>
    <row r="693" spans="1:14" hidden="1" x14ac:dyDescent="0.2">
      <c r="A693" s="88"/>
      <c r="B693" s="20"/>
      <c r="C693" s="88"/>
      <c r="D693" s="89"/>
      <c r="E693" s="89"/>
      <c r="H693" s="89"/>
      <c r="I693" s="504"/>
      <c r="J693" s="504"/>
    </row>
    <row r="694" spans="1:14" s="497" customFormat="1" x14ac:dyDescent="0.2">
      <c r="A694" s="1544" t="s">
        <v>427</v>
      </c>
      <c r="B694" s="1545"/>
      <c r="C694" s="1673"/>
      <c r="D694" s="1548">
        <v>2022</v>
      </c>
      <c r="E694" s="1915" t="s">
        <v>983</v>
      </c>
      <c r="F694" s="1549">
        <v>2024</v>
      </c>
      <c r="G694" s="1549" t="s">
        <v>984</v>
      </c>
      <c r="H694" s="1724">
        <v>2025</v>
      </c>
      <c r="I694" s="1724">
        <v>2026</v>
      </c>
      <c r="J694" s="1724">
        <v>2027</v>
      </c>
      <c r="K694" s="495"/>
      <c r="L694" s="496"/>
      <c r="M694" s="467"/>
      <c r="N694" s="468"/>
    </row>
    <row r="695" spans="1:14" s="92" customFormat="1" ht="11.25" x14ac:dyDescent="0.2">
      <c r="A695" s="1102" t="s">
        <v>440</v>
      </c>
      <c r="B695" s="1102"/>
      <c r="C695" s="1102"/>
      <c r="D695" s="1098">
        <f>SUM(D696:D701)</f>
        <v>6756</v>
      </c>
      <c r="E695" s="1842">
        <f>SUM(E696)+E698+E701+E699</f>
        <v>0</v>
      </c>
      <c r="F695" s="1320">
        <f>SUM(F696:F701)</f>
        <v>0</v>
      </c>
      <c r="G695" s="1320">
        <f>G696+G698+G699+G700+G701</f>
        <v>3283.2</v>
      </c>
      <c r="H695" s="1098">
        <f>SUM(H696:H701)</f>
        <v>1566.4</v>
      </c>
      <c r="I695" s="1098">
        <f>SUM(I696:I701)</f>
        <v>0</v>
      </c>
      <c r="J695" s="1098">
        <f>SUM(J696:J701)</f>
        <v>0</v>
      </c>
      <c r="K695" s="499"/>
      <c r="L695" s="499"/>
      <c r="M695" s="499"/>
      <c r="N695" s="499"/>
    </row>
    <row r="696" spans="1:14" x14ac:dyDescent="0.2">
      <c r="A696" s="914">
        <v>711</v>
      </c>
      <c r="B696" s="914" t="s">
        <v>91</v>
      </c>
      <c r="C696" s="914" t="s">
        <v>676</v>
      </c>
      <c r="D696" s="1115">
        <v>0</v>
      </c>
      <c r="E696" s="1806">
        <v>0</v>
      </c>
      <c r="F696" s="1333">
        <v>0</v>
      </c>
      <c r="G696" s="1333">
        <v>500</v>
      </c>
      <c r="H696" s="1322"/>
      <c r="I696" s="1076">
        <v>0</v>
      </c>
      <c r="J696" s="1076">
        <v>0</v>
      </c>
      <c r="L696" s="50"/>
      <c r="M696" s="50"/>
    </row>
    <row r="697" spans="1:14" hidden="1" x14ac:dyDescent="0.2">
      <c r="A697" s="914"/>
      <c r="B697" s="914"/>
      <c r="C697" s="914"/>
      <c r="D697" s="1071"/>
      <c r="E697" s="1301"/>
      <c r="F697" s="1333"/>
      <c r="G697" s="1333"/>
      <c r="H697" s="1322"/>
      <c r="I697" s="1070"/>
      <c r="J697" s="1070"/>
      <c r="L697" s="50"/>
      <c r="M697" s="50"/>
    </row>
    <row r="698" spans="1:14" x14ac:dyDescent="0.2">
      <c r="A698" s="914">
        <v>711</v>
      </c>
      <c r="B698" s="914" t="s">
        <v>89</v>
      </c>
      <c r="C698" s="914" t="s">
        <v>803</v>
      </c>
      <c r="D698" s="1115">
        <v>0</v>
      </c>
      <c r="E698" s="1806">
        <v>0</v>
      </c>
      <c r="F698" s="1333">
        <v>0</v>
      </c>
      <c r="G698" s="1333"/>
      <c r="H698" s="1322"/>
      <c r="I698" s="1070"/>
      <c r="J698" s="1070"/>
      <c r="L698" s="50"/>
      <c r="M698" s="50"/>
    </row>
    <row r="699" spans="1:14" x14ac:dyDescent="0.2">
      <c r="A699" s="914">
        <v>713</v>
      </c>
      <c r="B699" s="914" t="s">
        <v>89</v>
      </c>
      <c r="C699" s="914" t="s">
        <v>1001</v>
      </c>
      <c r="D699" s="1115">
        <v>3120</v>
      </c>
      <c r="E699" s="1806">
        <v>0</v>
      </c>
      <c r="F699" s="1333"/>
      <c r="G699" s="1333">
        <v>783.2</v>
      </c>
      <c r="H699" s="1322">
        <v>1566.4</v>
      </c>
      <c r="I699" s="1070"/>
      <c r="J699" s="1070"/>
      <c r="L699" s="50"/>
      <c r="M699" s="50"/>
    </row>
    <row r="700" spans="1:14" x14ac:dyDescent="0.2">
      <c r="A700" s="914">
        <v>716</v>
      </c>
      <c r="B700" s="914"/>
      <c r="C700" s="914" t="s">
        <v>604</v>
      </c>
      <c r="D700" s="1071"/>
      <c r="E700" s="1301"/>
      <c r="F700" s="1333"/>
      <c r="G700" s="1333">
        <v>2000</v>
      </c>
      <c r="H700" s="1322"/>
      <c r="I700" s="1070"/>
      <c r="J700" s="1070"/>
      <c r="L700" s="50"/>
      <c r="M700" s="50"/>
    </row>
    <row r="701" spans="1:14" x14ac:dyDescent="0.2">
      <c r="A701" s="914">
        <v>714</v>
      </c>
      <c r="B701" s="914"/>
      <c r="C701" s="914" t="s">
        <v>854</v>
      </c>
      <c r="D701" s="1071">
        <v>3636</v>
      </c>
      <c r="E701" s="1301">
        <v>0</v>
      </c>
      <c r="F701" s="1333">
        <v>0</v>
      </c>
      <c r="G701" s="1333"/>
      <c r="H701" s="1322">
        <v>0</v>
      </c>
      <c r="I701" s="1070">
        <v>0</v>
      </c>
      <c r="J701" s="1070">
        <v>0</v>
      </c>
      <c r="L701" s="50"/>
      <c r="M701" s="50"/>
    </row>
    <row r="702" spans="1:14" x14ac:dyDescent="0.2">
      <c r="A702" s="1674" t="s">
        <v>505</v>
      </c>
      <c r="B702" s="1102"/>
      <c r="C702" s="1102"/>
      <c r="D702" s="1098">
        <f t="shared" ref="D702:J702" si="122">D703</f>
        <v>0</v>
      </c>
      <c r="E702" s="1842">
        <f>E704+E706</f>
        <v>0</v>
      </c>
      <c r="F702" s="1320">
        <f>F704+F706</f>
        <v>0</v>
      </c>
      <c r="G702" s="1320"/>
      <c r="H702" s="1098">
        <f t="shared" si="122"/>
        <v>0</v>
      </c>
      <c r="I702" s="1098">
        <f t="shared" si="122"/>
        <v>0</v>
      </c>
      <c r="J702" s="1098">
        <f t="shared" si="122"/>
        <v>0</v>
      </c>
      <c r="K702" s="499"/>
      <c r="L702" s="499"/>
      <c r="M702" s="499"/>
      <c r="N702" s="499"/>
    </row>
    <row r="703" spans="1:14" x14ac:dyDescent="0.2">
      <c r="A703" s="914">
        <v>713</v>
      </c>
      <c r="B703" s="914" t="s">
        <v>108</v>
      </c>
      <c r="C703" s="914" t="s">
        <v>600</v>
      </c>
      <c r="D703" s="1070">
        <v>0</v>
      </c>
      <c r="E703" s="1801">
        <v>0</v>
      </c>
      <c r="F703" s="1333">
        <v>0</v>
      </c>
      <c r="G703" s="1333"/>
      <c r="H703" s="1322"/>
      <c r="I703" s="1070">
        <v>0</v>
      </c>
      <c r="J703" s="1070">
        <v>0</v>
      </c>
      <c r="L703" s="50"/>
      <c r="M703" s="50"/>
    </row>
    <row r="704" spans="1:14" x14ac:dyDescent="0.2">
      <c r="A704" s="914">
        <v>713</v>
      </c>
      <c r="B704" s="914" t="s">
        <v>108</v>
      </c>
      <c r="C704" s="914" t="s">
        <v>851</v>
      </c>
      <c r="D704" s="1070"/>
      <c r="E704" s="1801">
        <v>0</v>
      </c>
      <c r="F704" s="1333">
        <v>0</v>
      </c>
      <c r="G704" s="1333"/>
      <c r="H704" s="1322"/>
      <c r="I704" s="1070"/>
      <c r="J704" s="1070"/>
      <c r="L704" s="50"/>
      <c r="M704" s="50"/>
    </row>
    <row r="705" spans="1:15" x14ac:dyDescent="0.2">
      <c r="A705" s="914"/>
      <c r="B705" s="914"/>
      <c r="C705" s="1324" t="s">
        <v>852</v>
      </c>
      <c r="D705" s="1070"/>
      <c r="E705" s="1843">
        <v>0</v>
      </c>
      <c r="F705" s="1527">
        <v>0</v>
      </c>
      <c r="G705" s="1527"/>
      <c r="H705" s="1322"/>
      <c r="I705" s="1070"/>
      <c r="J705" s="1070"/>
      <c r="L705" s="50"/>
      <c r="M705" s="50"/>
    </row>
    <row r="706" spans="1:15" x14ac:dyDescent="0.2">
      <c r="A706" s="914">
        <v>714</v>
      </c>
      <c r="B706" s="914" t="s">
        <v>91</v>
      </c>
      <c r="C706" s="914" t="s">
        <v>854</v>
      </c>
      <c r="D706" s="1070"/>
      <c r="E706" s="1801">
        <v>0</v>
      </c>
      <c r="F706" s="1333">
        <v>0</v>
      </c>
      <c r="G706" s="1333"/>
      <c r="H706" s="1322"/>
      <c r="I706" s="1070"/>
      <c r="J706" s="1070"/>
      <c r="L706" s="50"/>
      <c r="M706" s="50"/>
    </row>
    <row r="707" spans="1:15" x14ac:dyDescent="0.2">
      <c r="A707" s="1103">
        <v>713</v>
      </c>
      <c r="B707" s="1103" t="s">
        <v>108</v>
      </c>
      <c r="C707" s="1103" t="s">
        <v>601</v>
      </c>
      <c r="D707" s="1675">
        <v>0</v>
      </c>
      <c r="E707" s="1801">
        <v>0</v>
      </c>
      <c r="F707" s="1333">
        <v>0</v>
      </c>
      <c r="G707" s="1333"/>
      <c r="H707" s="1322"/>
      <c r="I707" s="1675">
        <v>0</v>
      </c>
      <c r="J707" s="1675">
        <v>0</v>
      </c>
      <c r="K707" s="479"/>
      <c r="L707" s="484"/>
      <c r="M707" s="484"/>
      <c r="N707" s="479"/>
    </row>
    <row r="708" spans="1:15" s="33" customFormat="1" hidden="1" x14ac:dyDescent="0.2">
      <c r="A708" s="1074"/>
      <c r="B708" s="1074"/>
      <c r="C708" s="1074"/>
      <c r="D708" s="1097"/>
      <c r="E708" s="1816"/>
      <c r="F708" s="1310"/>
      <c r="G708" s="1310"/>
      <c r="H708" s="1097"/>
      <c r="I708" s="1097"/>
      <c r="J708" s="1097"/>
      <c r="K708" s="20"/>
      <c r="L708" s="20"/>
      <c r="M708" s="50"/>
      <c r="N708" s="20"/>
      <c r="O708" s="16"/>
    </row>
    <row r="709" spans="1:15" s="33" customFormat="1" x14ac:dyDescent="0.2">
      <c r="A709" s="1102" t="s">
        <v>270</v>
      </c>
      <c r="B709" s="1102" t="s">
        <v>269</v>
      </c>
      <c r="C709" s="1102"/>
      <c r="D709" s="1098">
        <f>SUM(D710:D713)</f>
        <v>0</v>
      </c>
      <c r="E709" s="1844">
        <f>E710+E711+E713</f>
        <v>0</v>
      </c>
      <c r="F709" s="1321">
        <f>F710+F711+F713</f>
        <v>0</v>
      </c>
      <c r="G709" s="1321">
        <f>G710</f>
        <v>4798</v>
      </c>
      <c r="H709" s="1098"/>
      <c r="I709" s="1098"/>
      <c r="J709" s="1098"/>
      <c r="K709" s="20"/>
      <c r="L709" s="20"/>
      <c r="M709" s="50"/>
      <c r="N709" s="20"/>
      <c r="O709" s="16"/>
    </row>
    <row r="710" spans="1:15" s="33" customFormat="1" x14ac:dyDescent="0.2">
      <c r="A710" s="1074">
        <v>717</v>
      </c>
      <c r="B710" s="1074" t="s">
        <v>94</v>
      </c>
      <c r="C710" s="1074" t="s">
        <v>989</v>
      </c>
      <c r="D710" s="1070">
        <v>0</v>
      </c>
      <c r="E710" s="1301">
        <v>0</v>
      </c>
      <c r="F710" s="1333">
        <v>0</v>
      </c>
      <c r="G710" s="1333">
        <v>4798</v>
      </c>
      <c r="H710" s="1322"/>
      <c r="I710" s="1070"/>
      <c r="J710" s="1070"/>
      <c r="K710" s="20"/>
      <c r="L710" s="20"/>
      <c r="M710" s="50"/>
      <c r="N710" s="20"/>
      <c r="O710" s="16"/>
    </row>
    <row r="711" spans="1:15" s="33" customFormat="1" x14ac:dyDescent="0.2">
      <c r="A711" s="1074">
        <v>717</v>
      </c>
      <c r="B711" s="1074"/>
      <c r="C711" s="1074" t="s">
        <v>767</v>
      </c>
      <c r="D711" s="1070">
        <v>0</v>
      </c>
      <c r="E711" s="1845">
        <v>0</v>
      </c>
      <c r="F711" s="1333">
        <v>0</v>
      </c>
      <c r="G711" s="1333"/>
      <c r="H711" s="1322"/>
      <c r="I711" s="1070"/>
      <c r="J711" s="1070"/>
      <c r="K711" s="20"/>
      <c r="L711" s="20"/>
      <c r="M711" s="50"/>
      <c r="N711" s="20"/>
      <c r="O711" s="16"/>
    </row>
    <row r="712" spans="1:15" s="33" customFormat="1" x14ac:dyDescent="0.2">
      <c r="A712" s="1074"/>
      <c r="B712" s="1074"/>
      <c r="C712" s="1937" t="s">
        <v>828</v>
      </c>
      <c r="D712" s="1070">
        <v>0</v>
      </c>
      <c r="E712" s="1845"/>
      <c r="F712" s="1333"/>
      <c r="G712" s="1333"/>
      <c r="H712" s="1322"/>
      <c r="I712" s="1070"/>
      <c r="J712" s="1070"/>
      <c r="K712" s="20"/>
      <c r="L712" s="20"/>
      <c r="M712" s="50"/>
      <c r="N712" s="20"/>
      <c r="O712" s="16"/>
    </row>
    <row r="713" spans="1:15" s="33" customFormat="1" x14ac:dyDescent="0.2">
      <c r="A713" s="1074"/>
      <c r="B713" s="1074"/>
      <c r="C713" s="1276" t="s">
        <v>810</v>
      </c>
      <c r="D713" s="1676">
        <v>0</v>
      </c>
      <c r="E713" s="1846">
        <v>0</v>
      </c>
      <c r="F713" s="1333">
        <v>0</v>
      </c>
      <c r="G713" s="1333"/>
      <c r="H713" s="1332"/>
      <c r="I713" s="1097"/>
      <c r="J713" s="1097"/>
      <c r="K713" s="20"/>
      <c r="L713" s="20"/>
      <c r="M713" s="50"/>
      <c r="N713" s="20"/>
      <c r="O713" s="16"/>
    </row>
    <row r="714" spans="1:15" s="33" customFormat="1" x14ac:dyDescent="0.2">
      <c r="A714" s="1677" t="s">
        <v>677</v>
      </c>
      <c r="B714" s="1102" t="s">
        <v>678</v>
      </c>
      <c r="C714" s="1102"/>
      <c r="D714" s="1098">
        <f t="shared" ref="D714:F714" si="123">SUM(D715)</f>
        <v>0</v>
      </c>
      <c r="E714" s="1842">
        <f t="shared" si="123"/>
        <v>0</v>
      </c>
      <c r="F714" s="1317">
        <f t="shared" si="123"/>
        <v>0</v>
      </c>
      <c r="G714" s="1317"/>
      <c r="H714" s="1098">
        <v>0</v>
      </c>
      <c r="I714" s="1098">
        <v>0</v>
      </c>
      <c r="J714" s="1098">
        <v>0</v>
      </c>
      <c r="K714" s="20"/>
      <c r="L714" s="20"/>
      <c r="M714" s="50"/>
      <c r="N714" s="20"/>
      <c r="O714" s="16"/>
    </row>
    <row r="715" spans="1:15" s="33" customFormat="1" x14ac:dyDescent="0.2">
      <c r="A715" s="914">
        <v>713</v>
      </c>
      <c r="B715" s="914" t="s">
        <v>108</v>
      </c>
      <c r="C715" s="914" t="s">
        <v>679</v>
      </c>
      <c r="D715" s="1076">
        <v>0</v>
      </c>
      <c r="E715" s="1806">
        <v>0</v>
      </c>
      <c r="F715" s="1333">
        <v>0</v>
      </c>
      <c r="G715" s="1333"/>
      <c r="H715" s="1322"/>
      <c r="I715" s="1076">
        <v>0</v>
      </c>
      <c r="J715" s="1076">
        <v>0</v>
      </c>
      <c r="K715" s="20"/>
      <c r="L715" s="20"/>
      <c r="M715" s="50"/>
      <c r="N715" s="20"/>
      <c r="O715" s="16"/>
    </row>
    <row r="716" spans="1:15" s="92" customFormat="1" ht="11.25" x14ac:dyDescent="0.2">
      <c r="A716" s="2410" t="s">
        <v>602</v>
      </c>
      <c r="B716" s="2410"/>
      <c r="C716" s="2410"/>
      <c r="D716" s="1098">
        <f>D717</f>
        <v>0</v>
      </c>
      <c r="E716" s="1842">
        <v>0</v>
      </c>
      <c r="F716" s="1317">
        <v>0</v>
      </c>
      <c r="G716" s="1317">
        <f>SUM(G717+G719)</f>
        <v>4000</v>
      </c>
      <c r="H716" s="1098">
        <f>SUM(H717+H719)</f>
        <v>2000</v>
      </c>
      <c r="I716" s="1098">
        <f>SUM(I717+I719)</f>
        <v>2000</v>
      </c>
      <c r="J716" s="1098">
        <f>SUM(J717+J719)</f>
        <v>2000</v>
      </c>
      <c r="K716" s="499"/>
      <c r="L716" s="499"/>
      <c r="M716" s="499"/>
      <c r="N716" s="499"/>
    </row>
    <row r="717" spans="1:15" s="33" customFormat="1" x14ac:dyDescent="0.2">
      <c r="A717" s="1074">
        <v>717</v>
      </c>
      <c r="B717" s="1074" t="s">
        <v>94</v>
      </c>
      <c r="C717" s="1074" t="s">
        <v>756</v>
      </c>
      <c r="D717" s="1071">
        <v>0</v>
      </c>
      <c r="E717" s="1301"/>
      <c r="F717" s="1333"/>
      <c r="G717" s="1333"/>
      <c r="H717" s="1322"/>
      <c r="I717" s="1070"/>
      <c r="J717" s="1070"/>
      <c r="K717" s="20"/>
      <c r="L717" s="506"/>
      <c r="M717" s="50"/>
      <c r="N717" s="20"/>
      <c r="O717" s="16"/>
    </row>
    <row r="718" spans="1:15" hidden="1" x14ac:dyDescent="0.2">
      <c r="A718" s="1074"/>
      <c r="B718" s="1074"/>
      <c r="C718" s="1074"/>
      <c r="D718" s="1097"/>
      <c r="E718" s="1804"/>
      <c r="F718" s="1333"/>
      <c r="G718" s="1333"/>
      <c r="H718" s="1322"/>
      <c r="I718" s="1097"/>
      <c r="J718" s="1097"/>
      <c r="M718" s="50"/>
    </row>
    <row r="719" spans="1:15" x14ac:dyDescent="0.2">
      <c r="A719" s="1074">
        <v>716</v>
      </c>
      <c r="B719" s="1074"/>
      <c r="C719" s="914" t="s">
        <v>1000</v>
      </c>
      <c r="D719" s="1070">
        <v>0</v>
      </c>
      <c r="E719" s="1301">
        <v>0</v>
      </c>
      <c r="F719" s="1333">
        <v>0</v>
      </c>
      <c r="G719" s="1333">
        <v>4000</v>
      </c>
      <c r="H719" s="1322">
        <v>2000</v>
      </c>
      <c r="I719" s="1070">
        <v>2000</v>
      </c>
      <c r="J719" s="1070">
        <v>2000</v>
      </c>
      <c r="M719" s="50"/>
    </row>
    <row r="720" spans="1:15" s="92" customFormat="1" ht="11.25" x14ac:dyDescent="0.2">
      <c r="A720" s="1104" t="s">
        <v>603</v>
      </c>
      <c r="B720" s="1104"/>
      <c r="C720" s="1104"/>
      <c r="D720" s="1098">
        <f>SUM(D721)</f>
        <v>0</v>
      </c>
      <c r="E720" s="1842">
        <f>E721</f>
        <v>0</v>
      </c>
      <c r="F720" s="1317">
        <f>F721</f>
        <v>0</v>
      </c>
      <c r="G720" s="1317"/>
      <c r="H720" s="1098">
        <v>0</v>
      </c>
      <c r="I720" s="1098">
        <v>0</v>
      </c>
      <c r="J720" s="1098">
        <v>0</v>
      </c>
      <c r="K720" s="499"/>
      <c r="L720" s="499"/>
      <c r="M720" s="499"/>
      <c r="N720" s="499"/>
    </row>
    <row r="721" spans="1:15" x14ac:dyDescent="0.2">
      <c r="A721" s="1074">
        <v>717</v>
      </c>
      <c r="B721" s="1074" t="s">
        <v>91</v>
      </c>
      <c r="C721" s="1074" t="s">
        <v>604</v>
      </c>
      <c r="D721" s="1070">
        <v>0</v>
      </c>
      <c r="E721" s="1301">
        <v>0</v>
      </c>
      <c r="F721" s="1333">
        <v>0</v>
      </c>
      <c r="G721" s="1333"/>
      <c r="H721" s="1954"/>
      <c r="I721" s="1097"/>
      <c r="J721" s="1097"/>
      <c r="K721" s="48"/>
      <c r="M721" s="50"/>
    </row>
    <row r="722" spans="1:15" s="33" customFormat="1" hidden="1" x14ac:dyDescent="0.2">
      <c r="A722" s="1074"/>
      <c r="B722" s="1074"/>
      <c r="C722" s="1074"/>
      <c r="D722" s="1097"/>
      <c r="E722" s="1816"/>
      <c r="F722" s="1310"/>
      <c r="G722" s="1310"/>
      <c r="H722" s="1097"/>
      <c r="I722" s="1097"/>
      <c r="J722" s="1097"/>
      <c r="K722" s="48"/>
      <c r="L722" s="20"/>
      <c r="M722" s="50"/>
      <c r="N722" s="20"/>
      <c r="O722" s="16"/>
    </row>
    <row r="723" spans="1:15" s="546" customFormat="1" ht="11.25" x14ac:dyDescent="0.2">
      <c r="A723" s="1102" t="s">
        <v>302</v>
      </c>
      <c r="B723" s="1102" t="s">
        <v>303</v>
      </c>
      <c r="C723" s="1102"/>
      <c r="D723" s="1098">
        <f>D724+D725+D726+D728+D729</f>
        <v>88920</v>
      </c>
      <c r="E723" s="1842">
        <f>SUM(E724:E729)-E727</f>
        <v>5040</v>
      </c>
      <c r="F723" s="1317">
        <f>F724+F725+F726+F728+F729</f>
        <v>0</v>
      </c>
      <c r="G723" s="1317"/>
      <c r="H723" s="1098">
        <f>SUM(H724:H729)</f>
        <v>0</v>
      </c>
      <c r="I723" s="1098">
        <f>SUM(I724:I729)</f>
        <v>0</v>
      </c>
      <c r="J723" s="1098">
        <f>SUM(J724:J729)</f>
        <v>0</v>
      </c>
      <c r="K723" s="499"/>
      <c r="L723" s="59"/>
      <c r="M723" s="499"/>
      <c r="N723" s="499"/>
      <c r="O723" s="92"/>
    </row>
    <row r="724" spans="1:15" s="33" customFormat="1" x14ac:dyDescent="0.2">
      <c r="A724" s="1105">
        <v>717</v>
      </c>
      <c r="B724" s="1105" t="s">
        <v>91</v>
      </c>
      <c r="C724" s="1105" t="s">
        <v>537</v>
      </c>
      <c r="D724" s="1333">
        <v>0</v>
      </c>
      <c r="E724" s="1847">
        <v>0</v>
      </c>
      <c r="F724" s="1333">
        <v>0</v>
      </c>
      <c r="G724" s="1333"/>
      <c r="H724" s="1953">
        <v>0</v>
      </c>
      <c r="I724" s="1070">
        <v>0</v>
      </c>
      <c r="J724" s="1070">
        <v>0</v>
      </c>
      <c r="K724" s="20"/>
      <c r="L724" s="490"/>
      <c r="M724" s="506"/>
      <c r="N724" s="20"/>
      <c r="O724" s="16"/>
    </row>
    <row r="725" spans="1:15" s="33" customFormat="1" x14ac:dyDescent="0.2">
      <c r="A725" s="1074">
        <v>717</v>
      </c>
      <c r="B725" s="1074" t="s">
        <v>91</v>
      </c>
      <c r="C725" s="1074" t="s">
        <v>537</v>
      </c>
      <c r="D725" s="1333">
        <v>0</v>
      </c>
      <c r="E725" s="1886">
        <v>0</v>
      </c>
      <c r="F725" s="1333">
        <v>0</v>
      </c>
      <c r="G725" s="1333"/>
      <c r="H725" s="1953">
        <v>0</v>
      </c>
      <c r="I725" s="1070">
        <v>0</v>
      </c>
      <c r="J725" s="1070">
        <v>0</v>
      </c>
      <c r="K725" s="20"/>
      <c r="L725" s="490"/>
      <c r="M725" s="506"/>
      <c r="N725" s="20"/>
      <c r="O725" s="16"/>
    </row>
    <row r="726" spans="1:15" s="33" customFormat="1" x14ac:dyDescent="0.2">
      <c r="A726" s="1074">
        <v>713</v>
      </c>
      <c r="B726" s="1074" t="s">
        <v>108</v>
      </c>
      <c r="C726" s="1074" t="s">
        <v>450</v>
      </c>
      <c r="D726" s="1333">
        <v>88920</v>
      </c>
      <c r="E726" s="1886">
        <v>0</v>
      </c>
      <c r="F726" s="1333">
        <v>0</v>
      </c>
      <c r="G726" s="1333"/>
      <c r="H726" s="1953">
        <v>0</v>
      </c>
      <c r="I726" s="1070">
        <v>0</v>
      </c>
      <c r="J726" s="1070">
        <v>0</v>
      </c>
      <c r="K726" s="20"/>
      <c r="L726" s="490"/>
      <c r="M726" s="506"/>
      <c r="N726" s="20"/>
      <c r="O726" s="16"/>
    </row>
    <row r="727" spans="1:15" s="1344" customFormat="1" x14ac:dyDescent="0.2">
      <c r="A727" s="1338"/>
      <c r="B727" s="1338"/>
      <c r="C727" s="1338" t="s">
        <v>880</v>
      </c>
      <c r="D727" s="1527">
        <v>79686</v>
      </c>
      <c r="E727" s="1908">
        <v>0</v>
      </c>
      <c r="F727" s="1527">
        <v>0</v>
      </c>
      <c r="G727" s="1527"/>
      <c r="H727" s="1982"/>
      <c r="I727" s="1339"/>
      <c r="J727" s="1339"/>
      <c r="K727" s="1341"/>
      <c r="L727" s="1340"/>
      <c r="M727" s="1342"/>
      <c r="N727" s="1341"/>
      <c r="O727" s="1343"/>
    </row>
    <row r="728" spans="1:15" s="33" customFormat="1" x14ac:dyDescent="0.2">
      <c r="A728" s="1074">
        <v>717</v>
      </c>
      <c r="B728" s="1074" t="s">
        <v>91</v>
      </c>
      <c r="C728" s="1074" t="s">
        <v>652</v>
      </c>
      <c r="D728" s="1333">
        <v>0</v>
      </c>
      <c r="E728" s="1886">
        <v>5040</v>
      </c>
      <c r="F728" s="1333">
        <v>0</v>
      </c>
      <c r="G728" s="1333"/>
      <c r="H728" s="1953">
        <v>0</v>
      </c>
      <c r="I728" s="1070">
        <v>0</v>
      </c>
      <c r="J728" s="1070">
        <v>0</v>
      </c>
      <c r="K728" s="20"/>
      <c r="L728" s="490"/>
      <c r="M728" s="506"/>
      <c r="N728" s="20"/>
      <c r="O728" s="16"/>
    </row>
    <row r="729" spans="1:15" s="33" customFormat="1" x14ac:dyDescent="0.2">
      <c r="A729" s="1074">
        <v>717</v>
      </c>
      <c r="B729" s="1074" t="s">
        <v>91</v>
      </c>
      <c r="C729" s="1074" t="s">
        <v>652</v>
      </c>
      <c r="D729" s="1333">
        <v>0</v>
      </c>
      <c r="E729" s="1886">
        <v>0</v>
      </c>
      <c r="F729" s="1333">
        <v>0</v>
      </c>
      <c r="G729" s="1333"/>
      <c r="H729" s="1953">
        <v>0</v>
      </c>
      <c r="I729" s="1070">
        <v>0</v>
      </c>
      <c r="J729" s="1070">
        <v>0</v>
      </c>
      <c r="K729" s="20"/>
      <c r="L729" s="490"/>
      <c r="M729" s="506"/>
      <c r="N729" s="20"/>
      <c r="O729" s="16"/>
    </row>
    <row r="730" spans="1:15" s="33" customFormat="1" hidden="1" x14ac:dyDescent="0.2">
      <c r="A730" s="1074"/>
      <c r="B730" s="1074"/>
      <c r="C730" s="1074"/>
      <c r="D730" s="1099"/>
      <c r="E730" s="1099"/>
      <c r="F730" s="1310"/>
      <c r="G730" s="1310"/>
      <c r="H730" s="1099"/>
      <c r="I730" s="1099"/>
      <c r="J730" s="1099"/>
      <c r="K730" s="20"/>
      <c r="L730" s="490"/>
      <c r="M730" s="506"/>
      <c r="N730" s="20"/>
      <c r="O730" s="16"/>
    </row>
    <row r="731" spans="1:15" s="33" customFormat="1" x14ac:dyDescent="0.2">
      <c r="A731" s="1102" t="s">
        <v>308</v>
      </c>
      <c r="B731" s="1102" t="s">
        <v>307</v>
      </c>
      <c r="C731" s="1102"/>
      <c r="D731" s="1098">
        <f>D732+D733+D735</f>
        <v>0</v>
      </c>
      <c r="E731" s="1842">
        <f>E732+E733</f>
        <v>6141.02</v>
      </c>
      <c r="F731" s="1320">
        <f>F732+F733</f>
        <v>0</v>
      </c>
      <c r="G731" s="1320"/>
      <c r="H731" s="1098">
        <f>H732+H733</f>
        <v>0</v>
      </c>
      <c r="I731" s="1098">
        <f>I732+I733</f>
        <v>0</v>
      </c>
      <c r="J731" s="1098">
        <f>J732+J733</f>
        <v>0</v>
      </c>
      <c r="K731" s="20"/>
      <c r="L731" s="490"/>
      <c r="M731" s="506"/>
      <c r="N731" s="20"/>
      <c r="O731" s="16"/>
    </row>
    <row r="732" spans="1:15" s="33" customFormat="1" x14ac:dyDescent="0.2">
      <c r="A732" s="1074">
        <v>717</v>
      </c>
      <c r="B732" s="1074" t="s">
        <v>91</v>
      </c>
      <c r="C732" s="1074" t="s">
        <v>604</v>
      </c>
      <c r="D732" s="1070">
        <v>0</v>
      </c>
      <c r="E732" s="1801">
        <v>1800</v>
      </c>
      <c r="F732" s="1333"/>
      <c r="G732" s="1333"/>
      <c r="H732" s="1322"/>
      <c r="I732" s="1070"/>
      <c r="J732" s="1070"/>
      <c r="K732" s="20"/>
      <c r="L732" s="490"/>
      <c r="M732" s="506"/>
      <c r="N732" s="20"/>
      <c r="O732" s="16"/>
    </row>
    <row r="733" spans="1:15" s="33" customFormat="1" x14ac:dyDescent="0.2">
      <c r="A733" s="1074">
        <v>717</v>
      </c>
      <c r="B733" s="1074" t="s">
        <v>91</v>
      </c>
      <c r="C733" s="1074" t="s">
        <v>680</v>
      </c>
      <c r="D733" s="1070">
        <v>0</v>
      </c>
      <c r="E733" s="1878">
        <v>4341.0200000000004</v>
      </c>
      <c r="F733" s="1333">
        <v>0</v>
      </c>
      <c r="G733" s="1333"/>
      <c r="H733" s="1322"/>
      <c r="I733" s="1070"/>
      <c r="J733" s="1070"/>
      <c r="K733" s="20"/>
      <c r="L733" s="490"/>
      <c r="M733" s="506"/>
      <c r="N733" s="20"/>
      <c r="O733" s="16"/>
    </row>
    <row r="734" spans="1:15" s="33" customFormat="1" x14ac:dyDescent="0.2">
      <c r="A734" s="1074"/>
      <c r="B734" s="1074"/>
      <c r="C734" s="1197" t="s">
        <v>755</v>
      </c>
      <c r="D734" s="1619">
        <v>0</v>
      </c>
      <c r="E734" s="1801">
        <v>0</v>
      </c>
      <c r="F734" s="1333">
        <v>0</v>
      </c>
      <c r="G734" s="1333"/>
      <c r="H734" s="1332"/>
      <c r="I734" s="1619"/>
      <c r="J734" s="1619"/>
      <c r="K734" s="20"/>
      <c r="L734" s="490"/>
      <c r="M734" s="506"/>
      <c r="N734" s="20"/>
      <c r="O734" s="16"/>
    </row>
    <row r="735" spans="1:15" s="33" customFormat="1" x14ac:dyDescent="0.2">
      <c r="A735" s="1074">
        <v>713</v>
      </c>
      <c r="B735" s="1074" t="s">
        <v>108</v>
      </c>
      <c r="C735" s="1074" t="s">
        <v>804</v>
      </c>
      <c r="D735" s="1076">
        <v>0</v>
      </c>
      <c r="E735" s="1801"/>
      <c r="F735" s="1333"/>
      <c r="G735" s="1333"/>
      <c r="H735" s="1322"/>
      <c r="I735" s="1070"/>
      <c r="J735" s="1070"/>
      <c r="K735" s="20"/>
      <c r="L735" s="490"/>
      <c r="M735" s="506"/>
      <c r="N735" s="20"/>
      <c r="O735" s="16"/>
    </row>
    <row r="736" spans="1:15" s="92" customFormat="1" ht="11.25" x14ac:dyDescent="0.2">
      <c r="A736" s="1102" t="s">
        <v>605</v>
      </c>
      <c r="B736" s="1102"/>
      <c r="C736" s="1102"/>
      <c r="D736" s="1098">
        <f t="shared" ref="D736:H736" si="124">SUM(D737,D738,D739,D740,D741,D743)+D742</f>
        <v>14388</v>
      </c>
      <c r="E736" s="1842">
        <f>SUM(E737,E738,E739,E740,E741,E743)+E742</f>
        <v>21468</v>
      </c>
      <c r="F736" s="1320">
        <f>SUM(F737,F738,F739,F740,F741,F743)+F742</f>
        <v>0</v>
      </c>
      <c r="G736" s="1320"/>
      <c r="H736" s="1098">
        <f t="shared" si="124"/>
        <v>17400</v>
      </c>
      <c r="I736" s="1098">
        <f>SUM(I737:I743)</f>
        <v>0</v>
      </c>
      <c r="J736" s="1098">
        <f>SUM(J737:J743)</f>
        <v>0</v>
      </c>
      <c r="K736" s="499"/>
      <c r="L736" s="59"/>
      <c r="M736" s="59"/>
      <c r="N736" s="59"/>
    </row>
    <row r="737" spans="1:15" s="33" customFormat="1" x14ac:dyDescent="0.2">
      <c r="A737" s="1074">
        <v>717</v>
      </c>
      <c r="B737" s="1074" t="s">
        <v>91</v>
      </c>
      <c r="C737" s="1074" t="s">
        <v>829</v>
      </c>
      <c r="D737" s="1333">
        <v>14388</v>
      </c>
      <c r="E737" s="1301">
        <v>14400</v>
      </c>
      <c r="F737" s="1333">
        <v>0</v>
      </c>
      <c r="G737" s="1333"/>
      <c r="H737" s="1958">
        <v>0</v>
      </c>
      <c r="I737" s="1070">
        <v>0</v>
      </c>
      <c r="J737" s="1070">
        <v>0</v>
      </c>
      <c r="K737" s="20"/>
      <c r="L737" s="50"/>
      <c r="M737" s="50"/>
      <c r="N737" s="50"/>
    </row>
    <row r="738" spans="1:15" x14ac:dyDescent="0.2">
      <c r="A738" s="1074">
        <v>716</v>
      </c>
      <c r="B738" s="1074"/>
      <c r="C738" s="1074" t="s">
        <v>323</v>
      </c>
      <c r="D738" s="1333">
        <v>0</v>
      </c>
      <c r="E738" s="1301">
        <v>0</v>
      </c>
      <c r="F738" s="1333">
        <v>0</v>
      </c>
      <c r="G738" s="1333"/>
      <c r="H738" s="1958"/>
      <c r="I738" s="1070"/>
      <c r="J738" s="1070"/>
      <c r="K738" s="48"/>
      <c r="L738" s="58"/>
      <c r="M738" s="50"/>
      <c r="N738" s="50"/>
    </row>
    <row r="739" spans="1:15" x14ac:dyDescent="0.2">
      <c r="A739" s="1074">
        <v>711</v>
      </c>
      <c r="B739" s="1074" t="s">
        <v>117</v>
      </c>
      <c r="C739" s="1074" t="s">
        <v>1003</v>
      </c>
      <c r="D739" s="1333">
        <v>0</v>
      </c>
      <c r="E739" s="1301">
        <v>0</v>
      </c>
      <c r="F739" s="1333">
        <v>0</v>
      </c>
      <c r="G739" s="1333"/>
      <c r="H739" s="1958">
        <v>17400</v>
      </c>
      <c r="I739" s="1070">
        <v>0</v>
      </c>
      <c r="J739" s="1070">
        <v>0</v>
      </c>
      <c r="K739" s="48"/>
      <c r="L739" s="50"/>
      <c r="M739" s="50"/>
      <c r="N739" s="50"/>
    </row>
    <row r="740" spans="1:15" s="33" customFormat="1" x14ac:dyDescent="0.2">
      <c r="A740" s="1074">
        <v>717</v>
      </c>
      <c r="B740" s="1074" t="s">
        <v>91</v>
      </c>
      <c r="C740" s="1074" t="s">
        <v>606</v>
      </c>
      <c r="D740" s="1333">
        <v>0</v>
      </c>
      <c r="E740" s="1301">
        <v>0</v>
      </c>
      <c r="F740" s="1333">
        <v>0</v>
      </c>
      <c r="G740" s="1333"/>
      <c r="H740" s="1958">
        <v>0</v>
      </c>
      <c r="I740" s="1070">
        <v>0</v>
      </c>
      <c r="J740" s="1070">
        <v>0</v>
      </c>
      <c r="K740" s="48"/>
      <c r="L740" s="50"/>
      <c r="M740" s="58"/>
      <c r="N740" s="58"/>
      <c r="O740" s="16"/>
    </row>
    <row r="741" spans="1:15" s="33" customFormat="1" x14ac:dyDescent="0.2">
      <c r="A741" s="1074">
        <v>717</v>
      </c>
      <c r="B741" s="1074" t="s">
        <v>91</v>
      </c>
      <c r="C741" s="1074" t="s">
        <v>653</v>
      </c>
      <c r="D741" s="1333">
        <v>0</v>
      </c>
      <c r="E741" s="1301">
        <v>0</v>
      </c>
      <c r="F741" s="1333">
        <v>0</v>
      </c>
      <c r="G741" s="1333"/>
      <c r="H741" s="1958">
        <v>0</v>
      </c>
      <c r="I741" s="1070">
        <v>0</v>
      </c>
      <c r="J741" s="1070">
        <v>0</v>
      </c>
      <c r="K741" s="50"/>
      <c r="L741" s="58"/>
      <c r="M741" s="50"/>
      <c r="N741" s="50"/>
      <c r="O741" s="16"/>
    </row>
    <row r="742" spans="1:15" s="33" customFormat="1" x14ac:dyDescent="0.2">
      <c r="A742" s="1106">
        <v>717</v>
      </c>
      <c r="B742" s="1106" t="s">
        <v>94</v>
      </c>
      <c r="C742" s="1106" t="s">
        <v>980</v>
      </c>
      <c r="D742" s="1333">
        <v>0</v>
      </c>
      <c r="E742" s="1909">
        <v>7068</v>
      </c>
      <c r="F742" s="1333">
        <v>0</v>
      </c>
      <c r="G742" s="1333"/>
      <c r="H742" s="1958">
        <v>0</v>
      </c>
      <c r="I742" s="1655">
        <v>0</v>
      </c>
      <c r="J742" s="1655">
        <v>0</v>
      </c>
      <c r="K742" s="543"/>
      <c r="L742" s="547"/>
      <c r="M742" s="543"/>
      <c r="N742" s="543"/>
      <c r="O742" s="16"/>
    </row>
    <row r="743" spans="1:15" s="33" customFormat="1" x14ac:dyDescent="0.2">
      <c r="A743" s="1074">
        <v>717</v>
      </c>
      <c r="B743" s="1074" t="s">
        <v>91</v>
      </c>
      <c r="C743" s="1074" t="s">
        <v>654</v>
      </c>
      <c r="D743" s="1333">
        <v>0</v>
      </c>
      <c r="E743" s="1301">
        <v>0</v>
      </c>
      <c r="F743" s="1333">
        <v>0</v>
      </c>
      <c r="G743" s="1333"/>
      <c r="H743" s="1958">
        <v>0</v>
      </c>
      <c r="I743" s="1070">
        <v>0</v>
      </c>
      <c r="J743" s="1070">
        <v>0</v>
      </c>
      <c r="K743" s="50"/>
      <c r="L743" s="50"/>
      <c r="M743" s="50"/>
      <c r="N743" s="50"/>
      <c r="O743" s="16"/>
    </row>
    <row r="744" spans="1:15" s="41" customFormat="1" hidden="1" x14ac:dyDescent="0.2">
      <c r="A744" s="1576"/>
      <c r="B744" s="1107"/>
      <c r="C744" s="1108"/>
      <c r="D744" s="1191"/>
      <c r="E744" s="1848"/>
      <c r="F744" s="1319"/>
      <c r="G744" s="1319"/>
      <c r="H744" s="1195"/>
      <c r="I744" s="1195"/>
      <c r="J744" s="1195"/>
      <c r="K744" s="50"/>
      <c r="L744" s="20"/>
      <c r="M744" s="50"/>
      <c r="N744" s="20"/>
      <c r="O744" s="16"/>
    </row>
    <row r="745" spans="1:15" s="41" customFormat="1" x14ac:dyDescent="0.2">
      <c r="A745" s="1674" t="s">
        <v>326</v>
      </c>
      <c r="B745" s="1102" t="s">
        <v>325</v>
      </c>
      <c r="C745" s="1102"/>
      <c r="D745" s="1098">
        <f t="shared" ref="D745:I745" si="125">D746+D747</f>
        <v>0</v>
      </c>
      <c r="E745" s="1842">
        <f>E746+E747</f>
        <v>0</v>
      </c>
      <c r="F745" s="1317">
        <f>F746+F747</f>
        <v>0</v>
      </c>
      <c r="G745" s="1317"/>
      <c r="H745" s="1098">
        <f t="shared" si="125"/>
        <v>0</v>
      </c>
      <c r="I745" s="1098">
        <f t="shared" si="125"/>
        <v>0</v>
      </c>
      <c r="J745" s="1098">
        <f t="shared" ref="J745" si="126">J746+J747</f>
        <v>0</v>
      </c>
      <c r="K745" s="50"/>
      <c r="L745" s="20"/>
      <c r="M745" s="50"/>
      <c r="N745" s="20"/>
      <c r="O745" s="16"/>
    </row>
    <row r="746" spans="1:15" s="41" customFormat="1" x14ac:dyDescent="0.2">
      <c r="A746" s="1112">
        <v>716</v>
      </c>
      <c r="B746" s="1200"/>
      <c r="C746" s="1121" t="s">
        <v>604</v>
      </c>
      <c r="D746" s="1302">
        <v>0</v>
      </c>
      <c r="E746" s="1849"/>
      <c r="F746" s="1333"/>
      <c r="G746" s="1333"/>
      <c r="H746" s="1955"/>
      <c r="I746" s="1296"/>
      <c r="J746" s="1296"/>
      <c r="K746" s="50"/>
      <c r="L746" s="20"/>
      <c r="M746" s="50"/>
      <c r="N746" s="20"/>
      <c r="O746" s="16"/>
    </row>
    <row r="747" spans="1:15" s="41" customFormat="1" x14ac:dyDescent="0.2">
      <c r="A747" s="1112">
        <v>717</v>
      </c>
      <c r="B747" s="1200"/>
      <c r="C747" s="1121" t="s">
        <v>768</v>
      </c>
      <c r="D747" s="1302">
        <v>0</v>
      </c>
      <c r="E747" s="1910">
        <v>0</v>
      </c>
      <c r="F747" s="1333">
        <v>0</v>
      </c>
      <c r="G747" s="1333"/>
      <c r="H747" s="1955"/>
      <c r="I747" s="1296"/>
      <c r="J747" s="1296"/>
      <c r="K747" s="50"/>
      <c r="L747" s="20"/>
      <c r="M747" s="50"/>
      <c r="N747" s="20"/>
      <c r="O747" s="16"/>
    </row>
    <row r="748" spans="1:15" s="41" customFormat="1" x14ac:dyDescent="0.2">
      <c r="A748" s="1102" t="s">
        <v>333</v>
      </c>
      <c r="B748" s="1102" t="s">
        <v>754</v>
      </c>
      <c r="C748" s="1102"/>
      <c r="D748" s="1098">
        <f>D749+D750+D751+D754</f>
        <v>0</v>
      </c>
      <c r="E748" s="1842">
        <f>E751+E752+E753</f>
        <v>43682</v>
      </c>
      <c r="F748" s="1320">
        <f>SUM(F749:F764)</f>
        <v>0</v>
      </c>
      <c r="G748" s="1320"/>
      <c r="H748" s="1098">
        <f>SUM(H749:H756)</f>
        <v>0</v>
      </c>
      <c r="I748" s="1098">
        <f>SUM(I749:I764)</f>
        <v>0</v>
      </c>
      <c r="J748" s="1098">
        <f>SUM(J749:J764)</f>
        <v>0</v>
      </c>
      <c r="K748" s="50"/>
      <c r="L748" s="20"/>
      <c r="M748" s="50"/>
      <c r="N748" s="20"/>
      <c r="O748" s="16"/>
    </row>
    <row r="749" spans="1:15" s="41" customFormat="1" x14ac:dyDescent="0.2">
      <c r="A749" s="1112">
        <v>716</v>
      </c>
      <c r="B749" s="1200"/>
      <c r="C749" s="1121" t="s">
        <v>604</v>
      </c>
      <c r="D749" s="1302">
        <v>0</v>
      </c>
      <c r="E749" s="1806"/>
      <c r="F749" s="1333"/>
      <c r="G749" s="1333"/>
      <c r="H749" s="1983"/>
      <c r="I749" s="1302"/>
      <c r="J749" s="1302"/>
      <c r="K749" s="50"/>
      <c r="L749" s="20"/>
      <c r="M749" s="50"/>
      <c r="N749" s="20"/>
      <c r="O749" s="16"/>
    </row>
    <row r="750" spans="1:15" s="41" customFormat="1" x14ac:dyDescent="0.2">
      <c r="A750" s="1112"/>
      <c r="B750" s="1200"/>
      <c r="C750" s="1121" t="s">
        <v>305</v>
      </c>
      <c r="D750" s="1302">
        <v>0</v>
      </c>
      <c r="E750" s="1850">
        <v>0</v>
      </c>
      <c r="F750" s="1333">
        <v>0</v>
      </c>
      <c r="G750" s="1333"/>
      <c r="H750" s="1983">
        <v>0</v>
      </c>
      <c r="I750" s="1302">
        <v>0</v>
      </c>
      <c r="J750" s="1302">
        <v>0</v>
      </c>
      <c r="K750" s="50"/>
      <c r="L750" s="20"/>
      <c r="M750" s="50"/>
      <c r="N750" s="20"/>
      <c r="O750" s="16"/>
    </row>
    <row r="751" spans="1:15" s="41" customFormat="1" x14ac:dyDescent="0.2">
      <c r="A751" s="1112"/>
      <c r="B751" s="1200"/>
      <c r="C751" s="1797" t="s">
        <v>935</v>
      </c>
      <c r="D751" s="1302">
        <v>0</v>
      </c>
      <c r="E751" s="1851">
        <v>27000</v>
      </c>
      <c r="F751" s="1333">
        <v>0</v>
      </c>
      <c r="G751" s="1333"/>
      <c r="H751" s="1983">
        <v>0</v>
      </c>
      <c r="I751" s="1678">
        <v>0</v>
      </c>
      <c r="J751" s="1678">
        <v>0</v>
      </c>
      <c r="K751" s="50"/>
      <c r="L751" s="20"/>
      <c r="M751" s="50"/>
      <c r="N751" s="20"/>
      <c r="O751" s="16"/>
    </row>
    <row r="752" spans="1:15" s="41" customFormat="1" x14ac:dyDescent="0.2">
      <c r="A752" s="1112"/>
      <c r="B752" s="1200"/>
      <c r="C752" s="1121" t="s">
        <v>977</v>
      </c>
      <c r="D752" s="1302"/>
      <c r="E752" s="1850">
        <v>14044.1</v>
      </c>
      <c r="F752" s="1333"/>
      <c r="G752" s="1333"/>
      <c r="H752" s="1983"/>
      <c r="I752" s="1678"/>
      <c r="J752" s="1678"/>
      <c r="K752" s="50"/>
      <c r="L752" s="20"/>
      <c r="M752" s="50"/>
      <c r="N752" s="20"/>
      <c r="O752" s="16"/>
    </row>
    <row r="753" spans="1:15" s="41" customFormat="1" x14ac:dyDescent="0.2">
      <c r="A753" s="1112">
        <v>717</v>
      </c>
      <c r="B753" s="1200"/>
      <c r="C753" s="1797" t="s">
        <v>842</v>
      </c>
      <c r="D753" s="1302"/>
      <c r="E753" s="1851">
        <v>2637.9</v>
      </c>
      <c r="F753" s="1333">
        <v>0</v>
      </c>
      <c r="G753" s="1333"/>
      <c r="H753" s="1983"/>
      <c r="I753" s="1678"/>
      <c r="J753" s="1678"/>
      <c r="K753" s="50"/>
      <c r="L753" s="20"/>
      <c r="M753" s="50"/>
      <c r="N753" s="20"/>
      <c r="O753" s="16"/>
    </row>
    <row r="754" spans="1:15" s="41" customFormat="1" x14ac:dyDescent="0.2">
      <c r="A754" s="1112"/>
      <c r="B754" s="1200"/>
      <c r="C754" s="1121" t="s">
        <v>843</v>
      </c>
      <c r="D754" s="1302">
        <v>0</v>
      </c>
      <c r="E754" s="1850">
        <v>0</v>
      </c>
      <c r="F754" s="1333">
        <v>0</v>
      </c>
      <c r="G754" s="1333"/>
      <c r="H754" s="1984">
        <v>0</v>
      </c>
      <c r="I754" s="1679">
        <v>0</v>
      </c>
      <c r="J754" s="1679">
        <v>0</v>
      </c>
      <c r="K754" s="50"/>
      <c r="L754" s="20"/>
      <c r="M754" s="50"/>
      <c r="N754" s="20"/>
      <c r="O754" s="16"/>
    </row>
    <row r="755" spans="1:15" s="41" customFormat="1" x14ac:dyDescent="0.2">
      <c r="A755" s="1112"/>
      <c r="B755" s="1200"/>
      <c r="C755" s="1121" t="s">
        <v>848</v>
      </c>
      <c r="D755" s="1302"/>
      <c r="E755" s="1850">
        <v>0</v>
      </c>
      <c r="F755" s="1333">
        <v>0</v>
      </c>
      <c r="G755" s="1333"/>
      <c r="H755" s="1984"/>
      <c r="I755" s="1679"/>
      <c r="J755" s="1679"/>
      <c r="K755" s="50"/>
      <c r="L755" s="20"/>
      <c r="M755" s="50"/>
      <c r="N755" s="20"/>
      <c r="O755" s="16"/>
    </row>
    <row r="756" spans="1:15" s="41" customFormat="1" x14ac:dyDescent="0.2">
      <c r="A756" s="1112"/>
      <c r="B756" s="1200"/>
      <c r="C756" s="1121" t="s">
        <v>847</v>
      </c>
      <c r="D756" s="1302"/>
      <c r="E756" s="1850">
        <v>0</v>
      </c>
      <c r="F756" s="1333">
        <v>0</v>
      </c>
      <c r="G756" s="1333"/>
      <c r="H756" s="1983"/>
      <c r="I756" s="1678"/>
      <c r="J756" s="1678"/>
      <c r="K756" s="50"/>
      <c r="L756" s="20"/>
      <c r="M756" s="50"/>
      <c r="N756" s="20"/>
      <c r="O756" s="16"/>
    </row>
    <row r="757" spans="1:15" s="41" customFormat="1" x14ac:dyDescent="0.2">
      <c r="A757" s="1102" t="s">
        <v>830</v>
      </c>
      <c r="B757" s="1102" t="s">
        <v>338</v>
      </c>
      <c r="C757" s="1102"/>
      <c r="D757" s="1098">
        <f>D758+D760</f>
        <v>0</v>
      </c>
      <c r="E757" s="1842">
        <f>SUM(E758:E763)</f>
        <v>4996.3599999999997</v>
      </c>
      <c r="F757" s="1317">
        <f>SUM(F758:F763)</f>
        <v>0</v>
      </c>
      <c r="G757" s="1320">
        <f>G760</f>
        <v>6660</v>
      </c>
      <c r="H757" s="1098">
        <f>SUM(H758)</f>
        <v>0</v>
      </c>
      <c r="I757" s="1098">
        <f>SUM(I758:I763)</f>
        <v>0</v>
      </c>
      <c r="J757" s="1098">
        <f>SUM(J758:J763)</f>
        <v>0</v>
      </c>
      <c r="K757" s="50"/>
      <c r="L757" s="20"/>
      <c r="M757" s="50"/>
      <c r="N757" s="20"/>
      <c r="O757" s="16"/>
    </row>
    <row r="758" spans="1:15" s="41" customFormat="1" x14ac:dyDescent="0.2">
      <c r="A758" s="1112">
        <v>717</v>
      </c>
      <c r="B758" s="1281" t="s">
        <v>91</v>
      </c>
      <c r="C758" s="1121" t="s">
        <v>872</v>
      </c>
      <c r="D758" s="1302">
        <v>0</v>
      </c>
      <c r="E758" s="1850"/>
      <c r="F758" s="1333"/>
      <c r="G758" s="1333"/>
      <c r="H758" s="1984"/>
      <c r="I758" s="1679"/>
      <c r="J758" s="1679"/>
      <c r="K758" s="50"/>
      <c r="L758" s="20"/>
      <c r="M758" s="50"/>
      <c r="N758" s="20"/>
      <c r="O758" s="16"/>
    </row>
    <row r="759" spans="1:15" s="41" customFormat="1" x14ac:dyDescent="0.2">
      <c r="A759" s="1112"/>
      <c r="B759" s="1281"/>
      <c r="C759" s="1336" t="s">
        <v>871</v>
      </c>
      <c r="D759" s="1302"/>
      <c r="E759" s="1850"/>
      <c r="F759" s="1333"/>
      <c r="G759" s="1944">
        <v>5000</v>
      </c>
      <c r="H759" s="1984"/>
      <c r="I759" s="1679"/>
      <c r="J759" s="1679"/>
      <c r="K759" s="50"/>
      <c r="L759" s="20"/>
      <c r="M759" s="50"/>
      <c r="N759" s="20"/>
      <c r="O759" s="16"/>
    </row>
    <row r="760" spans="1:15" s="41" customFormat="1" x14ac:dyDescent="0.2">
      <c r="A760" s="1112"/>
      <c r="B760" s="1200"/>
      <c r="C760" s="1121" t="s">
        <v>978</v>
      </c>
      <c r="D760" s="1296"/>
      <c r="E760" s="1911">
        <v>4996.3599999999997</v>
      </c>
      <c r="F760" s="1333"/>
      <c r="G760" s="1333">
        <v>6660</v>
      </c>
      <c r="H760" s="1984"/>
      <c r="I760" s="1679"/>
      <c r="J760" s="1679"/>
      <c r="K760" s="50"/>
      <c r="L760" s="20"/>
      <c r="M760" s="50"/>
      <c r="N760" s="20"/>
      <c r="O760" s="16"/>
    </row>
    <row r="761" spans="1:15" s="92" customFormat="1" ht="11.25" x14ac:dyDescent="0.2">
      <c r="A761" s="1102" t="s">
        <v>558</v>
      </c>
      <c r="B761" s="1102"/>
      <c r="C761" s="1102"/>
      <c r="D761" s="1098">
        <f>SUM(D764)+D763</f>
        <v>0</v>
      </c>
      <c r="E761" s="1842">
        <v>0</v>
      </c>
      <c r="F761" s="1317">
        <v>0</v>
      </c>
      <c r="G761" s="1320">
        <f>G764</f>
        <v>6890</v>
      </c>
      <c r="H761" s="1098">
        <f>SUM(H762:H764)</f>
        <v>50000</v>
      </c>
      <c r="I761" s="1098">
        <v>0</v>
      </c>
      <c r="J761" s="1098">
        <v>0</v>
      </c>
      <c r="K761" s="499"/>
      <c r="L761" s="499"/>
      <c r="M761" s="499"/>
      <c r="N761" s="499"/>
    </row>
    <row r="762" spans="1:15" s="92" customFormat="1" ht="11.25" x14ac:dyDescent="0.2">
      <c r="A762" s="1112">
        <v>717</v>
      </c>
      <c r="B762" s="1112" t="s">
        <v>91</v>
      </c>
      <c r="C762" s="1112" t="s">
        <v>688</v>
      </c>
      <c r="D762" s="1101">
        <v>0</v>
      </c>
      <c r="E762" s="1840"/>
      <c r="F762" s="1333"/>
      <c r="G762" s="1333"/>
      <c r="H762" s="1322">
        <v>50000</v>
      </c>
      <c r="I762" s="1101"/>
      <c r="J762" s="1101"/>
      <c r="K762" s="499"/>
      <c r="L762" s="499"/>
      <c r="M762" s="499"/>
      <c r="N762" s="499"/>
    </row>
    <row r="763" spans="1:15" s="92" customFormat="1" ht="11.25" x14ac:dyDescent="0.2">
      <c r="A763" s="1112">
        <v>717</v>
      </c>
      <c r="B763" s="1112" t="s">
        <v>91</v>
      </c>
      <c r="C763" s="1112" t="s">
        <v>805</v>
      </c>
      <c r="D763" s="1101">
        <v>0</v>
      </c>
      <c r="E763" s="1840"/>
      <c r="F763" s="1333"/>
      <c r="G763" s="1333"/>
      <c r="H763" s="1322"/>
      <c r="I763" s="1101"/>
      <c r="J763" s="1101"/>
      <c r="K763" s="499"/>
      <c r="L763" s="499"/>
      <c r="M763" s="499"/>
      <c r="N763" s="499"/>
    </row>
    <row r="764" spans="1:15" x14ac:dyDescent="0.2">
      <c r="A764" s="1074">
        <v>716</v>
      </c>
      <c r="B764" s="1074"/>
      <c r="C764" s="1074" t="s">
        <v>604</v>
      </c>
      <c r="D764" s="1070">
        <v>0</v>
      </c>
      <c r="E764" s="1301"/>
      <c r="F764" s="1333"/>
      <c r="G764" s="1333">
        <v>6890</v>
      </c>
      <c r="H764" s="1322"/>
      <c r="I764" s="1070"/>
      <c r="J764" s="1070"/>
      <c r="K764" s="48"/>
      <c r="L764" s="50"/>
      <c r="M764" s="50"/>
    </row>
    <row r="765" spans="1:15" hidden="1" x14ac:dyDescent="0.2">
      <c r="A765" s="1074"/>
      <c r="B765" s="1074"/>
      <c r="C765" s="1074"/>
      <c r="D765" s="1097"/>
      <c r="E765" s="1816"/>
      <c r="F765" s="1310"/>
      <c r="G765" s="1310"/>
      <c r="H765" s="1097"/>
      <c r="I765" s="1097"/>
      <c r="J765" s="1097"/>
      <c r="K765" s="48"/>
      <c r="L765" s="50"/>
      <c r="M765" s="50"/>
    </row>
    <row r="766" spans="1:15" s="92" customFormat="1" ht="11.25" x14ac:dyDescent="0.2">
      <c r="A766" s="1102" t="s">
        <v>572</v>
      </c>
      <c r="B766" s="1102"/>
      <c r="C766" s="1102"/>
      <c r="D766" s="1098">
        <f>D767+D769+D770+D773+D774</f>
        <v>3283</v>
      </c>
      <c r="E766" s="1842">
        <f>E767+E770+E773+E774</f>
        <v>1957.14</v>
      </c>
      <c r="F766" s="1317">
        <f>F767+F770+F773</f>
        <v>0</v>
      </c>
      <c r="G766" s="1317"/>
      <c r="H766" s="1098">
        <f>SUM(H767:H773)</f>
        <v>0</v>
      </c>
      <c r="I766" s="1098">
        <f>I767</f>
        <v>0</v>
      </c>
      <c r="J766" s="1098">
        <f>J767</f>
        <v>0</v>
      </c>
      <c r="K766" s="548"/>
      <c r="L766" s="548"/>
      <c r="M766" s="548"/>
      <c r="N766" s="549"/>
    </row>
    <row r="767" spans="1:15" x14ac:dyDescent="0.2">
      <c r="A767" s="1074">
        <v>717</v>
      </c>
      <c r="B767" s="1074" t="s">
        <v>94</v>
      </c>
      <c r="C767" s="1074" t="s">
        <v>323</v>
      </c>
      <c r="D767" s="1070">
        <v>0</v>
      </c>
      <c r="E767" s="1301">
        <v>0</v>
      </c>
      <c r="F767" s="1333">
        <v>0</v>
      </c>
      <c r="G767" s="1333"/>
      <c r="H767" s="1958">
        <v>0</v>
      </c>
      <c r="I767" s="1680">
        <v>0</v>
      </c>
      <c r="J767" s="1680">
        <v>0</v>
      </c>
      <c r="K767" s="48"/>
      <c r="L767" s="50"/>
      <c r="M767" s="50"/>
      <c r="N767" s="50"/>
    </row>
    <row r="768" spans="1:15" hidden="1" x14ac:dyDescent="0.2">
      <c r="A768" s="1074"/>
      <c r="B768" s="1074"/>
      <c r="C768" s="1074"/>
      <c r="D768" s="1097"/>
      <c r="E768" s="1804"/>
      <c r="F768" s="1333"/>
      <c r="G768" s="1333"/>
      <c r="H768" s="1958"/>
      <c r="I768" s="1650"/>
      <c r="J768" s="1650"/>
      <c r="K768" s="48"/>
      <c r="M768" s="50"/>
    </row>
    <row r="769" spans="1:15" x14ac:dyDescent="0.2">
      <c r="A769" s="1074">
        <v>717</v>
      </c>
      <c r="B769" s="1074" t="s">
        <v>91</v>
      </c>
      <c r="C769" s="1074" t="s">
        <v>692</v>
      </c>
      <c r="D769" s="1070">
        <v>0</v>
      </c>
      <c r="E769" s="1804"/>
      <c r="F769" s="1333"/>
      <c r="G769" s="1333"/>
      <c r="H769" s="1958"/>
      <c r="I769" s="1650"/>
      <c r="J769" s="1650"/>
      <c r="K769" s="48"/>
      <c r="M769" s="50"/>
    </row>
    <row r="770" spans="1:15" x14ac:dyDescent="0.2">
      <c r="A770" s="1074">
        <v>717</v>
      </c>
      <c r="B770" s="1074" t="s">
        <v>91</v>
      </c>
      <c r="C770" s="1074" t="s">
        <v>608</v>
      </c>
      <c r="D770" s="1070">
        <v>0</v>
      </c>
      <c r="E770" s="1301"/>
      <c r="F770" s="1333"/>
      <c r="G770" s="1333"/>
      <c r="H770" s="1958"/>
      <c r="I770" s="1680"/>
      <c r="J770" s="1680"/>
      <c r="K770" s="48"/>
      <c r="M770" s="50"/>
    </row>
    <row r="771" spans="1:15" x14ac:dyDescent="0.2">
      <c r="A771" s="1074"/>
      <c r="B771" s="1074"/>
      <c r="C771" s="1074" t="s">
        <v>806</v>
      </c>
      <c r="D771" s="1589">
        <v>0</v>
      </c>
      <c r="E771" s="1301"/>
      <c r="F771" s="1333"/>
      <c r="G771" s="1333"/>
      <c r="H771" s="1958"/>
      <c r="I771" s="1680"/>
      <c r="J771" s="1680"/>
      <c r="K771" s="48"/>
      <c r="M771" s="50"/>
    </row>
    <row r="772" spans="1:15" x14ac:dyDescent="0.2">
      <c r="A772" s="1074"/>
      <c r="B772" s="1074"/>
      <c r="C772" s="1074" t="s">
        <v>831</v>
      </c>
      <c r="D772" s="1589">
        <v>0</v>
      </c>
      <c r="E772" s="1301"/>
      <c r="F772" s="1333"/>
      <c r="G772" s="1333"/>
      <c r="H772" s="1958"/>
      <c r="I772" s="1680"/>
      <c r="J772" s="1680"/>
      <c r="K772" s="48"/>
      <c r="M772" s="50"/>
    </row>
    <row r="773" spans="1:15" x14ac:dyDescent="0.2">
      <c r="A773" s="1074">
        <v>717</v>
      </c>
      <c r="B773" s="1074" t="s">
        <v>91</v>
      </c>
      <c r="C773" s="1074" t="s">
        <v>770</v>
      </c>
      <c r="D773" s="1070">
        <v>0</v>
      </c>
      <c r="E773" s="1301">
        <v>0</v>
      </c>
      <c r="F773" s="1333">
        <v>0</v>
      </c>
      <c r="G773" s="1333"/>
      <c r="H773" s="1958"/>
      <c r="I773" s="1650"/>
      <c r="J773" s="1650"/>
      <c r="K773" s="48"/>
      <c r="M773" s="50"/>
    </row>
    <row r="774" spans="1:15" x14ac:dyDescent="0.2">
      <c r="A774" s="1074">
        <v>713</v>
      </c>
      <c r="B774" s="1074" t="s">
        <v>108</v>
      </c>
      <c r="C774" s="1074" t="s">
        <v>933</v>
      </c>
      <c r="D774" s="1070">
        <v>3283</v>
      </c>
      <c r="E774" s="1301">
        <v>1957.14</v>
      </c>
      <c r="F774" s="1333"/>
      <c r="G774" s="1333"/>
      <c r="H774" s="1958"/>
      <c r="I774" s="1650"/>
      <c r="J774" s="1650"/>
      <c r="K774" s="48"/>
      <c r="M774" s="50"/>
    </row>
    <row r="775" spans="1:15" s="546" customFormat="1" ht="11.25" x14ac:dyDescent="0.2">
      <c r="A775" s="1102" t="s">
        <v>577</v>
      </c>
      <c r="B775" s="1102"/>
      <c r="C775" s="1102"/>
      <c r="D775" s="1098">
        <f>D777+D779+D776</f>
        <v>20880</v>
      </c>
      <c r="E775" s="1842">
        <f>E777+E779+E776</f>
        <v>0</v>
      </c>
      <c r="F775" s="1317">
        <f>F777+F779+F776</f>
        <v>0</v>
      </c>
      <c r="G775" s="1317">
        <f>SUM(G776:G779)</f>
        <v>1300</v>
      </c>
      <c r="H775" s="1098">
        <f>SUM(H776:H780)</f>
        <v>310000</v>
      </c>
      <c r="I775" s="1098">
        <f>SUM(I776:I780)</f>
        <v>0</v>
      </c>
      <c r="J775" s="1098">
        <f>SUM(J776:J780)</f>
        <v>0</v>
      </c>
      <c r="K775" s="548"/>
      <c r="L775" s="548"/>
      <c r="M775" s="548"/>
      <c r="N775" s="548"/>
      <c r="O775" s="92"/>
    </row>
    <row r="776" spans="1:15" s="41" customFormat="1" x14ac:dyDescent="0.2">
      <c r="A776" s="1074">
        <v>716</v>
      </c>
      <c r="B776" s="1109"/>
      <c r="C776" s="1074" t="s">
        <v>607</v>
      </c>
      <c r="D776" s="1070">
        <v>20880</v>
      </c>
      <c r="E776" s="1301">
        <v>0</v>
      </c>
      <c r="F776" s="1333">
        <v>0</v>
      </c>
      <c r="G776" s="1333"/>
      <c r="H776" s="1322"/>
      <c r="I776" s="1070"/>
      <c r="J776" s="1070"/>
      <c r="K776" s="20"/>
      <c r="L776" s="50"/>
      <c r="M776" s="50"/>
      <c r="N776" s="50"/>
      <c r="O776" s="16"/>
    </row>
    <row r="777" spans="1:15" x14ac:dyDescent="0.2">
      <c r="A777" s="1074">
        <v>717</v>
      </c>
      <c r="B777" s="1074" t="s">
        <v>91</v>
      </c>
      <c r="C777" s="1074" t="s">
        <v>832</v>
      </c>
      <c r="D777" s="1070">
        <v>0</v>
      </c>
      <c r="E777" s="1301">
        <v>0</v>
      </c>
      <c r="F777" s="1333">
        <v>0</v>
      </c>
      <c r="G777" s="1333"/>
      <c r="H777" s="1322"/>
      <c r="I777" s="1070"/>
      <c r="J777" s="1070"/>
      <c r="K777" s="48"/>
      <c r="L777" s="50"/>
      <c r="M777" s="50"/>
      <c r="N777" s="50"/>
    </row>
    <row r="778" spans="1:15" x14ac:dyDescent="0.2">
      <c r="A778" s="1074"/>
      <c r="B778" s="1074"/>
      <c r="C778" s="1276" t="s">
        <v>806</v>
      </c>
      <c r="D778" s="1681">
        <v>0</v>
      </c>
      <c r="E778" s="1852">
        <v>0</v>
      </c>
      <c r="F778" s="1333">
        <v>0</v>
      </c>
      <c r="G778" s="1333"/>
      <c r="H778" s="1322"/>
      <c r="I778" s="1681"/>
      <c r="J778" s="1681"/>
      <c r="K778" s="48"/>
      <c r="L778" s="50"/>
      <c r="M778" s="50"/>
      <c r="N778" s="50"/>
    </row>
    <row r="779" spans="1:15" x14ac:dyDescent="0.2">
      <c r="A779" s="1074">
        <v>717</v>
      </c>
      <c r="B779" s="1074" t="s">
        <v>94</v>
      </c>
      <c r="C779" s="1074" t="s">
        <v>1451</v>
      </c>
      <c r="D779" s="1070"/>
      <c r="E779" s="1301"/>
      <c r="F779" s="1333"/>
      <c r="G779" s="1333">
        <v>1300</v>
      </c>
      <c r="H779" s="1322">
        <v>310000</v>
      </c>
      <c r="I779" s="1070"/>
      <c r="J779" s="1070"/>
      <c r="K779" s="48"/>
      <c r="L779" s="50"/>
      <c r="M779" s="50"/>
      <c r="N779" s="50"/>
    </row>
    <row r="780" spans="1:15" hidden="1" x14ac:dyDescent="0.2">
      <c r="A780" s="1110"/>
      <c r="B780" s="1110"/>
      <c r="C780" s="1110"/>
      <c r="D780" s="1070"/>
      <c r="E780" s="1853"/>
      <c r="F780" s="1310"/>
      <c r="G780" s="1310"/>
      <c r="H780" s="1070"/>
      <c r="I780" s="1070"/>
      <c r="J780" s="1070"/>
      <c r="K780" s="48"/>
      <c r="L780" s="50"/>
      <c r="M780" s="50"/>
      <c r="N780" s="50"/>
    </row>
    <row r="781" spans="1:15" hidden="1" x14ac:dyDescent="0.2">
      <c r="A781" s="1074"/>
      <c r="B781" s="1074"/>
      <c r="C781" s="1074"/>
      <c r="D781" s="1070"/>
      <c r="E781" s="1099"/>
      <c r="F781" s="1310"/>
      <c r="G781" s="1310"/>
      <c r="H781" s="1070"/>
      <c r="I781" s="1070"/>
      <c r="J781" s="1070"/>
      <c r="K781" s="48"/>
      <c r="L781" s="50"/>
      <c r="M781" s="50"/>
      <c r="N781" s="50"/>
    </row>
    <row r="782" spans="1:15" x14ac:dyDescent="0.2">
      <c r="A782" s="1102" t="s">
        <v>807</v>
      </c>
      <c r="B782" s="1102"/>
      <c r="C782" s="1102"/>
      <c r="D782" s="1098">
        <f>D783</f>
        <v>0</v>
      </c>
      <c r="E782" s="1842">
        <f>E783</f>
        <v>0</v>
      </c>
      <c r="F782" s="1320">
        <f>F783</f>
        <v>0</v>
      </c>
      <c r="G782" s="1320"/>
      <c r="H782" s="1098">
        <f>SUM(H783:H787)</f>
        <v>0</v>
      </c>
      <c r="I782" s="1098">
        <f>SUM(I783:I787)</f>
        <v>0</v>
      </c>
      <c r="J782" s="1098">
        <f>SUM(J783:J787)</f>
        <v>0</v>
      </c>
      <c r="K782" s="48"/>
      <c r="L782" s="50"/>
      <c r="M782" s="50"/>
      <c r="N782" s="50"/>
    </row>
    <row r="783" spans="1:15" x14ac:dyDescent="0.2">
      <c r="A783" s="1074">
        <v>713</v>
      </c>
      <c r="B783" s="1074" t="s">
        <v>108</v>
      </c>
      <c r="C783" s="1074" t="s">
        <v>450</v>
      </c>
      <c r="D783" s="1070">
        <v>0</v>
      </c>
      <c r="E783" s="1301">
        <v>0</v>
      </c>
      <c r="F783" s="1333">
        <v>0</v>
      </c>
      <c r="G783" s="1333"/>
      <c r="H783" s="1958">
        <v>0</v>
      </c>
      <c r="I783" s="1070">
        <v>0</v>
      </c>
      <c r="J783" s="1070">
        <v>0</v>
      </c>
      <c r="K783" s="48"/>
      <c r="L783" s="50"/>
      <c r="M783" s="50"/>
      <c r="N783" s="50"/>
    </row>
    <row r="784" spans="1:15" s="500" customFormat="1" x14ac:dyDescent="0.2">
      <c r="A784" s="1111" t="s">
        <v>609</v>
      </c>
      <c r="B784" s="1111"/>
      <c r="C784" s="1111"/>
      <c r="D784" s="1100">
        <f>SUM(D785:D790)</f>
        <v>0</v>
      </c>
      <c r="E784" s="1854">
        <f>SUM(E785:E789)</f>
        <v>0</v>
      </c>
      <c r="F784" s="1318">
        <f>SUM(F785:F789)</f>
        <v>0</v>
      </c>
      <c r="G784" s="1318"/>
      <c r="H784" s="1100">
        <f>SUM(H785:H790)</f>
        <v>0</v>
      </c>
      <c r="I784" s="1100">
        <f>SUM(I785:I790)</f>
        <v>0</v>
      </c>
      <c r="J784" s="1100">
        <f>SUM(J785:J790)</f>
        <v>0</v>
      </c>
      <c r="K784" s="550"/>
      <c r="L784" s="491"/>
      <c r="M784" s="491"/>
      <c r="N784" s="491"/>
    </row>
    <row r="785" spans="1:15" s="500" customFormat="1" x14ac:dyDescent="0.2">
      <c r="A785" s="1112">
        <v>717</v>
      </c>
      <c r="B785" s="1112" t="s">
        <v>94</v>
      </c>
      <c r="C785" s="1112" t="s">
        <v>412</v>
      </c>
      <c r="D785" s="1101">
        <v>0</v>
      </c>
      <c r="E785" s="1840">
        <v>0</v>
      </c>
      <c r="F785" s="1333">
        <v>0</v>
      </c>
      <c r="G785" s="1333"/>
      <c r="H785" s="1958">
        <v>0</v>
      </c>
      <c r="I785" s="1101">
        <v>0</v>
      </c>
      <c r="J785" s="1101">
        <v>0</v>
      </c>
      <c r="K785" s="550"/>
      <c r="L785" s="491"/>
      <c r="M785" s="491"/>
      <c r="N785" s="491"/>
    </row>
    <row r="786" spans="1:15" s="500" customFormat="1" x14ac:dyDescent="0.2">
      <c r="A786" s="1112">
        <v>717</v>
      </c>
      <c r="B786" s="1112" t="s">
        <v>94</v>
      </c>
      <c r="C786" s="1112" t="s">
        <v>412</v>
      </c>
      <c r="D786" s="1101">
        <v>0</v>
      </c>
      <c r="E786" s="1840">
        <v>0</v>
      </c>
      <c r="F786" s="1333">
        <v>0</v>
      </c>
      <c r="G786" s="1333"/>
      <c r="H786" s="1958">
        <v>0</v>
      </c>
      <c r="I786" s="1101">
        <v>0</v>
      </c>
      <c r="J786" s="1101">
        <v>0</v>
      </c>
      <c r="K786" s="550"/>
      <c r="L786" s="491"/>
      <c r="M786" s="491"/>
      <c r="N786" s="491"/>
    </row>
    <row r="787" spans="1:15" s="500" customFormat="1" x14ac:dyDescent="0.2">
      <c r="A787" s="1112">
        <v>716</v>
      </c>
      <c r="B787" s="1112"/>
      <c r="C787" s="1112" t="s">
        <v>323</v>
      </c>
      <c r="D787" s="1101">
        <v>0</v>
      </c>
      <c r="E787" s="1840">
        <v>0</v>
      </c>
      <c r="F787" s="1333">
        <v>0</v>
      </c>
      <c r="G787" s="1333"/>
      <c r="H787" s="1958">
        <v>0</v>
      </c>
      <c r="I787" s="1101">
        <v>0</v>
      </c>
      <c r="J787" s="1101">
        <v>0</v>
      </c>
      <c r="K787" s="550"/>
      <c r="L787" s="491"/>
      <c r="M787" s="491"/>
      <c r="N787" s="491"/>
    </row>
    <row r="788" spans="1:15" s="500" customFormat="1" x14ac:dyDescent="0.2">
      <c r="A788" s="1112">
        <v>713</v>
      </c>
      <c r="B788" s="1112" t="s">
        <v>108</v>
      </c>
      <c r="C788" s="1112" t="s">
        <v>450</v>
      </c>
      <c r="D788" s="1101">
        <v>0</v>
      </c>
      <c r="E788" s="1840">
        <v>0</v>
      </c>
      <c r="F788" s="1333">
        <v>0</v>
      </c>
      <c r="G788" s="1333"/>
      <c r="H788" s="1958">
        <v>0</v>
      </c>
      <c r="I788" s="1101">
        <v>0</v>
      </c>
      <c r="J788" s="1101">
        <v>0</v>
      </c>
      <c r="K788" s="550"/>
      <c r="L788" s="491"/>
      <c r="M788" s="491"/>
      <c r="N788" s="491"/>
    </row>
    <row r="789" spans="1:15" x14ac:dyDescent="0.2">
      <c r="A789" s="1074">
        <v>719</v>
      </c>
      <c r="B789" s="1074" t="s">
        <v>108</v>
      </c>
      <c r="C789" s="1074" t="s">
        <v>655</v>
      </c>
      <c r="D789" s="1070">
        <v>0</v>
      </c>
      <c r="E789" s="1301">
        <v>0</v>
      </c>
      <c r="F789" s="1333">
        <v>0</v>
      </c>
      <c r="G789" s="1333"/>
      <c r="H789" s="1958">
        <v>0</v>
      </c>
      <c r="I789" s="1070">
        <v>0</v>
      </c>
      <c r="J789" s="1070">
        <v>0</v>
      </c>
      <c r="K789" s="48"/>
      <c r="L789" s="50"/>
      <c r="M789" s="50"/>
      <c r="N789" s="50"/>
    </row>
    <row r="790" spans="1:15" hidden="1" x14ac:dyDescent="0.2">
      <c r="A790" s="1074"/>
      <c r="B790" s="1074"/>
      <c r="C790" s="1074"/>
      <c r="D790" s="1070"/>
      <c r="E790" s="1853"/>
      <c r="F790" s="1310"/>
      <c r="G790" s="1310"/>
      <c r="H790" s="1070"/>
      <c r="I790" s="1070"/>
      <c r="J790" s="1070"/>
      <c r="K790" s="48"/>
      <c r="L790" s="50"/>
      <c r="M790" s="50"/>
      <c r="N790" s="50"/>
    </row>
    <row r="791" spans="1:15" s="33" customFormat="1" x14ac:dyDescent="0.2">
      <c r="A791" s="1668" t="s">
        <v>610</v>
      </c>
      <c r="B791" s="1669"/>
      <c r="C791" s="1668"/>
      <c r="D791" s="1670">
        <f>D695+D702+D716+D720+D723+D736+D761+D766+D775+D784+D714+D731+D745+D748+D709+D782+D757</f>
        <v>134227</v>
      </c>
      <c r="E791" s="1841">
        <f>E695+E702+E716+E720+E723+E736+E761+E766+E775+E784+E731+E748+E745+E709+E782+E757</f>
        <v>83284.52</v>
      </c>
      <c r="F791" s="1672">
        <f>F695+F702+F716+F720+F723+F736+F761+F766+F775+F784+F731+F748+F745+F709+F782</f>
        <v>0</v>
      </c>
      <c r="G791" s="1672">
        <f>G695+G702+G716+G720+G723+G736+G761+G766+G775+G784+G714+G731+G745+G748+G709+G782+G757</f>
        <v>26931.200000000001</v>
      </c>
      <c r="H791" s="1670">
        <f>H695+H702+H716+H720+H723+H736+H761+H766+H775+H784+H731+H748+H745+H709</f>
        <v>380966.40000000002</v>
      </c>
      <c r="I791" s="1670">
        <f>I695+I702+I716+I720+I723+I736+I761+I766+I775+I784+I731+I748+I745+I709</f>
        <v>2000</v>
      </c>
      <c r="J791" s="1670">
        <f>J695+J702+J716+J720+J723+J736+J761+J766+J775+J784+J731+J748+J745+J709</f>
        <v>2000</v>
      </c>
      <c r="K791" s="20"/>
      <c r="L791" s="471"/>
      <c r="M791" s="471"/>
      <c r="N791" s="471"/>
      <c r="O791" s="94"/>
    </row>
    <row r="792" spans="1:15" s="33" customFormat="1" hidden="1" x14ac:dyDescent="0.2">
      <c r="A792" s="88"/>
      <c r="B792" s="20"/>
      <c r="C792" s="88"/>
      <c r="D792" s="65"/>
      <c r="E792" s="34"/>
      <c r="F792" s="1277"/>
      <c r="G792" s="1277"/>
      <c r="H792" s="65"/>
      <c r="I792" s="65"/>
      <c r="J792" s="65"/>
      <c r="K792" s="20"/>
      <c r="L792" s="471"/>
      <c r="M792" s="471"/>
      <c r="N792" s="471"/>
      <c r="O792" s="94"/>
    </row>
    <row r="793" spans="1:15" s="33" customFormat="1" hidden="1" x14ac:dyDescent="0.2">
      <c r="A793" s="88"/>
      <c r="B793" s="20"/>
      <c r="C793" s="88"/>
      <c r="D793" s="65"/>
      <c r="E793" s="34"/>
      <c r="F793" s="1277"/>
      <c r="G793" s="1277"/>
      <c r="H793" s="65"/>
      <c r="I793" s="65"/>
      <c r="J793" s="65"/>
      <c r="K793" s="20"/>
      <c r="L793" s="471"/>
      <c r="M793" s="471"/>
      <c r="N793" s="471"/>
      <c r="O793" s="94"/>
    </row>
    <row r="794" spans="1:15" s="33" customFormat="1" x14ac:dyDescent="0.2">
      <c r="A794" s="16"/>
      <c r="B794" s="16"/>
      <c r="C794" s="16"/>
      <c r="D794" s="461"/>
      <c r="E794" s="461"/>
      <c r="F794" s="1331"/>
      <c r="G794" s="1331"/>
      <c r="H794" s="461"/>
      <c r="I794" s="462"/>
      <c r="J794" s="462"/>
      <c r="K794" s="50"/>
      <c r="L794" s="20"/>
      <c r="M794" s="20"/>
      <c r="N794" s="20"/>
      <c r="O794" s="16"/>
    </row>
    <row r="795" spans="1:15" s="33" customFormat="1" hidden="1" x14ac:dyDescent="0.2">
      <c r="A795" s="16"/>
      <c r="B795" s="16"/>
      <c r="C795" s="16"/>
      <c r="D795" s="461"/>
      <c r="E795" s="461"/>
      <c r="F795" s="1331"/>
      <c r="G795" s="1331"/>
      <c r="H795" s="461"/>
      <c r="I795" s="462"/>
      <c r="J795" s="462"/>
      <c r="K795" s="50"/>
      <c r="L795" s="20"/>
      <c r="M795" s="20"/>
      <c r="N795" s="20"/>
      <c r="O795" s="16"/>
    </row>
    <row r="796" spans="1:15" s="33" customFormat="1" hidden="1" x14ac:dyDescent="0.2">
      <c r="A796" s="16"/>
      <c r="B796" s="16"/>
      <c r="C796" s="16"/>
      <c r="D796" s="461"/>
      <c r="E796" s="461"/>
      <c r="F796" s="1331"/>
      <c r="G796" s="1331"/>
      <c r="H796" s="461"/>
      <c r="I796" s="462"/>
      <c r="J796" s="462"/>
      <c r="K796" s="50"/>
      <c r="L796" s="20"/>
      <c r="M796" s="20"/>
      <c r="N796" s="20"/>
      <c r="O796" s="16"/>
    </row>
    <row r="797" spans="1:15" s="33" customFormat="1" hidden="1" x14ac:dyDescent="0.2">
      <c r="A797" s="16"/>
      <c r="B797" s="16"/>
      <c r="C797" s="16"/>
      <c r="D797" s="461"/>
      <c r="E797" s="461"/>
      <c r="F797" s="1331"/>
      <c r="G797" s="1331"/>
      <c r="H797" s="461"/>
      <c r="I797" s="462"/>
      <c r="J797" s="462"/>
      <c r="K797" s="50"/>
      <c r="L797" s="20"/>
      <c r="M797" s="20"/>
      <c r="N797" s="20"/>
      <c r="O797" s="16"/>
    </row>
    <row r="798" spans="1:15" s="33" customFormat="1" hidden="1" x14ac:dyDescent="0.2">
      <c r="A798" s="16"/>
      <c r="B798" s="16"/>
      <c r="C798" s="16"/>
      <c r="D798" s="461"/>
      <c r="E798" s="461"/>
      <c r="F798" s="1331"/>
      <c r="G798" s="1331"/>
      <c r="H798" s="461"/>
      <c r="I798" s="462"/>
      <c r="J798" s="462"/>
      <c r="K798" s="50"/>
      <c r="L798" s="20"/>
      <c r="M798" s="20"/>
      <c r="N798" s="20"/>
      <c r="O798" s="16"/>
    </row>
    <row r="799" spans="1:15" s="33" customFormat="1" hidden="1" x14ac:dyDescent="0.2">
      <c r="A799" s="16"/>
      <c r="B799" s="16"/>
      <c r="C799" s="16"/>
      <c r="D799" s="461"/>
      <c r="E799" s="461"/>
      <c r="F799" s="1331"/>
      <c r="G799" s="1331"/>
      <c r="H799" s="461"/>
      <c r="I799" s="462"/>
      <c r="J799" s="462"/>
      <c r="K799" s="50"/>
      <c r="L799" s="20"/>
      <c r="M799" s="20"/>
      <c r="N799" s="20"/>
      <c r="O799" s="16"/>
    </row>
    <row r="800" spans="1:15" s="33" customFormat="1" hidden="1" x14ac:dyDescent="0.2">
      <c r="A800" s="16"/>
      <c r="B800" s="16"/>
      <c r="C800" s="16"/>
      <c r="D800" s="461"/>
      <c r="E800" s="461"/>
      <c r="F800" s="1331"/>
      <c r="G800" s="1331"/>
      <c r="H800" s="461"/>
      <c r="I800" s="462"/>
      <c r="J800" s="462"/>
      <c r="K800" s="50"/>
      <c r="L800" s="20"/>
      <c r="M800" s="20"/>
      <c r="N800" s="20"/>
      <c r="O800" s="16"/>
    </row>
    <row r="801" spans="1:15" s="33" customFormat="1" hidden="1" x14ac:dyDescent="0.2">
      <c r="A801" s="16"/>
      <c r="B801" s="16"/>
      <c r="C801" s="16"/>
      <c r="D801" s="461"/>
      <c r="E801" s="461"/>
      <c r="F801" s="1331"/>
      <c r="G801" s="1331"/>
      <c r="H801" s="461"/>
      <c r="I801" s="462"/>
      <c r="J801" s="462"/>
      <c r="K801" s="50"/>
      <c r="L801" s="20"/>
      <c r="M801" s="20"/>
      <c r="N801" s="20"/>
      <c r="O801" s="16"/>
    </row>
    <row r="802" spans="1:15" s="33" customFormat="1" hidden="1" x14ac:dyDescent="0.2">
      <c r="A802" s="16"/>
      <c r="B802" s="16"/>
      <c r="C802" s="16"/>
      <c r="D802" s="461"/>
      <c r="E802" s="461"/>
      <c r="F802" s="1331"/>
      <c r="G802" s="1331"/>
      <c r="H802" s="461"/>
      <c r="I802" s="462"/>
      <c r="J802" s="462"/>
      <c r="K802" s="50"/>
      <c r="L802" s="20"/>
      <c r="M802" s="20"/>
      <c r="N802" s="20"/>
      <c r="O802" s="16"/>
    </row>
    <row r="803" spans="1:15" s="33" customFormat="1" x14ac:dyDescent="0.2">
      <c r="A803" s="16"/>
      <c r="B803" s="16"/>
      <c r="C803" s="464" t="s">
        <v>611</v>
      </c>
      <c r="D803" s="461"/>
      <c r="E803" s="461"/>
      <c r="F803" s="1331"/>
      <c r="G803" s="1331"/>
      <c r="H803" s="461"/>
      <c r="I803" s="462"/>
      <c r="J803" s="462"/>
      <c r="K803" s="50"/>
      <c r="L803" s="20"/>
      <c r="M803" s="20"/>
      <c r="N803" s="20"/>
      <c r="O803" s="16"/>
    </row>
    <row r="804" spans="1:15" s="33" customFormat="1" hidden="1" x14ac:dyDescent="0.2">
      <c r="A804" s="16"/>
      <c r="B804" s="16"/>
      <c r="C804" s="16"/>
      <c r="D804" s="461"/>
      <c r="E804" s="461"/>
      <c r="F804" s="1304"/>
      <c r="G804" s="1304"/>
      <c r="H804" s="461"/>
      <c r="I804" s="462"/>
      <c r="J804" s="462"/>
      <c r="K804" s="50"/>
      <c r="L804" s="20"/>
      <c r="M804" s="20"/>
      <c r="N804" s="20"/>
      <c r="O804" s="16"/>
    </row>
    <row r="805" spans="1:15" s="497" customFormat="1" x14ac:dyDescent="0.2">
      <c r="A805" s="1544" t="s">
        <v>433</v>
      </c>
      <c r="B805" s="1545"/>
      <c r="C805" s="1546"/>
      <c r="D805" s="1724">
        <v>2022</v>
      </c>
      <c r="E805" s="1915" t="s">
        <v>983</v>
      </c>
      <c r="F805" s="1549">
        <v>2024</v>
      </c>
      <c r="G805" s="1549" t="s">
        <v>984</v>
      </c>
      <c r="H805" s="1724">
        <v>2025</v>
      </c>
      <c r="I805" s="1724">
        <v>2026</v>
      </c>
      <c r="J805" s="1724">
        <v>2027</v>
      </c>
      <c r="K805" s="495"/>
      <c r="L805" s="496"/>
      <c r="M805" s="467"/>
      <c r="N805" s="468"/>
    </row>
    <row r="806" spans="1:15" s="1354" customFormat="1" ht="11.25" x14ac:dyDescent="0.2">
      <c r="A806" s="1346">
        <v>811</v>
      </c>
      <c r="B806" s="1347"/>
      <c r="C806" s="1355" t="s">
        <v>882</v>
      </c>
      <c r="D806" s="1345">
        <v>5999</v>
      </c>
      <c r="E806" s="1855">
        <v>2881.46</v>
      </c>
      <c r="F806" s="1349"/>
      <c r="G806" s="1349"/>
      <c r="H806" s="1985"/>
      <c r="I806" s="1348"/>
      <c r="J806" s="1348"/>
      <c r="K806" s="1350"/>
      <c r="L806" s="1351"/>
      <c r="M806" s="1352"/>
      <c r="N806" s="1353"/>
    </row>
    <row r="807" spans="1:15" s="41" customFormat="1" x14ac:dyDescent="0.2">
      <c r="A807" s="1074">
        <v>819</v>
      </c>
      <c r="B807" s="1074"/>
      <c r="C807" s="1074" t="s">
        <v>808</v>
      </c>
      <c r="D807" s="1071">
        <v>0</v>
      </c>
      <c r="E807" s="1301">
        <v>1864.24</v>
      </c>
      <c r="F807" s="1333">
        <v>0</v>
      </c>
      <c r="G807" s="1333"/>
      <c r="H807" s="1322"/>
      <c r="I807" s="1070"/>
      <c r="J807" s="1070"/>
      <c r="K807" s="20"/>
      <c r="L807" s="58"/>
      <c r="M807" s="50"/>
      <c r="N807" s="50"/>
      <c r="O807" s="16"/>
    </row>
    <row r="808" spans="1:15" s="41" customFormat="1" x14ac:dyDescent="0.2">
      <c r="A808" s="1074">
        <v>819</v>
      </c>
      <c r="B808" s="1074" t="s">
        <v>117</v>
      </c>
      <c r="C808" s="1074" t="s">
        <v>788</v>
      </c>
      <c r="D808" s="1071">
        <v>10</v>
      </c>
      <c r="E808" s="1301">
        <v>0</v>
      </c>
      <c r="F808" s="1333">
        <v>0</v>
      </c>
      <c r="G808" s="1333"/>
      <c r="H808" s="1310">
        <v>0</v>
      </c>
      <c r="I808" s="1070">
        <v>0</v>
      </c>
      <c r="J808" s="1070">
        <v>0</v>
      </c>
      <c r="K808" s="20"/>
      <c r="L808" s="58"/>
      <c r="M808" s="50"/>
      <c r="N808" s="50"/>
      <c r="O808" s="16"/>
    </row>
    <row r="809" spans="1:15" s="41" customFormat="1" x14ac:dyDescent="0.2">
      <c r="A809" s="1074">
        <v>814</v>
      </c>
      <c r="B809" s="1074" t="s">
        <v>91</v>
      </c>
      <c r="C809" s="1074" t="s">
        <v>778</v>
      </c>
      <c r="D809" s="1071">
        <v>46900</v>
      </c>
      <c r="E809" s="1301">
        <v>55200</v>
      </c>
      <c r="F809" s="1333">
        <v>55200</v>
      </c>
      <c r="G809" s="1333">
        <v>55200</v>
      </c>
      <c r="H809" s="1322">
        <v>55200</v>
      </c>
      <c r="I809" s="1070">
        <v>35000</v>
      </c>
      <c r="J809" s="1070">
        <v>20000</v>
      </c>
      <c r="K809" s="20"/>
      <c r="L809" s="58"/>
      <c r="M809" s="50"/>
      <c r="N809" s="50"/>
      <c r="O809" s="16"/>
    </row>
    <row r="810" spans="1:15" s="41" customFormat="1" x14ac:dyDescent="0.2">
      <c r="A810" s="1074">
        <v>812</v>
      </c>
      <c r="B810" s="1074"/>
      <c r="C810" s="1074" t="s">
        <v>934</v>
      </c>
      <c r="D810" s="1071">
        <v>3000</v>
      </c>
      <c r="E810" s="1301">
        <v>3386.17</v>
      </c>
      <c r="F810" s="1333">
        <v>3300</v>
      </c>
      <c r="G810" s="1333">
        <v>3387</v>
      </c>
      <c r="H810" s="1322">
        <v>300</v>
      </c>
      <c r="I810" s="1070">
        <v>0</v>
      </c>
      <c r="J810" s="1070">
        <v>0</v>
      </c>
      <c r="K810" s="20"/>
      <c r="L810" s="58"/>
      <c r="M810" s="50"/>
      <c r="N810" s="50"/>
      <c r="O810" s="16"/>
    </row>
    <row r="811" spans="1:15" s="41" customFormat="1" x14ac:dyDescent="0.2">
      <c r="A811" s="1074">
        <v>811</v>
      </c>
      <c r="B811" s="1074"/>
      <c r="C811" s="1074" t="s">
        <v>1002</v>
      </c>
      <c r="D811" s="1074"/>
      <c r="E811" s="1099"/>
      <c r="F811" s="914"/>
      <c r="G811" s="1071">
        <v>2700</v>
      </c>
      <c r="H811" s="1698"/>
      <c r="I811" s="1074"/>
      <c r="J811" s="1074"/>
      <c r="K811" s="20"/>
      <c r="L811" s="58"/>
      <c r="M811" s="50"/>
      <c r="N811" s="50"/>
      <c r="O811" s="16"/>
    </row>
    <row r="812" spans="1:15" s="41" customFormat="1" x14ac:dyDescent="0.2">
      <c r="A812" s="1074">
        <v>821</v>
      </c>
      <c r="B812" s="1074">
        <v>10</v>
      </c>
      <c r="C812" s="1074" t="s">
        <v>1018</v>
      </c>
      <c r="D812" s="1074"/>
      <c r="E812" s="1886">
        <v>72342.87</v>
      </c>
      <c r="F812" s="914"/>
      <c r="G812" s="1071">
        <v>50000</v>
      </c>
      <c r="H812" s="2203">
        <v>32501</v>
      </c>
      <c r="I812" s="1074"/>
      <c r="J812" s="1074"/>
      <c r="K812" s="20"/>
      <c r="L812" s="58"/>
      <c r="M812" s="50"/>
      <c r="N812" s="50"/>
      <c r="O812" s="16"/>
    </row>
    <row r="813" spans="1:15" s="41" customFormat="1" x14ac:dyDescent="0.2">
      <c r="A813" s="1074">
        <v>821</v>
      </c>
      <c r="B813" s="1074"/>
      <c r="C813" s="1074" t="s">
        <v>833</v>
      </c>
      <c r="D813" s="1071">
        <v>86592</v>
      </c>
      <c r="E813" s="1301">
        <v>95004</v>
      </c>
      <c r="F813" s="1333">
        <v>95004</v>
      </c>
      <c r="G813" s="1333">
        <v>95004</v>
      </c>
      <c r="H813" s="1322">
        <v>95004</v>
      </c>
      <c r="I813" s="1071">
        <v>95004</v>
      </c>
      <c r="J813" s="1071">
        <v>95004</v>
      </c>
      <c r="K813" s="20"/>
      <c r="L813" s="58"/>
      <c r="M813" s="58"/>
      <c r="N813" s="58"/>
      <c r="O813" s="16"/>
    </row>
    <row r="814" spans="1:15" x14ac:dyDescent="0.2">
      <c r="A814" s="1668" t="s">
        <v>612</v>
      </c>
      <c r="B814" s="1668"/>
      <c r="C814" s="1668"/>
      <c r="D814" s="1682">
        <f>SUM(D807:D813)+D806</f>
        <v>142501</v>
      </c>
      <c r="E814" s="1768">
        <f>E807+E813+E809+E810+E806+E811+E808+E812</f>
        <v>230678.74</v>
      </c>
      <c r="F814" s="1683">
        <f>F807+F813+F809+F810+F806+F811</f>
        <v>153504</v>
      </c>
      <c r="G814" s="1683">
        <f>G807+G813+G809+G810+G806+G811+G812</f>
        <v>206291</v>
      </c>
      <c r="H814" s="1682">
        <f>H807+H813+H809+H810+H806+H811+H812</f>
        <v>183005</v>
      </c>
      <c r="I814" s="1682">
        <f>I807+I813+I809+I810+I806+I811</f>
        <v>130004</v>
      </c>
      <c r="J814" s="1682">
        <f>J807+J813+J809+J810+J806+J811</f>
        <v>115004</v>
      </c>
      <c r="K814" s="491"/>
      <c r="L814" s="471"/>
      <c r="M814" s="471"/>
      <c r="N814" s="471"/>
    </row>
    <row r="815" spans="1:15" x14ac:dyDescent="0.2">
      <c r="A815" s="88"/>
      <c r="B815" s="20"/>
      <c r="C815" s="88"/>
      <c r="D815" s="83"/>
      <c r="E815" s="83"/>
      <c r="F815" s="1311"/>
      <c r="G815" s="1311"/>
      <c r="H815" s="83"/>
      <c r="I815" s="83"/>
      <c r="J815" s="83"/>
      <c r="K815" s="491"/>
      <c r="L815" s="471"/>
      <c r="M815" s="471"/>
      <c r="N815" s="471"/>
    </row>
    <row r="816" spans="1:15" hidden="1" x14ac:dyDescent="0.2">
      <c r="A816" s="88"/>
      <c r="B816" s="20"/>
      <c r="C816" s="88"/>
      <c r="D816" s="83"/>
      <c r="E816" s="83"/>
      <c r="F816" s="1311"/>
      <c r="G816" s="1311"/>
      <c r="H816" s="83"/>
      <c r="I816" s="83"/>
      <c r="J816" s="83"/>
      <c r="K816" s="491"/>
      <c r="L816" s="471"/>
      <c r="M816" s="471"/>
      <c r="N816" s="471"/>
    </row>
    <row r="817" spans="1:14" hidden="1" x14ac:dyDescent="0.2">
      <c r="A817" s="88"/>
      <c r="B817" s="20"/>
      <c r="C817" s="88"/>
      <c r="D817" s="83"/>
      <c r="E817" s="83"/>
      <c r="F817" s="1311"/>
      <c r="G817" s="1311"/>
      <c r="H817" s="83"/>
      <c r="I817" s="83"/>
      <c r="J817" s="83"/>
      <c r="K817" s="491"/>
      <c r="L817" s="471"/>
      <c r="M817" s="471"/>
      <c r="N817" s="471"/>
    </row>
    <row r="818" spans="1:14" hidden="1" x14ac:dyDescent="0.2">
      <c r="A818" s="88"/>
      <c r="B818" s="20"/>
      <c r="C818" s="88"/>
      <c r="D818" s="83"/>
      <c r="E818" s="83"/>
      <c r="F818" s="1311"/>
      <c r="G818" s="1311"/>
      <c r="H818" s="83"/>
      <c r="I818" s="83"/>
      <c r="J818" s="83"/>
      <c r="K818" s="491"/>
      <c r="L818" s="471"/>
      <c r="M818" s="471"/>
      <c r="N818" s="471"/>
    </row>
    <row r="819" spans="1:14" hidden="1" x14ac:dyDescent="0.2">
      <c r="A819" s="88"/>
      <c r="B819" s="20"/>
      <c r="C819" s="88"/>
      <c r="D819" s="83"/>
      <c r="E819" s="83"/>
      <c r="F819" s="1311"/>
      <c r="G819" s="1311"/>
      <c r="H819" s="83"/>
      <c r="I819" s="83"/>
      <c r="J819" s="83"/>
      <c r="K819" s="491"/>
      <c r="L819" s="471"/>
      <c r="M819" s="471"/>
      <c r="N819" s="471"/>
    </row>
    <row r="820" spans="1:14" hidden="1" x14ac:dyDescent="0.2">
      <c r="A820" s="88"/>
      <c r="B820" s="20"/>
      <c r="C820" s="88"/>
      <c r="D820" s="83"/>
      <c r="E820" s="83"/>
      <c r="F820" s="1311"/>
      <c r="G820" s="1311"/>
      <c r="H820" s="83"/>
      <c r="I820" s="83"/>
      <c r="J820" s="83"/>
      <c r="K820" s="491"/>
      <c r="L820" s="471"/>
      <c r="M820" s="471"/>
      <c r="N820" s="471"/>
    </row>
    <row r="821" spans="1:14" hidden="1" x14ac:dyDescent="0.2">
      <c r="A821" s="88"/>
      <c r="B821" s="20"/>
      <c r="C821" s="88"/>
      <c r="D821" s="83"/>
      <c r="E821" s="83"/>
      <c r="F821" s="1311"/>
      <c r="G821" s="1311"/>
      <c r="H821" s="83"/>
      <c r="I821" s="83"/>
      <c r="J821" s="83"/>
      <c r="K821" s="491"/>
      <c r="L821" s="471"/>
      <c r="M821" s="471"/>
      <c r="N821" s="471"/>
    </row>
    <row r="822" spans="1:14" hidden="1" x14ac:dyDescent="0.2">
      <c r="A822" s="88"/>
      <c r="B822" s="20"/>
      <c r="C822" s="88"/>
      <c r="D822" s="83"/>
      <c r="E822" s="83"/>
      <c r="F822" s="1311"/>
      <c r="G822" s="1311"/>
      <c r="H822" s="83"/>
      <c r="I822" s="83"/>
      <c r="J822" s="83"/>
      <c r="K822" s="491"/>
      <c r="L822" s="471"/>
      <c r="M822" s="471"/>
      <c r="N822" s="471"/>
    </row>
    <row r="823" spans="1:14" hidden="1" x14ac:dyDescent="0.2">
      <c r="A823" s="88"/>
      <c r="B823" s="20"/>
      <c r="C823" s="88"/>
      <c r="D823" s="83"/>
      <c r="E823" s="83"/>
      <c r="F823" s="1311"/>
      <c r="G823" s="1311"/>
      <c r="H823" s="83"/>
      <c r="I823" s="83"/>
      <c r="J823" s="83"/>
      <c r="K823" s="491"/>
      <c r="L823" s="471"/>
      <c r="M823" s="471"/>
      <c r="N823" s="471"/>
    </row>
    <row r="824" spans="1:14" hidden="1" x14ac:dyDescent="0.2">
      <c r="A824" s="88"/>
      <c r="B824" s="20"/>
      <c r="C824" s="88"/>
      <c r="D824" s="83"/>
      <c r="E824" s="83"/>
      <c r="F824" s="1311"/>
      <c r="G824" s="1311"/>
      <c r="H824" s="83"/>
      <c r="I824" s="83"/>
      <c r="J824" s="83"/>
      <c r="K824" s="491"/>
      <c r="L824" s="471"/>
      <c r="M824" s="471"/>
      <c r="N824" s="471"/>
    </row>
    <row r="825" spans="1:14" hidden="1" x14ac:dyDescent="0.2">
      <c r="A825" s="88"/>
      <c r="B825" s="20"/>
      <c r="C825" s="88"/>
      <c r="D825" s="83"/>
      <c r="E825" s="83"/>
      <c r="F825" s="1311"/>
      <c r="G825" s="1311"/>
      <c r="H825" s="83"/>
      <c r="I825" s="83"/>
      <c r="J825" s="83"/>
      <c r="K825" s="491"/>
      <c r="L825" s="471"/>
      <c r="M825" s="471"/>
      <c r="N825" s="471"/>
    </row>
    <row r="826" spans="1:14" hidden="1" x14ac:dyDescent="0.2">
      <c r="A826" s="88"/>
      <c r="B826" s="20"/>
      <c r="C826" s="88"/>
      <c r="D826" s="83"/>
      <c r="E826" s="83"/>
      <c r="F826" s="1311"/>
      <c r="G826" s="1311"/>
      <c r="H826" s="83"/>
      <c r="I826" s="83"/>
      <c r="J826" s="83"/>
      <c r="K826" s="491"/>
      <c r="L826" s="471"/>
      <c r="M826" s="471"/>
      <c r="N826" s="471"/>
    </row>
    <row r="827" spans="1:14" hidden="1" x14ac:dyDescent="0.2">
      <c r="A827" s="88"/>
      <c r="B827" s="20"/>
      <c r="C827" s="88"/>
      <c r="D827" s="83"/>
      <c r="E827" s="83"/>
      <c r="F827" s="1311"/>
      <c r="G827" s="1311"/>
      <c r="H827" s="83"/>
      <c r="I827" s="83"/>
      <c r="J827" s="83"/>
      <c r="K827" s="491"/>
      <c r="L827" s="471"/>
      <c r="M827" s="471"/>
      <c r="N827" s="471"/>
    </row>
    <row r="828" spans="1:14" hidden="1" x14ac:dyDescent="0.2">
      <c r="A828" s="88"/>
      <c r="B828" s="20"/>
      <c r="C828" s="88"/>
      <c r="D828" s="83"/>
      <c r="E828" s="83"/>
      <c r="F828" s="1311"/>
      <c r="G828" s="1311"/>
      <c r="H828" s="83"/>
      <c r="I828" s="83"/>
      <c r="J828" s="83"/>
      <c r="K828" s="491"/>
      <c r="L828" s="471"/>
      <c r="M828" s="471"/>
      <c r="N828" s="471"/>
    </row>
    <row r="829" spans="1:14" x14ac:dyDescent="0.2">
      <c r="A829" s="41"/>
      <c r="B829" s="41"/>
      <c r="C829" s="41"/>
      <c r="D829" s="533"/>
      <c r="E829" s="533"/>
      <c r="F829" s="1311"/>
      <c r="G829" s="1311"/>
      <c r="H829" s="533"/>
      <c r="I829" s="45"/>
      <c r="J829" s="45"/>
    </row>
    <row r="830" spans="1:14" hidden="1" x14ac:dyDescent="0.2">
      <c r="A830" s="41"/>
      <c r="B830" s="41"/>
      <c r="C830" s="41"/>
      <c r="D830" s="533"/>
      <c r="E830" s="533"/>
      <c r="H830" s="533"/>
      <c r="I830" s="45"/>
      <c r="J830" s="45"/>
    </row>
    <row r="831" spans="1:14" hidden="1" x14ac:dyDescent="0.2">
      <c r="A831" s="41"/>
      <c r="B831" s="41"/>
      <c r="C831" s="41"/>
      <c r="D831" s="533"/>
      <c r="E831" s="533"/>
      <c r="H831" s="533"/>
      <c r="I831" s="45"/>
      <c r="J831" s="45"/>
    </row>
    <row r="832" spans="1:14" s="497" customFormat="1" x14ac:dyDescent="0.2">
      <c r="A832" s="1684" t="s">
        <v>439</v>
      </c>
      <c r="B832" s="1685"/>
      <c r="C832" s="1685"/>
      <c r="D832" s="1686">
        <v>2022</v>
      </c>
      <c r="E832" s="1856" t="s">
        <v>983</v>
      </c>
      <c r="F832" s="1687">
        <v>2024</v>
      </c>
      <c r="G832" s="1687" t="s">
        <v>984</v>
      </c>
      <c r="H832" s="1686">
        <v>2025</v>
      </c>
      <c r="I832" s="1686">
        <v>2026</v>
      </c>
      <c r="J832" s="1686">
        <v>2027</v>
      </c>
      <c r="K832" s="495"/>
      <c r="L832" s="551"/>
      <c r="M832" s="552"/>
      <c r="N832" s="468"/>
    </row>
    <row r="833" spans="1:15" x14ac:dyDescent="0.2">
      <c r="A833" s="1688" t="s">
        <v>613</v>
      </c>
      <c r="B833" s="1688"/>
      <c r="C833" s="1688"/>
      <c r="D833" s="1070">
        <f>SUM(D647)-D397-D453</f>
        <v>1252210.52</v>
      </c>
      <c r="E833" s="1806">
        <v>1292688.96</v>
      </c>
      <c r="F833" s="1333">
        <f>F647-F397-F453</f>
        <v>1209940</v>
      </c>
      <c r="G833" s="1333">
        <f>G646+G599+G584+G386+G317+G298+G279+G234+G171+G124+G107</f>
        <v>1383214</v>
      </c>
      <c r="H833" s="1961">
        <f>H646+H599+H584+H386+H317+H298+H279+H234+H171+H124+H107</f>
        <v>1330745</v>
      </c>
      <c r="I833" s="1115">
        <f t="shared" ref="I833:J833" si="127">I646+I599+I584+I386+I317+I298+I279+I234+I171+I124+I107</f>
        <v>1318135</v>
      </c>
      <c r="J833" s="1115">
        <f t="shared" si="127"/>
        <v>1303140</v>
      </c>
      <c r="K833" s="553"/>
      <c r="L833" s="58"/>
      <c r="M833" s="58"/>
      <c r="N833" s="58"/>
      <c r="O833" s="554"/>
    </row>
    <row r="834" spans="1:15" x14ac:dyDescent="0.2">
      <c r="A834" s="1688" t="s">
        <v>614</v>
      </c>
      <c r="B834" s="1688"/>
      <c r="C834" s="1688"/>
      <c r="D834" s="1070">
        <f>SUM(D791)</f>
        <v>134227</v>
      </c>
      <c r="E834" s="1806">
        <f t="shared" ref="E834" si="128">E791</f>
        <v>83284.52</v>
      </c>
      <c r="F834" s="1333">
        <f>F791</f>
        <v>0</v>
      </c>
      <c r="G834" s="1333">
        <f>G791</f>
        <v>26931.200000000001</v>
      </c>
      <c r="H834" s="1961">
        <f t="shared" ref="H834:J834" si="129">H791</f>
        <v>380966.40000000002</v>
      </c>
      <c r="I834" s="1076">
        <f t="shared" si="129"/>
        <v>2000</v>
      </c>
      <c r="J834" s="1076">
        <f t="shared" si="129"/>
        <v>2000</v>
      </c>
      <c r="K834" s="553"/>
      <c r="L834" s="50"/>
      <c r="M834" s="50"/>
      <c r="N834" s="50"/>
      <c r="O834" s="94"/>
    </row>
    <row r="835" spans="1:15" x14ac:dyDescent="0.2">
      <c r="A835" s="1688" t="s">
        <v>433</v>
      </c>
      <c r="B835" s="1688"/>
      <c r="C835" s="1688"/>
      <c r="D835" s="1070">
        <f t="shared" ref="D835" si="130">D814</f>
        <v>142501</v>
      </c>
      <c r="E835" s="1806">
        <f>E814</f>
        <v>230678.74</v>
      </c>
      <c r="F835" s="1333">
        <f>F814</f>
        <v>153504</v>
      </c>
      <c r="G835" s="1333">
        <f>G814</f>
        <v>206291</v>
      </c>
      <c r="H835" s="1961">
        <f t="shared" ref="H835:J835" si="131">H814</f>
        <v>183005</v>
      </c>
      <c r="I835" s="1076">
        <f t="shared" si="131"/>
        <v>130004</v>
      </c>
      <c r="J835" s="1076">
        <f t="shared" si="131"/>
        <v>115004</v>
      </c>
      <c r="K835" s="553"/>
      <c r="L835" s="58"/>
      <c r="M835" s="58"/>
      <c r="N835" s="58"/>
      <c r="O835" s="555"/>
    </row>
    <row r="836" spans="1:15" x14ac:dyDescent="0.2">
      <c r="A836" s="1688" t="s">
        <v>809</v>
      </c>
      <c r="B836" s="1688"/>
      <c r="C836" s="1688"/>
      <c r="D836" s="1070">
        <f t="shared" ref="D836:F836" si="132">D397+D453</f>
        <v>1275473</v>
      </c>
      <c r="E836" s="1806">
        <v>1447489.2</v>
      </c>
      <c r="F836" s="1525">
        <f t="shared" si="132"/>
        <v>1513168</v>
      </c>
      <c r="G836" s="1525">
        <f>G522+G454+G434+G398</f>
        <v>1530207</v>
      </c>
      <c r="H836" s="1961">
        <f t="shared" ref="H836:J836" si="133">H522+H454+H434+H398</f>
        <v>1500914</v>
      </c>
      <c r="I836" s="1076">
        <f t="shared" si="133"/>
        <v>1167317</v>
      </c>
      <c r="J836" s="1076">
        <f t="shared" si="133"/>
        <v>1167217</v>
      </c>
      <c r="K836" s="553"/>
      <c r="L836" s="58"/>
      <c r="M836" s="58"/>
      <c r="N836" s="58"/>
      <c r="O836" s="555"/>
    </row>
    <row r="837" spans="1:15" x14ac:dyDescent="0.2">
      <c r="A837" s="1553" t="s">
        <v>615</v>
      </c>
      <c r="B837" s="1689"/>
      <c r="C837" s="1689"/>
      <c r="D837" s="1690">
        <f>SUM(D833,D834,D835)+D836</f>
        <v>2804411.52</v>
      </c>
      <c r="E837" s="1857">
        <f>E833+E834+E835+E836</f>
        <v>3054141.42</v>
      </c>
      <c r="F837" s="1321">
        <f>F833+F834+F835+F836</f>
        <v>2876612</v>
      </c>
      <c r="G837" s="1321">
        <f>G833+G834+G835+G836</f>
        <v>3146643.2</v>
      </c>
      <c r="H837" s="1692">
        <f t="shared" ref="H837:J837" si="134">H833+H834+H835+H836</f>
        <v>3395630.4</v>
      </c>
      <c r="I837" s="1692">
        <f t="shared" si="134"/>
        <v>2617456</v>
      </c>
      <c r="J837" s="1692">
        <f t="shared" si="134"/>
        <v>2587361</v>
      </c>
      <c r="K837" s="553"/>
      <c r="L837" s="58"/>
      <c r="M837" s="58"/>
      <c r="N837" s="58"/>
    </row>
    <row r="838" spans="1:15" ht="14.25" x14ac:dyDescent="0.2">
      <c r="A838" s="556"/>
      <c r="B838" s="557"/>
      <c r="C838" s="557"/>
      <c r="E838" s="82"/>
      <c r="F838" s="1277"/>
      <c r="G838" s="1277"/>
      <c r="H838" s="82"/>
      <c r="I838" s="45"/>
      <c r="J838" s="45"/>
      <c r="K838" s="558"/>
    </row>
    <row r="839" spans="1:15" x14ac:dyDescent="0.2">
      <c r="A839" s="1688" t="s">
        <v>1</v>
      </c>
      <c r="B839" s="1688"/>
      <c r="C839" s="1688"/>
      <c r="D839" s="1070">
        <f>príjmy!M299</f>
        <v>1610786</v>
      </c>
      <c r="E839" s="1806">
        <f>príjmy!O299</f>
        <v>1879494.78</v>
      </c>
      <c r="F839" s="1333">
        <f>príjmy!P299</f>
        <v>1763829</v>
      </c>
      <c r="G839" s="1333">
        <f>príjmy!Q299</f>
        <v>1796470.08</v>
      </c>
      <c r="H839" s="1961">
        <f>príjmy!R299</f>
        <v>1584419</v>
      </c>
      <c r="I839" s="1076">
        <f>príjmy!S299</f>
        <v>1710543</v>
      </c>
      <c r="J839" s="1076">
        <f>príjmy!T299</f>
        <v>1765383</v>
      </c>
      <c r="K839" s="53"/>
      <c r="L839" s="58"/>
      <c r="M839" s="58"/>
      <c r="N839" s="58"/>
      <c r="O839" s="93"/>
    </row>
    <row r="840" spans="1:15" x14ac:dyDescent="0.2">
      <c r="A840" s="1688" t="s">
        <v>77</v>
      </c>
      <c r="B840" s="1688"/>
      <c r="C840" s="1688"/>
      <c r="D840" s="1070">
        <f>príjmy!M300</f>
        <v>23000</v>
      </c>
      <c r="E840" s="1806">
        <f>príjmy!O300</f>
        <v>25385</v>
      </c>
      <c r="F840" s="1333">
        <f>príjmy!P300</f>
        <v>55000</v>
      </c>
      <c r="G840" s="1333">
        <f>príjmy!Q300</f>
        <v>28144</v>
      </c>
      <c r="H840" s="1961">
        <f>príjmy!R300</f>
        <v>570200</v>
      </c>
      <c r="I840" s="1076">
        <f>príjmy!S300</f>
        <v>5000</v>
      </c>
      <c r="J840" s="1076">
        <f>príjmy!T300</f>
        <v>5000</v>
      </c>
      <c r="K840" s="53"/>
      <c r="L840" s="58"/>
      <c r="M840" s="58"/>
      <c r="N840" s="58"/>
      <c r="O840" s="461"/>
    </row>
    <row r="841" spans="1:15" x14ac:dyDescent="0.2">
      <c r="A841" s="1688" t="s">
        <v>82</v>
      </c>
      <c r="B841" s="1688"/>
      <c r="C841" s="1688"/>
      <c r="D841" s="1070">
        <f>príjmy!M301</f>
        <v>192106</v>
      </c>
      <c r="E841" s="1806">
        <f>príjmy!O301</f>
        <v>135675.05000000002</v>
      </c>
      <c r="F841" s="1333">
        <f>príjmy!P301</f>
        <v>10000</v>
      </c>
      <c r="G841" s="1333">
        <f>príjmy!Q301</f>
        <v>184482.49</v>
      </c>
      <c r="H841" s="1961">
        <f>príjmy!R301</f>
        <v>32501</v>
      </c>
      <c r="I841" s="1076">
        <f>príjmy!S301</f>
        <v>0</v>
      </c>
      <c r="J841" s="1076">
        <f>príjmy!T301</f>
        <v>0</v>
      </c>
      <c r="K841" s="53"/>
      <c r="L841" s="58"/>
      <c r="M841" s="58"/>
      <c r="N841" s="58"/>
      <c r="O841" s="94"/>
    </row>
    <row r="842" spans="1:15" x14ac:dyDescent="0.2">
      <c r="A842" s="1688" t="s">
        <v>155</v>
      </c>
      <c r="B842" s="1688"/>
      <c r="C842" s="1688"/>
      <c r="D842" s="1070">
        <f>príjmy!M302</f>
        <v>979772</v>
      </c>
      <c r="E842" s="1806">
        <f>príjmy!O302</f>
        <v>1145604.33</v>
      </c>
      <c r="F842" s="1333">
        <f>príjmy!P302</f>
        <v>1048851</v>
      </c>
      <c r="G842" s="1333">
        <f>príjmy!Q302</f>
        <v>1138224.6000000001</v>
      </c>
      <c r="H842" s="1961">
        <f>príjmy!R302</f>
        <v>1214739</v>
      </c>
      <c r="I842" s="1076">
        <f>príjmy!S302</f>
        <v>1063223</v>
      </c>
      <c r="J842" s="1076">
        <f>príjmy!T302</f>
        <v>1063323</v>
      </c>
      <c r="K842" s="53"/>
      <c r="L842" s="58"/>
      <c r="M842" s="58"/>
      <c r="N842" s="58"/>
      <c r="O842" s="19"/>
    </row>
    <row r="843" spans="1:15" x14ac:dyDescent="0.2">
      <c r="A843" s="1553" t="s">
        <v>160</v>
      </c>
      <c r="B843" s="1689"/>
      <c r="C843" s="1689"/>
      <c r="D843" s="1690">
        <f>SUM(D839,D840,D841,D842)</f>
        <v>2805664</v>
      </c>
      <c r="E843" s="1857">
        <f>E839+E840+E841+E842</f>
        <v>3186159.16</v>
      </c>
      <c r="F843" s="1321">
        <f>F839+F840+F841+F842</f>
        <v>2877680</v>
      </c>
      <c r="G843" s="1321">
        <f>G839+G840+G841+G842</f>
        <v>3147321.17</v>
      </c>
      <c r="H843" s="1692">
        <f>H839+H840+H841+H842</f>
        <v>3401859</v>
      </c>
      <c r="I843" s="1692">
        <f>SUM(I839,I840,I841,I842)</f>
        <v>2778766</v>
      </c>
      <c r="J843" s="1692">
        <f>SUM(J839,J840,J841,J842)</f>
        <v>2833706</v>
      </c>
      <c r="K843" s="1167"/>
      <c r="L843" s="58"/>
      <c r="M843" s="58"/>
      <c r="N843" s="58"/>
    </row>
    <row r="844" spans="1:15" x14ac:dyDescent="0.2">
      <c r="F844" s="1311"/>
      <c r="G844" s="1311"/>
      <c r="K844" s="72"/>
    </row>
    <row r="845" spans="1:15" x14ac:dyDescent="0.2">
      <c r="A845" s="1136"/>
      <c r="B845" s="1136"/>
      <c r="C845" s="1136"/>
      <c r="D845" s="1137">
        <f>D843-D837</f>
        <v>1252.4799999999814</v>
      </c>
      <c r="E845" s="1858">
        <f>E843-E837</f>
        <v>132017.74000000022</v>
      </c>
      <c r="F845" s="1316">
        <f>F843-F837</f>
        <v>1068</v>
      </c>
      <c r="G845" s="1316">
        <f>G843-G837</f>
        <v>677.96999999973923</v>
      </c>
      <c r="H845" s="1137">
        <f t="shared" ref="H845:I845" si="135">H843-H837</f>
        <v>6228.6000000000931</v>
      </c>
      <c r="I845" s="1137">
        <f t="shared" si="135"/>
        <v>161310</v>
      </c>
      <c r="J845" s="1137">
        <f t="shared" ref="J845" si="136">J843-J837</f>
        <v>246345</v>
      </c>
      <c r="K845" s="1166"/>
      <c r="N845" s="72"/>
    </row>
    <row r="846" spans="1:15" x14ac:dyDescent="0.2">
      <c r="A846" s="1138"/>
      <c r="B846" s="1138"/>
      <c r="C846" s="1138"/>
      <c r="D846" s="1139"/>
      <c r="E846" s="1859"/>
      <c r="F846" s="1313"/>
      <c r="G846" s="1313"/>
      <c r="H846" s="1139"/>
      <c r="I846" s="1139"/>
      <c r="J846" s="1139"/>
    </row>
    <row r="847" spans="1:15" x14ac:dyDescent="0.2">
      <c r="A847" s="2425"/>
      <c r="B847" s="2425"/>
      <c r="C847" s="1140"/>
      <c r="D847" s="1141"/>
      <c r="E847" s="1860"/>
      <c r="F847" s="1312"/>
      <c r="G847" s="1312"/>
      <c r="H847" s="1142"/>
      <c r="I847" s="1142"/>
      <c r="J847" s="1142"/>
      <c r="K847" s="72"/>
    </row>
    <row r="848" spans="1:15" x14ac:dyDescent="0.2">
      <c r="A848" s="2422"/>
      <c r="B848" s="1143"/>
      <c r="C848" s="1144"/>
      <c r="D848" s="1145"/>
      <c r="E848" s="1861"/>
      <c r="F848" s="1314" t="s">
        <v>1019</v>
      </c>
      <c r="G848" s="1314">
        <f t="shared" ref="G848:H851" si="137">G839-G833</f>
        <v>413256.08000000007</v>
      </c>
      <c r="H848" s="1160">
        <f t="shared" si="137"/>
        <v>253674</v>
      </c>
      <c r="I848" s="1072"/>
      <c r="J848" s="1072"/>
      <c r="K848" s="72"/>
    </row>
    <row r="849" spans="1:11" x14ac:dyDescent="0.2">
      <c r="A849" s="2422"/>
      <c r="B849" s="1143"/>
      <c r="C849" s="1147"/>
      <c r="D849" s="1148"/>
      <c r="E849" s="1861"/>
      <c r="F849" s="1314" t="s">
        <v>1020</v>
      </c>
      <c r="G849" s="1314">
        <f t="shared" si="137"/>
        <v>1212.7999999999993</v>
      </c>
      <c r="H849" s="1160">
        <f t="shared" si="137"/>
        <v>189233.59999999998</v>
      </c>
      <c r="I849" s="1072"/>
      <c r="J849" s="1072"/>
      <c r="K849" s="72"/>
    </row>
    <row r="850" spans="1:11" x14ac:dyDescent="0.2">
      <c r="A850" s="2422"/>
      <c r="B850" s="1143"/>
      <c r="C850" s="1144"/>
      <c r="D850" s="1148"/>
      <c r="E850" s="1861"/>
      <c r="F850" s="1314" t="s">
        <v>1021</v>
      </c>
      <c r="G850" s="1314">
        <f t="shared" si="137"/>
        <v>-21808.510000000009</v>
      </c>
      <c r="H850" s="1160">
        <f t="shared" si="137"/>
        <v>-150504</v>
      </c>
      <c r="I850" s="1072"/>
      <c r="J850" s="1072"/>
    </row>
    <row r="851" spans="1:11" x14ac:dyDescent="0.2">
      <c r="A851" s="2422"/>
      <c r="B851" s="1143"/>
      <c r="C851" s="1147"/>
      <c r="D851" s="1148"/>
      <c r="E851" s="1861"/>
      <c r="F851" s="1314" t="s">
        <v>1022</v>
      </c>
      <c r="G851" s="1988">
        <f t="shared" si="137"/>
        <v>-391982.39999999991</v>
      </c>
      <c r="H851" s="2153">
        <f t="shared" si="137"/>
        <v>-286175</v>
      </c>
      <c r="I851" s="1072"/>
      <c r="J851" s="1072"/>
      <c r="K851" s="72"/>
    </row>
    <row r="852" spans="1:11" x14ac:dyDescent="0.2">
      <c r="A852" s="2422"/>
      <c r="B852" s="1143"/>
      <c r="C852" s="1144"/>
      <c r="D852" s="1145"/>
      <c r="E852" s="1861"/>
      <c r="F852" s="1314"/>
      <c r="G852" s="1314"/>
      <c r="H852" s="1160"/>
      <c r="I852" s="1072"/>
      <c r="J852" s="1072"/>
      <c r="K852" s="72"/>
    </row>
    <row r="853" spans="1:11" x14ac:dyDescent="0.2">
      <c r="A853" s="2422"/>
      <c r="B853" s="1143"/>
      <c r="C853" s="1147"/>
      <c r="D853" s="1148"/>
      <c r="E853" s="1861"/>
      <c r="F853" s="1314" t="s">
        <v>1460</v>
      </c>
      <c r="G853" s="1314" t="s">
        <v>1461</v>
      </c>
      <c r="H853" s="1160">
        <v>-51145</v>
      </c>
      <c r="I853" s="1072"/>
      <c r="J853" s="1072"/>
      <c r="K853" s="72"/>
    </row>
    <row r="854" spans="1:11" x14ac:dyDescent="0.2">
      <c r="A854" s="2145"/>
      <c r="B854" s="1143"/>
      <c r="C854" s="1147"/>
      <c r="D854" s="1148"/>
      <c r="E854" s="1861"/>
      <c r="F854" s="1314"/>
      <c r="G854" s="1314" t="s">
        <v>1462</v>
      </c>
      <c r="H854" s="1160">
        <v>-192490</v>
      </c>
      <c r="I854" s="1072"/>
      <c r="J854" s="1072"/>
      <c r="K854" s="72"/>
    </row>
    <row r="855" spans="1:11" x14ac:dyDescent="0.2">
      <c r="A855" s="2422"/>
      <c r="B855" s="1143"/>
      <c r="C855" s="1144"/>
      <c r="D855" s="1148"/>
      <c r="E855" s="1861"/>
      <c r="F855" s="1314"/>
      <c r="G855" s="1314" t="s">
        <v>1023</v>
      </c>
      <c r="H855" s="1160">
        <v>-42540</v>
      </c>
      <c r="I855" s="1072"/>
      <c r="J855" s="1072"/>
    </row>
    <row r="856" spans="1:11" x14ac:dyDescent="0.2">
      <c r="A856" s="2422"/>
      <c r="B856" s="1143"/>
      <c r="C856" s="1147"/>
      <c r="D856" s="1148"/>
      <c r="E856" s="1861"/>
      <c r="F856" s="1314"/>
      <c r="G856" s="1314"/>
      <c r="H856" s="1146"/>
      <c r="I856" s="1072"/>
      <c r="J856" s="1072"/>
    </row>
    <row r="857" spans="1:11" x14ac:dyDescent="0.2">
      <c r="A857" s="1149"/>
      <c r="B857" s="1149"/>
      <c r="C857" s="1150"/>
      <c r="D857" s="1142"/>
      <c r="E857" s="1862"/>
      <c r="F857" s="1313"/>
      <c r="G857" s="1313"/>
      <c r="H857" s="1142"/>
      <c r="I857" s="1131"/>
      <c r="J857" s="1131"/>
    </row>
    <row r="858" spans="1:11" x14ac:dyDescent="0.2">
      <c r="A858" s="2427"/>
      <c r="B858" s="2427"/>
      <c r="C858" s="1151"/>
      <c r="D858" s="1148"/>
      <c r="E858" s="1862"/>
      <c r="F858" s="1313"/>
      <c r="G858" s="1313"/>
      <c r="H858" s="1142"/>
      <c r="I858" s="1131"/>
      <c r="J858" s="1131"/>
      <c r="K858" s="72"/>
    </row>
    <row r="859" spans="1:11" x14ac:dyDescent="0.2">
      <c r="A859" s="2428"/>
      <c r="B859" s="2428"/>
      <c r="C859" s="1152"/>
      <c r="D859" s="1148"/>
      <c r="E859" s="1862"/>
      <c r="F859" s="1313"/>
      <c r="G859" s="1313"/>
      <c r="H859" s="1142"/>
      <c r="I859" s="1131"/>
      <c r="J859" s="1131"/>
      <c r="K859" s="72"/>
    </row>
    <row r="860" spans="1:11" x14ac:dyDescent="0.2">
      <c r="A860" s="1153"/>
      <c r="B860" s="1153"/>
      <c r="C860" s="1153"/>
      <c r="D860" s="1148"/>
      <c r="E860" s="1861"/>
      <c r="F860" s="1314"/>
      <c r="G860" s="1314"/>
      <c r="H860" s="1146"/>
      <c r="I860" s="1072"/>
      <c r="J860" s="1072"/>
      <c r="K860" s="72"/>
    </row>
    <row r="861" spans="1:11" x14ac:dyDescent="0.2">
      <c r="A861" s="1153"/>
      <c r="B861" s="1154"/>
      <c r="C861" s="1153"/>
      <c r="D861" s="1148"/>
      <c r="E861" s="1861"/>
      <c r="F861" s="1314"/>
      <c r="G861" s="1314"/>
      <c r="H861" s="1146"/>
      <c r="I861" s="1072"/>
      <c r="J861" s="1072"/>
    </row>
    <row r="862" spans="1:11" x14ac:dyDescent="0.2">
      <c r="A862" s="1153"/>
      <c r="B862" s="1154"/>
      <c r="C862" s="1153"/>
      <c r="D862" s="1148"/>
      <c r="E862" s="1861"/>
      <c r="F862" s="1314"/>
      <c r="G862" s="1314"/>
      <c r="H862" s="1146"/>
      <c r="I862" s="1072"/>
      <c r="J862" s="1072"/>
    </row>
    <row r="863" spans="1:11" x14ac:dyDescent="0.2">
      <c r="A863" s="1153"/>
      <c r="B863" s="1153"/>
      <c r="C863" s="1153"/>
      <c r="D863" s="1148"/>
      <c r="E863" s="1861"/>
      <c r="F863" s="1314"/>
      <c r="G863" s="1314"/>
      <c r="H863" s="1146"/>
      <c r="I863" s="1072"/>
      <c r="J863" s="1072"/>
    </row>
    <row r="864" spans="1:11" x14ac:dyDescent="0.2">
      <c r="A864" s="1155"/>
      <c r="B864" s="1143"/>
      <c r="C864" s="1147"/>
      <c r="D864" s="1148"/>
      <c r="E864" s="1861"/>
      <c r="F864" s="1314"/>
      <c r="G864" s="1314"/>
      <c r="H864" s="1146"/>
      <c r="I864" s="1072"/>
      <c r="J864" s="1072"/>
    </row>
    <row r="865" spans="1:10" x14ac:dyDescent="0.2">
      <c r="A865" s="1153"/>
      <c r="B865" s="1153"/>
      <c r="C865" s="1153"/>
      <c r="D865" s="1148"/>
      <c r="E865" s="1861"/>
      <c r="F865" s="1314"/>
      <c r="G865" s="1314"/>
      <c r="H865" s="1146"/>
      <c r="I865" s="1072"/>
      <c r="J865" s="1072"/>
    </row>
    <row r="866" spans="1:10" x14ac:dyDescent="0.2">
      <c r="A866" s="1153"/>
      <c r="B866" s="1153"/>
      <c r="C866" s="1153"/>
      <c r="D866" s="1148"/>
      <c r="E866" s="1861"/>
      <c r="F866" s="1314"/>
      <c r="G866" s="1314"/>
      <c r="H866" s="1146"/>
      <c r="I866" s="1072"/>
      <c r="J866" s="1072"/>
    </row>
    <row r="867" spans="1:10" x14ac:dyDescent="0.2">
      <c r="A867" s="1153"/>
      <c r="B867" s="1153"/>
      <c r="C867" s="1153"/>
      <c r="D867" s="1148"/>
      <c r="E867" s="1861"/>
      <c r="F867" s="1314"/>
      <c r="G867" s="1314"/>
      <c r="H867" s="1146"/>
      <c r="I867" s="1072"/>
      <c r="J867" s="1072"/>
    </row>
    <row r="868" spans="1:10" x14ac:dyDescent="0.2">
      <c r="A868" s="1153"/>
      <c r="B868" s="1153"/>
      <c r="C868" s="1153"/>
      <c r="D868" s="1148"/>
      <c r="E868" s="1861"/>
      <c r="F868" s="1314"/>
      <c r="G868" s="1314"/>
      <c r="H868" s="1146"/>
      <c r="I868" s="1072"/>
      <c r="J868" s="1072"/>
    </row>
    <row r="869" spans="1:10" x14ac:dyDescent="0.2">
      <c r="A869" s="2428"/>
      <c r="B869" s="2428"/>
      <c r="C869" s="1152"/>
      <c r="D869" s="1148"/>
      <c r="E869" s="1863"/>
      <c r="F869" s="1315"/>
      <c r="G869" s="1315"/>
      <c r="H869" s="1156"/>
      <c r="I869" s="1132"/>
      <c r="J869" s="1132"/>
    </row>
    <row r="870" spans="1:10" x14ac:dyDescent="0.2">
      <c r="A870" s="1153"/>
      <c r="B870" s="1153"/>
      <c r="C870" s="1153"/>
      <c r="D870" s="1148"/>
      <c r="E870" s="1861"/>
      <c r="F870" s="1314"/>
      <c r="G870" s="1314"/>
      <c r="H870" s="1146"/>
      <c r="I870" s="1072"/>
      <c r="J870" s="1072"/>
    </row>
    <row r="871" spans="1:10" x14ac:dyDescent="0.2">
      <c r="A871" s="2428"/>
      <c r="B871" s="2428"/>
      <c r="C871" s="1152"/>
      <c r="D871" s="1148"/>
      <c r="E871" s="1862"/>
      <c r="F871" s="1313"/>
      <c r="G871" s="1313"/>
      <c r="H871" s="1142"/>
      <c r="I871" s="1131"/>
      <c r="J871" s="1131"/>
    </row>
    <row r="872" spans="1:10" x14ac:dyDescent="0.2">
      <c r="A872" s="1153"/>
      <c r="B872" s="1153"/>
      <c r="C872" s="1153"/>
      <c r="D872" s="1148"/>
      <c r="E872" s="1861"/>
      <c r="F872" s="1314"/>
      <c r="G872" s="1314"/>
      <c r="H872" s="1146"/>
      <c r="I872" s="1072"/>
      <c r="J872" s="1072"/>
    </row>
    <row r="873" spans="1:10" x14ac:dyDescent="0.2">
      <c r="A873" s="1153"/>
      <c r="B873" s="1153"/>
      <c r="C873" s="1153"/>
      <c r="D873" s="1148"/>
      <c r="E873" s="1861"/>
      <c r="F873" s="1314"/>
      <c r="G873" s="1314"/>
      <c r="H873" s="1146"/>
      <c r="I873" s="1072"/>
      <c r="J873" s="1072"/>
    </row>
    <row r="874" spans="1:10" x14ac:dyDescent="0.2">
      <c r="A874" s="1153"/>
      <c r="B874" s="1153"/>
      <c r="C874" s="1153"/>
      <c r="D874" s="1148"/>
      <c r="E874" s="1861"/>
      <c r="F874" s="1314"/>
      <c r="G874" s="1314"/>
      <c r="H874" s="1146"/>
      <c r="I874" s="1072"/>
      <c r="J874" s="1072"/>
    </row>
    <row r="875" spans="1:10" x14ac:dyDescent="0.2">
      <c r="A875" s="2428"/>
      <c r="B875" s="2428"/>
      <c r="C875" s="1152"/>
      <c r="D875" s="1148"/>
      <c r="E875" s="1862"/>
      <c r="F875" s="1313"/>
      <c r="G875" s="1313"/>
      <c r="H875" s="1142"/>
      <c r="I875" s="1131"/>
      <c r="J875" s="1131"/>
    </row>
    <row r="876" spans="1:10" x14ac:dyDescent="0.2">
      <c r="A876" s="1153"/>
      <c r="B876" s="1153"/>
      <c r="C876" s="1153"/>
      <c r="D876" s="1148"/>
      <c r="E876" s="1861"/>
      <c r="F876" s="1314"/>
      <c r="G876" s="1314"/>
      <c r="H876" s="1146"/>
      <c r="I876" s="1072"/>
      <c r="J876" s="1072"/>
    </row>
    <row r="877" spans="1:10" x14ac:dyDescent="0.2">
      <c r="A877" s="1153"/>
      <c r="B877" s="1153"/>
      <c r="C877" s="1153"/>
      <c r="D877" s="1148"/>
      <c r="E877" s="1861"/>
      <c r="F877" s="1314"/>
      <c r="G877" s="1314"/>
      <c r="H877" s="1146"/>
      <c r="I877" s="1072"/>
      <c r="J877" s="1072"/>
    </row>
    <row r="878" spans="1:10" x14ac:dyDescent="0.2">
      <c r="A878" s="1153"/>
      <c r="B878" s="1153"/>
      <c r="C878" s="1153"/>
      <c r="D878" s="1148"/>
      <c r="E878" s="1861"/>
      <c r="F878" s="1314"/>
      <c r="G878" s="1314"/>
      <c r="H878" s="1146"/>
      <c r="I878" s="1072"/>
      <c r="J878" s="1072"/>
    </row>
    <row r="879" spans="1:10" x14ac:dyDescent="0.2">
      <c r="A879" s="1153"/>
      <c r="B879" s="1153"/>
      <c r="C879" s="1153"/>
      <c r="D879" s="1148"/>
      <c r="E879" s="1861"/>
      <c r="F879" s="1314"/>
      <c r="G879" s="1314"/>
      <c r="H879" s="1146"/>
      <c r="I879" s="1072"/>
      <c r="J879" s="1072"/>
    </row>
    <row r="880" spans="1:10" x14ac:dyDescent="0.2">
      <c r="A880" s="1153"/>
      <c r="B880" s="1153"/>
      <c r="C880" s="1153"/>
      <c r="D880" s="1148"/>
      <c r="E880" s="1861"/>
      <c r="F880" s="1314"/>
      <c r="G880" s="1314"/>
      <c r="H880" s="1146"/>
      <c r="I880" s="1072"/>
      <c r="J880" s="1072"/>
    </row>
    <row r="881" spans="1:10" x14ac:dyDescent="0.2">
      <c r="A881" s="1153"/>
      <c r="B881" s="1153"/>
      <c r="C881" s="1153"/>
      <c r="D881" s="1148"/>
      <c r="E881" s="1861"/>
      <c r="F881" s="1314"/>
      <c r="G881" s="1314"/>
      <c r="H881" s="1146"/>
      <c r="I881" s="1072"/>
      <c r="J881" s="1072"/>
    </row>
    <row r="882" spans="1:10" x14ac:dyDescent="0.2">
      <c r="A882" s="1153"/>
      <c r="B882" s="1153"/>
      <c r="C882" s="1153"/>
      <c r="D882" s="1148"/>
      <c r="E882" s="1861"/>
      <c r="F882" s="1314"/>
      <c r="G882" s="1314"/>
      <c r="H882" s="1146"/>
      <c r="I882" s="1072"/>
      <c r="J882" s="1072"/>
    </row>
    <row r="883" spans="1:10" x14ac:dyDescent="0.2">
      <c r="A883" s="1153"/>
      <c r="B883" s="1153"/>
      <c r="C883" s="1153"/>
      <c r="D883" s="1148"/>
      <c r="E883" s="1861"/>
      <c r="F883" s="1314"/>
      <c r="G883" s="1314"/>
      <c r="H883" s="1146"/>
      <c r="I883" s="1072"/>
      <c r="J883" s="1072"/>
    </row>
    <row r="884" spans="1:10" x14ac:dyDescent="0.2">
      <c r="A884" s="2428"/>
      <c r="B884" s="2428"/>
      <c r="C884" s="1152"/>
      <c r="D884" s="1148"/>
      <c r="E884" s="1863"/>
      <c r="F884" s="1315"/>
      <c r="G884" s="1315"/>
      <c r="H884" s="1156"/>
      <c r="I884" s="1132"/>
      <c r="J884" s="1132"/>
    </row>
    <row r="885" spans="1:10" x14ac:dyDescent="0.2">
      <c r="A885" s="1157"/>
      <c r="B885" s="1152"/>
      <c r="C885" s="1147"/>
      <c r="D885" s="1148"/>
      <c r="E885" s="1864"/>
      <c r="F885" s="1315"/>
      <c r="G885" s="1315"/>
      <c r="H885" s="1158"/>
      <c r="I885" s="1124"/>
      <c r="J885" s="1124"/>
    </row>
    <row r="886" spans="1:10" x14ac:dyDescent="0.2">
      <c r="A886" s="1157"/>
      <c r="B886" s="1152"/>
      <c r="C886" s="1147"/>
      <c r="D886" s="1148"/>
      <c r="E886" s="1864"/>
      <c r="F886" s="1315"/>
      <c r="G886" s="1315"/>
      <c r="H886" s="1158"/>
      <c r="I886" s="1124"/>
      <c r="J886" s="1124"/>
    </row>
    <row r="887" spans="1:10" x14ac:dyDescent="0.2">
      <c r="A887" s="1157"/>
      <c r="B887" s="1152"/>
      <c r="C887" s="1147"/>
      <c r="D887" s="1148"/>
      <c r="E887" s="1864"/>
      <c r="F887" s="1315"/>
      <c r="G887" s="1315"/>
      <c r="H887" s="1158"/>
      <c r="I887" s="1124"/>
      <c r="J887" s="1124"/>
    </row>
    <row r="888" spans="1:10" x14ac:dyDescent="0.2">
      <c r="A888" s="1157"/>
      <c r="B888" s="1152"/>
      <c r="C888" s="1147"/>
      <c r="D888" s="1148"/>
      <c r="E888" s="1865"/>
      <c r="F888" s="1314"/>
      <c r="G888" s="1314"/>
      <c r="H888" s="1159"/>
      <c r="I888" s="1133"/>
      <c r="J888" s="1133"/>
    </row>
    <row r="889" spans="1:10" x14ac:dyDescent="0.2">
      <c r="A889" s="1157"/>
      <c r="B889" s="1152"/>
      <c r="C889" s="1147"/>
      <c r="D889" s="1148"/>
      <c r="E889" s="1865"/>
      <c r="F889" s="1314"/>
      <c r="G889" s="1314"/>
      <c r="H889" s="1159"/>
      <c r="I889" s="1133"/>
      <c r="J889" s="1133"/>
    </row>
    <row r="890" spans="1:10" x14ac:dyDescent="0.2">
      <c r="A890" s="1157"/>
      <c r="B890" s="1152"/>
      <c r="C890" s="1147"/>
      <c r="D890" s="1148"/>
      <c r="E890" s="1865"/>
      <c r="F890" s="1314"/>
      <c r="G890" s="1314"/>
      <c r="H890" s="1159"/>
      <c r="I890" s="1133"/>
      <c r="J890" s="1133"/>
    </row>
    <row r="891" spans="1:10" x14ac:dyDescent="0.2">
      <c r="A891" s="1157"/>
      <c r="B891" s="1152"/>
      <c r="C891" s="1147"/>
      <c r="D891" s="1148"/>
      <c r="E891" s="1864"/>
      <c r="F891" s="1315"/>
      <c r="G891" s="1315"/>
      <c r="H891" s="1158"/>
      <c r="I891" s="1124"/>
      <c r="J891" s="1124"/>
    </row>
    <row r="892" spans="1:10" x14ac:dyDescent="0.2">
      <c r="A892" s="1157"/>
      <c r="B892" s="1152"/>
      <c r="C892" s="1147"/>
      <c r="D892" s="1148"/>
      <c r="E892" s="1865"/>
      <c r="F892" s="1314"/>
      <c r="G892" s="1314"/>
      <c r="H892" s="1159"/>
      <c r="I892" s="1133"/>
      <c r="J892" s="1133"/>
    </row>
    <row r="893" spans="1:10" x14ac:dyDescent="0.2">
      <c r="A893" s="1157"/>
      <c r="B893" s="1152"/>
      <c r="C893" s="1147"/>
      <c r="D893" s="1148"/>
      <c r="E893" s="1865"/>
      <c r="F893" s="1314"/>
      <c r="G893" s="1314"/>
      <c r="H893" s="1159"/>
      <c r="I893" s="1133"/>
      <c r="J893" s="1133"/>
    </row>
    <row r="894" spans="1:10" x14ac:dyDescent="0.2">
      <c r="A894" s="1157"/>
      <c r="B894" s="1152"/>
      <c r="C894" s="1147"/>
      <c r="D894" s="1148"/>
      <c r="E894" s="1865"/>
      <c r="F894" s="1314"/>
      <c r="G894" s="1314"/>
      <c r="H894" s="1159"/>
      <c r="I894" s="1133"/>
      <c r="J894" s="1133"/>
    </row>
    <row r="895" spans="1:10" x14ac:dyDescent="0.2">
      <c r="A895" s="1157"/>
      <c r="B895" s="1152"/>
      <c r="C895" s="1147"/>
      <c r="D895" s="1148"/>
      <c r="E895" s="1865"/>
      <c r="F895" s="1314"/>
      <c r="G895" s="1314"/>
      <c r="H895" s="1159"/>
      <c r="I895" s="1133"/>
      <c r="J895" s="1133"/>
    </row>
    <row r="896" spans="1:10" x14ac:dyDescent="0.2">
      <c r="A896" s="1157"/>
      <c r="B896" s="1152"/>
      <c r="C896" s="1147"/>
      <c r="D896" s="1148"/>
      <c r="E896" s="1864"/>
      <c r="F896" s="1315"/>
      <c r="G896" s="1315"/>
      <c r="H896" s="1158"/>
      <c r="I896" s="1124"/>
      <c r="J896" s="1124"/>
    </row>
    <row r="897" spans="1:10" x14ac:dyDescent="0.2">
      <c r="A897" s="1157"/>
      <c r="B897" s="1152"/>
      <c r="C897" s="1147"/>
      <c r="D897" s="1148"/>
      <c r="E897" s="1864"/>
      <c r="F897" s="1315"/>
      <c r="G897" s="1315"/>
      <c r="H897" s="1158"/>
      <c r="I897" s="1124"/>
      <c r="J897" s="1124"/>
    </row>
    <row r="898" spans="1:10" x14ac:dyDescent="0.2">
      <c r="A898" s="1157"/>
      <c r="B898" s="1152"/>
      <c r="C898" s="1147"/>
      <c r="D898" s="1148"/>
      <c r="E898" s="1865"/>
      <c r="F898" s="1314"/>
      <c r="G898" s="1314"/>
      <c r="H898" s="1159"/>
      <c r="I898" s="1133"/>
      <c r="J898" s="1133"/>
    </row>
    <row r="899" spans="1:10" x14ac:dyDescent="0.2">
      <c r="A899" s="1157"/>
      <c r="B899" s="1152"/>
      <c r="C899" s="1147"/>
      <c r="D899" s="1148"/>
      <c r="E899" s="1865"/>
      <c r="F899" s="1314"/>
      <c r="G899" s="1314"/>
      <c r="H899" s="1159"/>
      <c r="I899" s="1133"/>
      <c r="J899" s="1133"/>
    </row>
    <row r="900" spans="1:10" x14ac:dyDescent="0.2">
      <c r="A900" s="1157"/>
      <c r="B900" s="1152"/>
      <c r="C900" s="1147"/>
      <c r="D900" s="1148"/>
      <c r="E900" s="1865"/>
      <c r="F900" s="1314"/>
      <c r="G900" s="1314"/>
      <c r="H900" s="1159"/>
      <c r="I900" s="1133"/>
      <c r="J900" s="1133"/>
    </row>
    <row r="901" spans="1:10" x14ac:dyDescent="0.2">
      <c r="A901" s="1138"/>
      <c r="B901" s="1138"/>
      <c r="C901" s="1138"/>
      <c r="D901" s="1139"/>
      <c r="E901" s="1859"/>
      <c r="F901" s="1313"/>
      <c r="G901" s="1313"/>
      <c r="H901" s="1139"/>
      <c r="I901" s="1130"/>
      <c r="J901" s="1130"/>
    </row>
    <row r="902" spans="1:10" x14ac:dyDescent="0.2">
      <c r="A902" s="2425"/>
      <c r="B902" s="2425"/>
      <c r="C902" s="1150"/>
      <c r="D902" s="1160"/>
      <c r="E902" s="1863"/>
      <c r="F902" s="1315"/>
      <c r="G902" s="1315"/>
      <c r="H902" s="1156"/>
      <c r="I902" s="1132"/>
      <c r="J902" s="1132"/>
    </row>
    <row r="903" spans="1:10" x14ac:dyDescent="0.2">
      <c r="A903" s="2422"/>
      <c r="B903" s="1143"/>
      <c r="C903" s="1144"/>
      <c r="D903" s="1160"/>
      <c r="E903" s="1861"/>
      <c r="F903" s="1314"/>
      <c r="G903" s="1314"/>
      <c r="H903" s="1146"/>
      <c r="I903" s="1072"/>
      <c r="J903" s="1072"/>
    </row>
    <row r="904" spans="1:10" x14ac:dyDescent="0.2">
      <c r="A904" s="2422"/>
      <c r="B904" s="1143"/>
      <c r="C904" s="1147"/>
      <c r="D904" s="1145"/>
      <c r="E904" s="1861"/>
      <c r="F904" s="1314"/>
      <c r="G904" s="1314"/>
      <c r="H904" s="1146"/>
      <c r="I904" s="1072"/>
      <c r="J904" s="1072"/>
    </row>
    <row r="905" spans="1:10" x14ac:dyDescent="0.2">
      <c r="A905" s="2422"/>
      <c r="B905" s="1143"/>
      <c r="C905" s="1144"/>
      <c r="D905" s="1148"/>
      <c r="E905" s="1861"/>
      <c r="F905" s="1314"/>
      <c r="G905" s="1314"/>
      <c r="H905" s="1146"/>
      <c r="I905" s="1072"/>
      <c r="J905" s="1072"/>
    </row>
    <row r="906" spans="1:10" x14ac:dyDescent="0.2">
      <c r="A906" s="2422"/>
      <c r="B906" s="1143"/>
      <c r="C906" s="1147"/>
      <c r="D906" s="1148"/>
      <c r="E906" s="1861"/>
      <c r="F906" s="1314"/>
      <c r="G906" s="1314"/>
      <c r="H906" s="1146"/>
      <c r="I906" s="1072"/>
      <c r="J906" s="1072"/>
    </row>
    <row r="907" spans="1:10" x14ac:dyDescent="0.2">
      <c r="A907" s="2422"/>
      <c r="B907" s="1143"/>
      <c r="C907" s="1144"/>
      <c r="D907" s="1129"/>
      <c r="E907" s="1861"/>
      <c r="F907" s="1314"/>
      <c r="G907" s="1314"/>
      <c r="H907" s="1146"/>
      <c r="I907" s="490"/>
      <c r="J907" s="490"/>
    </row>
    <row r="908" spans="1:10" x14ac:dyDescent="0.2">
      <c r="A908" s="2422"/>
      <c r="B908" s="1143"/>
      <c r="C908" s="1147"/>
      <c r="D908" s="1129"/>
      <c r="E908" s="1861"/>
      <c r="F908" s="1314"/>
      <c r="G908" s="1314"/>
      <c r="H908" s="1146"/>
      <c r="I908" s="490"/>
      <c r="J908" s="490"/>
    </row>
    <row r="909" spans="1:10" x14ac:dyDescent="0.2">
      <c r="A909" s="2422"/>
      <c r="B909" s="1143"/>
      <c r="C909" s="1144"/>
      <c r="D909" s="1129"/>
      <c r="E909" s="1861"/>
      <c r="F909" s="1314"/>
      <c r="G909" s="1314"/>
      <c r="H909" s="1146"/>
      <c r="I909" s="490"/>
      <c r="J909" s="490"/>
    </row>
    <row r="910" spans="1:10" x14ac:dyDescent="0.2">
      <c r="A910" s="2422"/>
      <c r="B910" s="1143"/>
      <c r="C910" s="1147"/>
      <c r="D910" s="1161"/>
      <c r="E910" s="1866"/>
      <c r="F910" s="1314"/>
      <c r="G910" s="1314"/>
      <c r="H910" s="1162"/>
      <c r="I910" s="1134"/>
      <c r="J910" s="1134"/>
    </row>
    <row r="911" spans="1:10" x14ac:dyDescent="0.2">
      <c r="A911" s="1149"/>
      <c r="B911" s="1149"/>
      <c r="C911" s="1150"/>
      <c r="D911" s="1129"/>
      <c r="E911" s="1863"/>
      <c r="F911" s="1315"/>
      <c r="G911" s="1315"/>
      <c r="H911" s="1156"/>
      <c r="I911" s="1135"/>
      <c r="J911" s="1135"/>
    </row>
    <row r="912" spans="1:10" x14ac:dyDescent="0.2">
      <c r="A912" s="2425"/>
      <c r="B912" s="2425"/>
      <c r="C912" s="1150"/>
      <c r="D912" s="1129"/>
      <c r="E912" s="1863"/>
      <c r="F912" s="1315"/>
      <c r="G912" s="1315"/>
      <c r="H912" s="1156"/>
      <c r="I912" s="1135"/>
      <c r="J912" s="1135"/>
    </row>
    <row r="913" spans="1:10" x14ac:dyDescent="0.2">
      <c r="A913" s="2429"/>
      <c r="B913" s="2429"/>
      <c r="C913" s="1140"/>
      <c r="D913" s="1129"/>
      <c r="E913" s="1863"/>
      <c r="F913" s="1315"/>
      <c r="G913" s="1315"/>
      <c r="H913" s="1156"/>
      <c r="I913" s="1135"/>
      <c r="J913" s="1135"/>
    </row>
    <row r="914" spans="1:10" x14ac:dyDescent="0.2">
      <c r="A914" s="1153"/>
      <c r="B914" s="1153"/>
      <c r="C914" s="1153"/>
      <c r="D914" s="1129"/>
      <c r="E914" s="1867"/>
      <c r="F914" s="1314"/>
      <c r="G914" s="1314"/>
      <c r="H914" s="1129"/>
      <c r="I914" s="1126"/>
      <c r="J914" s="1126"/>
    </row>
    <row r="915" spans="1:10" x14ac:dyDescent="0.2">
      <c r="A915" s="1153"/>
      <c r="B915" s="1154"/>
      <c r="C915" s="1153"/>
      <c r="D915" s="1129"/>
      <c r="E915" s="1867"/>
      <c r="F915" s="1314"/>
      <c r="G915" s="1314"/>
      <c r="H915" s="1129"/>
      <c r="I915" s="1126"/>
      <c r="J915" s="1126"/>
    </row>
    <row r="916" spans="1:10" x14ac:dyDescent="0.2">
      <c r="A916" s="1153"/>
      <c r="B916" s="1154"/>
      <c r="C916" s="1153"/>
      <c r="D916" s="1129"/>
      <c r="E916" s="1867"/>
      <c r="F916" s="1314"/>
      <c r="G916" s="1314"/>
      <c r="H916" s="1129"/>
      <c r="I916" s="1126"/>
      <c r="J916" s="1126"/>
    </row>
    <row r="917" spans="1:10" x14ac:dyDescent="0.2">
      <c r="A917" s="1153"/>
      <c r="B917" s="1153"/>
      <c r="C917" s="1153"/>
      <c r="D917" s="1129"/>
      <c r="E917" s="1866"/>
      <c r="F917" s="1314"/>
      <c r="G917" s="1314"/>
      <c r="H917" s="1162"/>
      <c r="I917" s="1134"/>
      <c r="J917" s="1134"/>
    </row>
    <row r="918" spans="1:10" x14ac:dyDescent="0.2">
      <c r="A918" s="1153"/>
      <c r="B918" s="1153"/>
      <c r="C918" s="1153"/>
      <c r="D918" s="1129"/>
      <c r="E918" s="1866"/>
      <c r="F918" s="1314"/>
      <c r="G918" s="1314"/>
      <c r="H918" s="1162"/>
      <c r="I918" s="1134"/>
      <c r="J918" s="1134"/>
    </row>
    <row r="919" spans="1:10" x14ac:dyDescent="0.2">
      <c r="A919" s="1153"/>
      <c r="B919" s="1153"/>
      <c r="C919" s="1153"/>
      <c r="D919" s="1129"/>
      <c r="E919" s="1866"/>
      <c r="F919" s="1314"/>
      <c r="G919" s="1314"/>
      <c r="H919" s="1162"/>
      <c r="I919" s="1134"/>
      <c r="J919" s="1134"/>
    </row>
    <row r="920" spans="1:10" x14ac:dyDescent="0.2">
      <c r="A920" s="1153"/>
      <c r="B920" s="1153"/>
      <c r="C920" s="1153"/>
      <c r="D920" s="1129"/>
      <c r="E920" s="1866"/>
      <c r="F920" s="1314"/>
      <c r="G920" s="1314"/>
      <c r="H920" s="1162"/>
      <c r="I920" s="1134"/>
      <c r="J920" s="1134"/>
    </row>
    <row r="921" spans="1:10" x14ac:dyDescent="0.2">
      <c r="A921" s="1153"/>
      <c r="B921" s="1153"/>
      <c r="C921" s="1153"/>
      <c r="D921" s="1129"/>
      <c r="E921" s="1866"/>
      <c r="F921" s="1314"/>
      <c r="G921" s="1314"/>
      <c r="H921" s="1162"/>
      <c r="I921" s="1134"/>
      <c r="J921" s="1134"/>
    </row>
    <row r="922" spans="1:10" x14ac:dyDescent="0.2">
      <c r="A922" s="1153"/>
      <c r="B922" s="1153"/>
      <c r="C922" s="1153"/>
      <c r="D922" s="1129"/>
      <c r="E922" s="1866"/>
      <c r="F922" s="1314"/>
      <c r="G922" s="1314"/>
      <c r="H922" s="1162"/>
      <c r="I922" s="1134"/>
      <c r="J922" s="1134"/>
    </row>
    <row r="923" spans="1:10" x14ac:dyDescent="0.2">
      <c r="A923" s="2428"/>
      <c r="B923" s="2428"/>
      <c r="C923" s="1152"/>
      <c r="D923" s="1129"/>
      <c r="E923" s="1863"/>
      <c r="F923" s="1315"/>
      <c r="G923" s="1315"/>
      <c r="H923" s="1156"/>
      <c r="I923" s="1135"/>
      <c r="J923" s="1135"/>
    </row>
    <row r="924" spans="1:10" x14ac:dyDescent="0.2">
      <c r="A924" s="1153"/>
      <c r="B924" s="1153"/>
      <c r="C924" s="1153"/>
      <c r="D924" s="1129"/>
      <c r="E924" s="1866"/>
      <c r="F924" s="1314"/>
      <c r="G924" s="1314"/>
      <c r="H924" s="1162"/>
      <c r="I924" s="1134"/>
      <c r="J924" s="1134"/>
    </row>
    <row r="925" spans="1:10" x14ac:dyDescent="0.2">
      <c r="A925" s="2428"/>
      <c r="B925" s="2428"/>
      <c r="C925" s="1152"/>
      <c r="D925" s="1129"/>
      <c r="E925" s="1863"/>
      <c r="F925" s="1315"/>
      <c r="G925" s="1315"/>
      <c r="H925" s="1156"/>
      <c r="I925" s="1135"/>
      <c r="J925" s="1135"/>
    </row>
    <row r="926" spans="1:10" x14ac:dyDescent="0.2">
      <c r="A926" s="1153"/>
      <c r="B926" s="1153"/>
      <c r="C926" s="1153"/>
      <c r="D926" s="1129"/>
      <c r="E926" s="1866"/>
      <c r="F926" s="1314"/>
      <c r="G926" s="1314"/>
      <c r="H926" s="1162"/>
      <c r="I926" s="1134"/>
      <c r="J926" s="1134"/>
    </row>
    <row r="927" spans="1:10" x14ac:dyDescent="0.2">
      <c r="A927" s="1153"/>
      <c r="B927" s="1153"/>
      <c r="C927" s="1153"/>
      <c r="D927" s="1129"/>
      <c r="E927" s="1866"/>
      <c r="F927" s="1314"/>
      <c r="G927" s="1314"/>
      <c r="H927" s="1162"/>
      <c r="I927" s="1134"/>
      <c r="J927" s="1134"/>
    </row>
    <row r="928" spans="1:10" x14ac:dyDescent="0.2">
      <c r="A928" s="1153"/>
      <c r="B928" s="1153"/>
      <c r="C928" s="1153"/>
      <c r="D928" s="1129"/>
      <c r="E928" s="1866"/>
      <c r="F928" s="1314"/>
      <c r="G928" s="1314"/>
      <c r="H928" s="1162"/>
      <c r="I928" s="1134"/>
      <c r="J928" s="1134"/>
    </row>
    <row r="929" spans="1:10" x14ac:dyDescent="0.2">
      <c r="A929" s="2428"/>
      <c r="B929" s="2428"/>
      <c r="C929" s="1152"/>
      <c r="D929" s="1129"/>
      <c r="E929" s="1863"/>
      <c r="F929" s="1315"/>
      <c r="G929" s="1315"/>
      <c r="H929" s="1156"/>
      <c r="I929" s="1135"/>
      <c r="J929" s="1135"/>
    </row>
    <row r="930" spans="1:10" x14ac:dyDescent="0.2">
      <c r="A930" s="1153"/>
      <c r="B930" s="1153"/>
      <c r="C930" s="1153"/>
      <c r="D930" s="1129"/>
      <c r="E930" s="1866"/>
      <c r="F930" s="1314"/>
      <c r="G930" s="1314"/>
      <c r="H930" s="1162"/>
      <c r="I930" s="1134"/>
      <c r="J930" s="1134"/>
    </row>
    <row r="931" spans="1:10" x14ac:dyDescent="0.2">
      <c r="A931" s="1153"/>
      <c r="B931" s="1153"/>
      <c r="C931" s="1153"/>
      <c r="D931" s="1129"/>
      <c r="E931" s="1866"/>
      <c r="F931" s="1314"/>
      <c r="G931" s="1314"/>
      <c r="H931" s="1162"/>
      <c r="I931" s="1134"/>
      <c r="J931" s="1134"/>
    </row>
    <row r="932" spans="1:10" x14ac:dyDescent="0.2">
      <c r="A932" s="1153"/>
      <c r="B932" s="1153"/>
      <c r="C932" s="1153"/>
      <c r="D932" s="1129"/>
      <c r="E932" s="1866"/>
      <c r="F932" s="1314"/>
      <c r="G932" s="1314"/>
      <c r="H932" s="1162"/>
      <c r="I932" s="1134"/>
      <c r="J932" s="1134"/>
    </row>
    <row r="933" spans="1:10" x14ac:dyDescent="0.2">
      <c r="A933" s="1153"/>
      <c r="B933" s="1153"/>
      <c r="C933" s="1153"/>
      <c r="D933" s="1129"/>
      <c r="E933" s="1867"/>
      <c r="F933" s="1314"/>
      <c r="G933" s="1314"/>
      <c r="H933" s="1129"/>
      <c r="I933" s="1126"/>
      <c r="J933" s="1126"/>
    </row>
    <row r="934" spans="1:10" x14ac:dyDescent="0.2">
      <c r="A934" s="1153"/>
      <c r="B934" s="1153"/>
      <c r="C934" s="1153"/>
      <c r="D934" s="1129"/>
      <c r="E934" s="1866"/>
      <c r="F934" s="1314"/>
      <c r="G934" s="1314"/>
      <c r="H934" s="1162"/>
      <c r="I934" s="1134"/>
      <c r="J934" s="1134"/>
    </row>
    <row r="935" spans="1:10" x14ac:dyDescent="0.2">
      <c r="A935" s="1153"/>
      <c r="B935" s="1153"/>
      <c r="C935" s="1153"/>
      <c r="D935" s="1129"/>
      <c r="E935" s="1866"/>
      <c r="F935" s="1314"/>
      <c r="G935" s="1314"/>
      <c r="H935" s="1162"/>
      <c r="I935" s="1134"/>
      <c r="J935" s="1134"/>
    </row>
    <row r="936" spans="1:10" x14ac:dyDescent="0.2">
      <c r="A936" s="1153"/>
      <c r="B936" s="1153"/>
      <c r="C936" s="1153"/>
      <c r="D936" s="1129"/>
      <c r="E936" s="1867"/>
      <c r="F936" s="1314"/>
      <c r="G936" s="1314"/>
      <c r="H936" s="1129"/>
      <c r="I936" s="1126"/>
      <c r="J936" s="1126"/>
    </row>
    <row r="937" spans="1:10" x14ac:dyDescent="0.2">
      <c r="A937" s="1153"/>
      <c r="B937" s="1153"/>
      <c r="C937" s="1153"/>
      <c r="D937" s="1129"/>
      <c r="E937" s="1867"/>
      <c r="F937" s="1314"/>
      <c r="G937" s="1314"/>
      <c r="H937" s="1129"/>
      <c r="I937" s="1126"/>
      <c r="J937" s="1126"/>
    </row>
    <row r="938" spans="1:10" x14ac:dyDescent="0.2">
      <c r="A938" s="2428"/>
      <c r="B938" s="2428"/>
      <c r="C938" s="1152"/>
      <c r="D938" s="1129"/>
      <c r="E938" s="1863"/>
      <c r="F938" s="1315"/>
      <c r="G938" s="1315"/>
      <c r="H938" s="1156"/>
      <c r="I938" s="1135"/>
      <c r="J938" s="1135"/>
    </row>
    <row r="939" spans="1:10" x14ac:dyDescent="0.2">
      <c r="A939" s="1157"/>
      <c r="B939" s="1152"/>
      <c r="C939" s="1147"/>
      <c r="D939" s="1129"/>
      <c r="E939" s="1868"/>
      <c r="F939" s="1315"/>
      <c r="G939" s="1315"/>
      <c r="H939" s="1163"/>
      <c r="I939" s="1127"/>
      <c r="J939" s="1127"/>
    </row>
    <row r="940" spans="1:10" x14ac:dyDescent="0.2">
      <c r="A940" s="1157"/>
      <c r="B940" s="1152"/>
      <c r="C940" s="1147"/>
      <c r="D940" s="1129"/>
      <c r="E940" s="1868"/>
      <c r="F940" s="1315"/>
      <c r="G940" s="1315"/>
      <c r="H940" s="1163"/>
      <c r="I940" s="1127"/>
      <c r="J940" s="1127"/>
    </row>
    <row r="941" spans="1:10" x14ac:dyDescent="0.2">
      <c r="A941" s="1157"/>
      <c r="B941" s="1152"/>
      <c r="C941" s="1147"/>
      <c r="D941" s="1129"/>
      <c r="E941" s="1868"/>
      <c r="F941" s="1315"/>
      <c r="G941" s="1315"/>
      <c r="H941" s="1163"/>
      <c r="I941" s="1127"/>
      <c r="J941" s="1127"/>
    </row>
    <row r="942" spans="1:10" x14ac:dyDescent="0.2">
      <c r="A942" s="1157"/>
      <c r="B942" s="1152"/>
      <c r="C942" s="1147"/>
      <c r="D942" s="1129"/>
      <c r="E942" s="1867"/>
      <c r="F942" s="1314"/>
      <c r="G942" s="1314"/>
      <c r="H942" s="1129"/>
      <c r="I942" s="1126"/>
      <c r="J942" s="1126"/>
    </row>
    <row r="943" spans="1:10" x14ac:dyDescent="0.2">
      <c r="A943" s="1157"/>
      <c r="B943" s="1152"/>
      <c r="C943" s="1147"/>
      <c r="D943" s="1129"/>
      <c r="E943" s="1868"/>
      <c r="F943" s="1315"/>
      <c r="G943" s="1315"/>
      <c r="H943" s="1163"/>
      <c r="I943" s="1127"/>
      <c r="J943" s="1127"/>
    </row>
    <row r="944" spans="1:10" x14ac:dyDescent="0.2">
      <c r="A944" s="1157"/>
      <c r="B944" s="1152"/>
      <c r="C944" s="1147"/>
      <c r="D944" s="1129"/>
      <c r="E944" s="1867"/>
      <c r="F944" s="1314"/>
      <c r="G944" s="1314"/>
      <c r="H944" s="1129"/>
      <c r="I944" s="1126"/>
      <c r="J944" s="1126"/>
    </row>
    <row r="945" spans="1:10" x14ac:dyDescent="0.2">
      <c r="A945" s="1157"/>
      <c r="B945" s="1152"/>
      <c r="C945" s="1147"/>
      <c r="D945" s="1129"/>
      <c r="E945" s="1867"/>
      <c r="F945" s="1314"/>
      <c r="G945" s="1314"/>
      <c r="H945" s="1129"/>
      <c r="I945" s="1126"/>
      <c r="J945" s="1126"/>
    </row>
    <row r="946" spans="1:10" x14ac:dyDescent="0.2">
      <c r="A946" s="1157"/>
      <c r="B946" s="1152"/>
      <c r="C946" s="1147"/>
      <c r="D946" s="1129"/>
      <c r="E946" s="1867"/>
      <c r="F946" s="1314"/>
      <c r="G946" s="1314"/>
      <c r="H946" s="1129"/>
      <c r="I946" s="1126"/>
      <c r="J946" s="1126"/>
    </row>
    <row r="947" spans="1:10" x14ac:dyDescent="0.2">
      <c r="A947" s="1157"/>
      <c r="B947" s="1152"/>
      <c r="C947" s="1147"/>
      <c r="D947" s="1129"/>
      <c r="E947" s="1867"/>
      <c r="F947" s="1314"/>
      <c r="G947" s="1314"/>
      <c r="H947" s="1129"/>
      <c r="I947" s="1126"/>
      <c r="J947" s="1126"/>
    </row>
    <row r="948" spans="1:10" x14ac:dyDescent="0.2">
      <c r="A948" s="2428"/>
      <c r="B948" s="2428"/>
      <c r="C948" s="1147"/>
      <c r="D948" s="1129"/>
      <c r="E948" s="1868"/>
      <c r="F948" s="1315"/>
      <c r="G948" s="1315"/>
      <c r="H948" s="1163"/>
      <c r="I948" s="1127"/>
      <c r="J948" s="1127"/>
    </row>
    <row r="949" spans="1:10" x14ac:dyDescent="0.2">
      <c r="A949" s="2428"/>
      <c r="B949" s="2428"/>
      <c r="C949" s="1147"/>
      <c r="D949" s="1129"/>
      <c r="E949" s="1868"/>
      <c r="F949" s="1309"/>
      <c r="G949" s="1309"/>
      <c r="H949" s="1163"/>
      <c r="I949" s="1127"/>
      <c r="J949" s="1127"/>
    </row>
    <row r="950" spans="1:10" x14ac:dyDescent="0.2">
      <c r="A950" s="2428"/>
      <c r="B950" s="2428"/>
      <c r="C950" s="1147"/>
      <c r="D950" s="1129"/>
      <c r="E950" s="1867"/>
      <c r="F950" s="1308"/>
      <c r="G950" s="1308"/>
      <c r="H950" s="1129"/>
      <c r="I950" s="1126"/>
      <c r="J950" s="1126"/>
    </row>
    <row r="951" spans="1:10" x14ac:dyDescent="0.2">
      <c r="A951" s="1164"/>
      <c r="B951" s="1164"/>
      <c r="C951" s="1164"/>
      <c r="D951" s="1165"/>
      <c r="E951" s="1165"/>
      <c r="H951" s="1165"/>
    </row>
    <row r="952" spans="1:10" x14ac:dyDescent="0.2">
      <c r="A952" s="1164"/>
      <c r="B952" s="1164"/>
      <c r="C952" s="1164"/>
      <c r="D952" s="1165"/>
      <c r="E952" s="1165"/>
      <c r="H952" s="1165"/>
    </row>
  </sheetData>
  <mergeCells count="91">
    <mergeCell ref="A938:B938"/>
    <mergeCell ref="A948:B948"/>
    <mergeCell ref="A949:B949"/>
    <mergeCell ref="A950:B950"/>
    <mergeCell ref="A909:A910"/>
    <mergeCell ref="A912:B912"/>
    <mergeCell ref="A913:B913"/>
    <mergeCell ref="A923:B923"/>
    <mergeCell ref="A925:B925"/>
    <mergeCell ref="A929:B929"/>
    <mergeCell ref="A907:A908"/>
    <mergeCell ref="A852:A853"/>
    <mergeCell ref="A855:A856"/>
    <mergeCell ref="A858:B858"/>
    <mergeCell ref="A859:B859"/>
    <mergeCell ref="A869:B869"/>
    <mergeCell ref="A871:B871"/>
    <mergeCell ref="A875:B875"/>
    <mergeCell ref="A884:B884"/>
    <mergeCell ref="A902:B902"/>
    <mergeCell ref="A903:A904"/>
    <mergeCell ref="A905:A906"/>
    <mergeCell ref="A623:B623"/>
    <mergeCell ref="A634:B634"/>
    <mergeCell ref="A633:B633"/>
    <mergeCell ref="A632:B632"/>
    <mergeCell ref="A631:B631"/>
    <mergeCell ref="A630:B630"/>
    <mergeCell ref="A629:B629"/>
    <mergeCell ref="A528:A529"/>
    <mergeCell ref="A850:A851"/>
    <mergeCell ref="A636:B636"/>
    <mergeCell ref="A639:B639"/>
    <mergeCell ref="A638:B638"/>
    <mergeCell ref="A637:B637"/>
    <mergeCell ref="A578:B578"/>
    <mergeCell ref="A579:B579"/>
    <mergeCell ref="A580:B580"/>
    <mergeCell ref="A847:B847"/>
    <mergeCell ref="A848:A849"/>
    <mergeCell ref="A628:B628"/>
    <mergeCell ref="A627:B627"/>
    <mergeCell ref="A626:B626"/>
    <mergeCell ref="A625:B625"/>
    <mergeCell ref="A624:B624"/>
    <mergeCell ref="A566:B566"/>
    <mergeCell ref="A530:A531"/>
    <mergeCell ref="A539:B539"/>
    <mergeCell ref="A540:B540"/>
    <mergeCell ref="A551:B551"/>
    <mergeCell ref="A553:B553"/>
    <mergeCell ref="A557:B557"/>
    <mergeCell ref="A532:A533"/>
    <mergeCell ref="A534:A535"/>
    <mergeCell ref="A524:A525"/>
    <mergeCell ref="A526:A527"/>
    <mergeCell ref="A434:C434"/>
    <mergeCell ref="A456:A457"/>
    <mergeCell ref="A458:A459"/>
    <mergeCell ref="A460:A461"/>
    <mergeCell ref="A464:A465"/>
    <mergeCell ref="A455:B455"/>
    <mergeCell ref="A462:A463"/>
    <mergeCell ref="A482:B482"/>
    <mergeCell ref="A484:B484"/>
    <mergeCell ref="A488:B488"/>
    <mergeCell ref="A498:B498"/>
    <mergeCell ref="A466:A467"/>
    <mergeCell ref="A1:J1"/>
    <mergeCell ref="E284:I284"/>
    <mergeCell ref="A398:C398"/>
    <mergeCell ref="A716:C716"/>
    <mergeCell ref="D324:I324"/>
    <mergeCell ref="E395:I395"/>
    <mergeCell ref="E607:I607"/>
    <mergeCell ref="A618:B618"/>
    <mergeCell ref="A621:B621"/>
    <mergeCell ref="A619:B619"/>
    <mergeCell ref="A469:B469"/>
    <mergeCell ref="A403:B403"/>
    <mergeCell ref="A600:B600"/>
    <mergeCell ref="A471:B471"/>
    <mergeCell ref="A472:B472"/>
    <mergeCell ref="A523:B523"/>
    <mergeCell ref="E301:I301"/>
    <mergeCell ref="D187:I187"/>
    <mergeCell ref="E238:I238"/>
    <mergeCell ref="E4:I4"/>
    <mergeCell ref="A5:D5"/>
    <mergeCell ref="E116:I116"/>
    <mergeCell ref="E127:I127"/>
  </mergeCells>
  <phoneticPr fontId="43" type="noConversion"/>
  <printOptions horizontalCentered="1"/>
  <pageMargins left="0.43307086614173229" right="3.937007874015748E-2" top="0.74803149606299213" bottom="0.74803149606299213" header="0.31496062992125984" footer="0.31496062992125984"/>
  <pageSetup paperSize="9" scale="80" firstPageNumber="0" fitToHeight="0" orientation="portrait" r:id="rId1"/>
  <headerFooter alignWithMargins="0"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3</vt:i4>
      </vt:variant>
    </vt:vector>
  </HeadingPairs>
  <TitlesOfParts>
    <vt:vector size="29" baseType="lpstr">
      <vt:lpstr>obal</vt:lpstr>
      <vt:lpstr>návrh</vt:lpstr>
      <vt:lpstr>príjmová časť</vt:lpstr>
      <vt:lpstr>príjmy</vt:lpstr>
      <vt:lpstr>Program 1</vt:lpstr>
      <vt:lpstr>TP1</vt:lpstr>
      <vt:lpstr>Program 2</vt:lpstr>
      <vt:lpstr>TP2</vt:lpstr>
      <vt:lpstr>Program 3</vt:lpstr>
      <vt:lpstr>TP3</vt:lpstr>
      <vt:lpstr>Program 4</vt:lpstr>
      <vt:lpstr>TP4</vt:lpstr>
      <vt:lpstr>Program 5</vt:lpstr>
      <vt:lpstr>TP5</vt:lpstr>
      <vt:lpstr>Program 6</vt:lpstr>
      <vt:lpstr>TP6</vt:lpstr>
      <vt:lpstr>Program 7</vt:lpstr>
      <vt:lpstr>TP7</vt:lpstr>
      <vt:lpstr>Program 8</vt:lpstr>
      <vt:lpstr>TP8</vt:lpstr>
      <vt:lpstr>Program 9</vt:lpstr>
      <vt:lpstr>TP9</vt:lpstr>
      <vt:lpstr>Program 10</vt:lpstr>
      <vt:lpstr>TP10</vt:lpstr>
      <vt:lpstr>Bilancia</vt:lpstr>
      <vt:lpstr>výdavky</vt:lpstr>
      <vt:lpstr>Excel_BuiltIn_Print_Area_1</vt:lpstr>
      <vt:lpstr>príjmy!Oblasť_tlače</vt:lpstr>
      <vt:lpstr>výdavky!Oblasť_tlače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KOTORA Marián</dc:creator>
  <cp:lastModifiedBy>KOTORA Marián</cp:lastModifiedBy>
  <cp:lastPrinted>2024-12-11T08:06:09Z</cp:lastPrinted>
  <dcterms:created xsi:type="dcterms:W3CDTF">2017-01-04T11:01:38Z</dcterms:created>
  <dcterms:modified xsi:type="dcterms:W3CDTF">2024-12-16T15:55:27Z</dcterms:modified>
</cp:coreProperties>
</file>